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N:\JPG\Investor Reporting\Paragon Finance\PM25\"/>
    </mc:Choice>
  </mc:AlternateContent>
  <xr:revisionPtr revIDLastSave="0" documentId="13_ncr:1_{EB46E1AA-D4AC-4E5B-A25D-46CD32D0C9C1}" xr6:coauthVersionLast="47" xr6:coauthVersionMax="47" xr10:uidLastSave="{00000000-0000-0000-0000-000000000000}"/>
  <bookViews>
    <workbookView xWindow="-108" yWindow="-108" windowWidth="20376" windowHeight="12216" firstSheet="11" activeTab="19" xr2:uid="{00000000-000D-0000-FFFF-FFFF00000000}"/>
  </bookViews>
  <sheets>
    <sheet name="July 18" sheetId="18" r:id="rId1"/>
    <sheet name="Oct 18" sheetId="19" r:id="rId2"/>
    <sheet name="Jan 19" sheetId="20" r:id="rId3"/>
    <sheet name="April 19" sheetId="21" r:id="rId4"/>
    <sheet name="July 19" sheetId="22" r:id="rId5"/>
    <sheet name="Oct 19" sheetId="23" r:id="rId6"/>
    <sheet name="Jan 20" sheetId="24" r:id="rId7"/>
    <sheet name="April 20" sheetId="25" r:id="rId8"/>
    <sheet name="July 20" sheetId="26" r:id="rId9"/>
    <sheet name="Oct 20" sheetId="27" r:id="rId10"/>
    <sheet name="Jan 21" sheetId="28" r:id="rId11"/>
    <sheet name="April 21" sheetId="29" r:id="rId12"/>
    <sheet name="July 21" sheetId="30" r:id="rId13"/>
    <sheet name="Oct 21" sheetId="31" r:id="rId14"/>
    <sheet name="Jan 22" sheetId="32" r:id="rId15"/>
    <sheet name="April 22" sheetId="33" r:id="rId16"/>
    <sheet name="July 22  " sheetId="34" r:id="rId17"/>
    <sheet name="October 22 " sheetId="35" r:id="rId18"/>
    <sheet name="Jan 23" sheetId="36" r:id="rId19"/>
    <sheet name="April 23" sheetId="37" r:id="rId20"/>
  </sheets>
  <definedNames>
    <definedName name="_1PAGE_1" localSheetId="3">'April 19'!$A$1:$AC$53</definedName>
    <definedName name="_1PAGE_1" localSheetId="7">'April 20'!$A$1:$AC$53</definedName>
    <definedName name="_1PAGE_1" localSheetId="11">'April 21'!$A$1:$AC$53</definedName>
    <definedName name="_1PAGE_1" localSheetId="15">'April 22'!$A$1:$AC$53</definedName>
    <definedName name="_1PAGE_1" localSheetId="19">'April 23'!$A$1:$AC$53</definedName>
    <definedName name="_1PAGE_1" localSheetId="2">'Jan 19'!$A$1:$AC$53</definedName>
    <definedName name="_1PAGE_1" localSheetId="6">'Jan 20'!$A$1:$AC$53</definedName>
    <definedName name="_1PAGE_1" localSheetId="10">'Jan 21'!$A$1:$AC$53</definedName>
    <definedName name="_1PAGE_1" localSheetId="14">'Jan 22'!$A$1:$AC$53</definedName>
    <definedName name="_1PAGE_1" localSheetId="18">'Jan 23'!$A$1:$AC$53</definedName>
    <definedName name="_1PAGE_1" localSheetId="0">'July 18'!$A$1:$AC$53</definedName>
    <definedName name="_1PAGE_1" localSheetId="4">'July 19'!$A$1:$AC$53</definedName>
    <definedName name="_1PAGE_1" localSheetId="8">'July 20'!$A$1:$AC$53</definedName>
    <definedName name="_1PAGE_1" localSheetId="12">'July 21'!$A$1:$AC$53</definedName>
    <definedName name="_1PAGE_1" localSheetId="16">'July 22  '!$A$1:$AC$53</definedName>
    <definedName name="_1PAGE_1" localSheetId="1">'Oct 18'!$A$1:$AC$53</definedName>
    <definedName name="_1PAGE_1" localSheetId="5">'Oct 19'!$A$1:$AC$53</definedName>
    <definedName name="_1PAGE_1" localSheetId="9">'Oct 20'!$A$1:$AC$53</definedName>
    <definedName name="_1PAGE_1" localSheetId="13">'Oct 21'!$A$1:$AC$53</definedName>
    <definedName name="_1PAGE_1" localSheetId="17">'October 22 '!$A$1:$AC$53</definedName>
    <definedName name="_2PAGE_1" localSheetId="3">#REF!</definedName>
    <definedName name="_2PAGE_1" localSheetId="7">#REF!</definedName>
    <definedName name="_2PAGE_1" localSheetId="11">#REF!</definedName>
    <definedName name="_2PAGE_1" localSheetId="15">#REF!</definedName>
    <definedName name="_2PAGE_1" localSheetId="19">#REF!</definedName>
    <definedName name="_2PAGE_1" localSheetId="2">#REF!</definedName>
    <definedName name="_2PAGE_1" localSheetId="6">#REF!</definedName>
    <definedName name="_2PAGE_1" localSheetId="10">#REF!</definedName>
    <definedName name="_2PAGE_1" localSheetId="14">#REF!</definedName>
    <definedName name="_2PAGE_1" localSheetId="18">#REF!</definedName>
    <definedName name="_2PAGE_1" localSheetId="0">#REF!</definedName>
    <definedName name="_2PAGE_1" localSheetId="4">#REF!</definedName>
    <definedName name="_2PAGE_1" localSheetId="8">#REF!</definedName>
    <definedName name="_2PAGE_1" localSheetId="12">#REF!</definedName>
    <definedName name="_2PAGE_1" localSheetId="16">#REF!</definedName>
    <definedName name="_2PAGE_1" localSheetId="1">#REF!</definedName>
    <definedName name="_2PAGE_1" localSheetId="5">#REF!</definedName>
    <definedName name="_2PAGE_1" localSheetId="9">#REF!</definedName>
    <definedName name="_2PAGE_1" localSheetId="13">#REF!</definedName>
    <definedName name="_2PAGE_1" localSheetId="17">#REF!</definedName>
    <definedName name="_2PAGE_1">#REF!</definedName>
    <definedName name="_3PAGE_2" localSheetId="3">'April 19'!$A$54:$AC$135</definedName>
    <definedName name="_3PAGE_2" localSheetId="7">'April 20'!$A$54:$AC$135</definedName>
    <definedName name="_3PAGE_2" localSheetId="11">'April 21'!$A$54:$AC$135</definedName>
    <definedName name="_3PAGE_2" localSheetId="15">'April 22'!$A$54:$AC$135</definedName>
    <definedName name="_3PAGE_2" localSheetId="19">'April 23'!$A$54:$AC$135</definedName>
    <definedName name="_3PAGE_2" localSheetId="2">'Jan 19'!$A$54:$AC$135</definedName>
    <definedName name="_3PAGE_2" localSheetId="6">'Jan 20'!$A$54:$AC$135</definedName>
    <definedName name="_3PAGE_2" localSheetId="10">'Jan 21'!$A$54:$AC$135</definedName>
    <definedName name="_3PAGE_2" localSheetId="14">'Jan 22'!$A$54:$AC$135</definedName>
    <definedName name="_3PAGE_2" localSheetId="18">'Jan 23'!$A$54:$AC$135</definedName>
    <definedName name="_3PAGE_2" localSheetId="0">'July 18'!$A$54:$AC$134</definedName>
    <definedName name="_3PAGE_2" localSheetId="4">'July 19'!$A$54:$AC$135</definedName>
    <definedName name="_3PAGE_2" localSheetId="8">'July 20'!$A$54:$AC$135</definedName>
    <definedName name="_3PAGE_2" localSheetId="12">'July 21'!$A$54:$AC$135</definedName>
    <definedName name="_3PAGE_2" localSheetId="16">'July 22  '!$A$54:$AC$135</definedName>
    <definedName name="_3PAGE_2" localSheetId="1">'Oct 18'!$A$54:$AC$135</definedName>
    <definedName name="_3PAGE_2" localSheetId="5">'Oct 19'!$A$54:$AC$135</definedName>
    <definedName name="_3PAGE_2" localSheetId="9">'Oct 20'!$A$54:$AC$135</definedName>
    <definedName name="_3PAGE_2" localSheetId="13">'Oct 21'!$A$54:$AC$135</definedName>
    <definedName name="_3PAGE_2" localSheetId="17">'October 22 '!$A$54:$AC$135</definedName>
    <definedName name="_4PAGE_2" localSheetId="3">#REF!</definedName>
    <definedName name="_4PAGE_2" localSheetId="7">#REF!</definedName>
    <definedName name="_4PAGE_2" localSheetId="11">#REF!</definedName>
    <definedName name="_4PAGE_2" localSheetId="15">#REF!</definedName>
    <definedName name="_4PAGE_2" localSheetId="19">#REF!</definedName>
    <definedName name="_4PAGE_2" localSheetId="2">#REF!</definedName>
    <definedName name="_4PAGE_2" localSheetId="6">#REF!</definedName>
    <definedName name="_4PAGE_2" localSheetId="10">#REF!</definedName>
    <definedName name="_4PAGE_2" localSheetId="14">#REF!</definedName>
    <definedName name="_4PAGE_2" localSheetId="18">#REF!</definedName>
    <definedName name="_4PAGE_2" localSheetId="0">#REF!</definedName>
    <definedName name="_4PAGE_2" localSheetId="4">#REF!</definedName>
    <definedName name="_4PAGE_2" localSheetId="8">#REF!</definedName>
    <definedName name="_4PAGE_2" localSheetId="12">#REF!</definedName>
    <definedName name="_4PAGE_2" localSheetId="16">#REF!</definedName>
    <definedName name="_4PAGE_2" localSheetId="1">#REF!</definedName>
    <definedName name="_4PAGE_2" localSheetId="5">#REF!</definedName>
    <definedName name="_4PAGE_2" localSheetId="9">#REF!</definedName>
    <definedName name="_4PAGE_2" localSheetId="13">#REF!</definedName>
    <definedName name="_4PAGE_2" localSheetId="17">#REF!</definedName>
    <definedName name="_4PAGE_2">#REF!</definedName>
    <definedName name="_5PAGE_3" localSheetId="3">'April 19'!$A$136:$AC$244</definedName>
    <definedName name="_5PAGE_3" localSheetId="7">'April 20'!$A$136:$AC$244</definedName>
    <definedName name="_5PAGE_3" localSheetId="11">'April 21'!$A$136:$AC$244</definedName>
    <definedName name="_5PAGE_3" localSheetId="15">'April 22'!$A$136:$AC$244</definedName>
    <definedName name="_5PAGE_3" localSheetId="19">'April 23'!$A$136:$AC$245</definedName>
    <definedName name="_5PAGE_3" localSheetId="2">'Jan 19'!$A$136:$AC$244</definedName>
    <definedName name="_5PAGE_3" localSheetId="6">'Jan 20'!$A$136:$AC$244</definedName>
    <definedName name="_5PAGE_3" localSheetId="10">'Jan 21'!$A$136:$AC$244</definedName>
    <definedName name="_5PAGE_3" localSheetId="14">'Jan 22'!$A$136:$AC$244</definedName>
    <definedName name="_5PAGE_3" localSheetId="18">'Jan 23'!$A$136:$AC$245</definedName>
    <definedName name="_5PAGE_3" localSheetId="0">'July 18'!$A$135:$AC$242</definedName>
    <definedName name="_5PAGE_3" localSheetId="4">'July 19'!$A$136:$AC$244</definedName>
    <definedName name="_5PAGE_3" localSheetId="8">'July 20'!$A$136:$AC$244</definedName>
    <definedName name="_5PAGE_3" localSheetId="12">'July 21'!$A$136:$AC$244</definedName>
    <definedName name="_5PAGE_3" localSheetId="16">'July 22  '!$A$136:$AC$244</definedName>
    <definedName name="_5PAGE_3" localSheetId="1">'Oct 18'!$A$136:$AC$244</definedName>
    <definedName name="_5PAGE_3" localSheetId="5">'Oct 19'!$A$136:$AC$244</definedName>
    <definedName name="_5PAGE_3" localSheetId="9">'Oct 20'!$A$136:$AC$244</definedName>
    <definedName name="_5PAGE_3" localSheetId="13">'Oct 21'!$A$136:$AC$244</definedName>
    <definedName name="_5PAGE_3" localSheetId="17">'October 22 '!$A$136:$AC$245</definedName>
    <definedName name="_6PAGE_3" localSheetId="3">#REF!</definedName>
    <definedName name="_6PAGE_3" localSheetId="7">#REF!</definedName>
    <definedName name="_6PAGE_3" localSheetId="11">#REF!</definedName>
    <definedName name="_6PAGE_3" localSheetId="15">#REF!</definedName>
    <definedName name="_6PAGE_3" localSheetId="19">#REF!</definedName>
    <definedName name="_6PAGE_3" localSheetId="2">#REF!</definedName>
    <definedName name="_6PAGE_3" localSheetId="6">#REF!</definedName>
    <definedName name="_6PAGE_3" localSheetId="10">#REF!</definedName>
    <definedName name="_6PAGE_3" localSheetId="14">#REF!</definedName>
    <definedName name="_6PAGE_3" localSheetId="18">#REF!</definedName>
    <definedName name="_6PAGE_3" localSheetId="0">#REF!</definedName>
    <definedName name="_6PAGE_3" localSheetId="4">#REF!</definedName>
    <definedName name="_6PAGE_3" localSheetId="8">#REF!</definedName>
    <definedName name="_6PAGE_3" localSheetId="12">#REF!</definedName>
    <definedName name="_6PAGE_3" localSheetId="16">#REF!</definedName>
    <definedName name="_6PAGE_3" localSheetId="1">#REF!</definedName>
    <definedName name="_6PAGE_3" localSheetId="5">#REF!</definedName>
    <definedName name="_6PAGE_3" localSheetId="9">#REF!</definedName>
    <definedName name="_6PAGE_3" localSheetId="13">#REF!</definedName>
    <definedName name="_6PAGE_3" localSheetId="17">#REF!</definedName>
    <definedName name="_6PAGE_3">#REF!</definedName>
    <definedName name="_7PAGE_4" localSheetId="3">'April 19'!$A$245:$AC$347</definedName>
    <definedName name="_7PAGE_4" localSheetId="7">'April 20'!$A$245:$AC$374</definedName>
    <definedName name="_7PAGE_4" localSheetId="11">'April 21'!$A$245:$AC$376</definedName>
    <definedName name="_7PAGE_4" localSheetId="15">'April 22'!$A$245:$AC$360</definedName>
    <definedName name="_7PAGE_4" localSheetId="19">'April 23'!$A$246:$AC$361</definedName>
    <definedName name="_7PAGE_4" localSheetId="2">'Jan 19'!$A$245:$AC$347</definedName>
    <definedName name="_7PAGE_4" localSheetId="6">'Jan 20'!$A$245:$AC$347</definedName>
    <definedName name="_7PAGE_4" localSheetId="10">'Jan 21'!$A$245:$AC$376</definedName>
    <definedName name="_7PAGE_4" localSheetId="14">'Jan 22'!$A$245:$AC$360</definedName>
    <definedName name="_7PAGE_4" localSheetId="18">'Jan 23'!$A$246:$AC$361</definedName>
    <definedName name="_7PAGE_4" localSheetId="0">'July 18'!$A$243:$AC$345</definedName>
    <definedName name="_7PAGE_4" localSheetId="4">'July 19'!$A$245:$AC$347</definedName>
    <definedName name="_7PAGE_4" localSheetId="8">'July 20'!$A$245:$AC$376</definedName>
    <definedName name="_7PAGE_4" localSheetId="12">'July 21'!$A$245:$AC$376</definedName>
    <definedName name="_7PAGE_4" localSheetId="16">'July 22  '!$A$245:$AC$360</definedName>
    <definedName name="_7PAGE_4" localSheetId="1">'Oct 18'!$A$245:$AC$347</definedName>
    <definedName name="_7PAGE_4" localSheetId="5">'Oct 19'!$A$245:$AC$347</definedName>
    <definedName name="_7PAGE_4" localSheetId="9">'Oct 20'!$A$245:$AC$376</definedName>
    <definedName name="_7PAGE_4" localSheetId="13">'Oct 21'!$A$245:$AC$360</definedName>
    <definedName name="_7PAGE_4" localSheetId="17">'October 22 '!$A$246:$AC$361</definedName>
    <definedName name="_8PAGE_4" localSheetId="3">#REF!</definedName>
    <definedName name="_8PAGE_4" localSheetId="7">#REF!</definedName>
    <definedName name="_8PAGE_4" localSheetId="11">#REF!</definedName>
    <definedName name="_8PAGE_4" localSheetId="15">#REF!</definedName>
    <definedName name="_8PAGE_4" localSheetId="19">#REF!</definedName>
    <definedName name="_8PAGE_4" localSheetId="2">#REF!</definedName>
    <definedName name="_8PAGE_4" localSheetId="6">#REF!</definedName>
    <definedName name="_8PAGE_4" localSheetId="10">#REF!</definedName>
    <definedName name="_8PAGE_4" localSheetId="14">#REF!</definedName>
    <definedName name="_8PAGE_4" localSheetId="18">#REF!</definedName>
    <definedName name="_8PAGE_4" localSheetId="0">#REF!</definedName>
    <definedName name="_8PAGE_4" localSheetId="4">#REF!</definedName>
    <definedName name="_8PAGE_4" localSheetId="8">#REF!</definedName>
    <definedName name="_8PAGE_4" localSheetId="12">#REF!</definedName>
    <definedName name="_8PAGE_4" localSheetId="16">#REF!</definedName>
    <definedName name="_8PAGE_4" localSheetId="1">#REF!</definedName>
    <definedName name="_8PAGE_4" localSheetId="5">#REF!</definedName>
    <definedName name="_8PAGE_4" localSheetId="9">#REF!</definedName>
    <definedName name="_8PAGE_4" localSheetId="13">#REF!</definedName>
    <definedName name="_8PAGE_4" localSheetId="17">#REF!</definedName>
    <definedName name="_8PAGE_4">#REF!</definedName>
    <definedName name="_xlnm.Print_Area" localSheetId="3">'April 19'!$A$1:$AC$348</definedName>
    <definedName name="_xlnm.Print_Area" localSheetId="7">'April 20'!$A$1:$AC$375</definedName>
    <definedName name="_xlnm.Print_Area" localSheetId="11">'April 21'!$A$1:$AC$377</definedName>
    <definedName name="_xlnm.Print_Area" localSheetId="15">'April 22'!$A$1:$AC$361</definedName>
    <definedName name="_xlnm.Print_Area" localSheetId="19">'April 23'!$A$1:$AC$362</definedName>
    <definedName name="_xlnm.Print_Area" localSheetId="2">'Jan 19'!$A$1:$AC$348</definedName>
    <definedName name="_xlnm.Print_Area" localSheetId="6">'Jan 20'!$A$1:$AC$348</definedName>
    <definedName name="_xlnm.Print_Area" localSheetId="10">'Jan 21'!$A$1:$AC$377</definedName>
    <definedName name="_xlnm.Print_Area" localSheetId="14">'Jan 22'!$A$1:$AC$361</definedName>
    <definedName name="_xlnm.Print_Area" localSheetId="18">'Jan 23'!$A$1:$AC$362</definedName>
    <definedName name="_xlnm.Print_Area" localSheetId="0">'July 18'!$A$1:$AC$346</definedName>
    <definedName name="_xlnm.Print_Area" localSheetId="4">'July 19'!$A$1:$AC$348</definedName>
    <definedName name="_xlnm.Print_Area" localSheetId="8">'July 20'!$A$1:$AC$377</definedName>
    <definedName name="_xlnm.Print_Area" localSheetId="12">'July 21'!$A$1:$AC$377</definedName>
    <definedName name="_xlnm.Print_Area" localSheetId="16">'July 22  '!$A$1:$AC$361</definedName>
    <definedName name="_xlnm.Print_Area" localSheetId="1">'Oct 18'!$A$1:$AC$348</definedName>
    <definedName name="_xlnm.Print_Area" localSheetId="5">'Oct 19'!$A$1:$AC$348</definedName>
    <definedName name="_xlnm.Print_Area" localSheetId="9">'Oct 20'!$A$1:$AC$377</definedName>
    <definedName name="_xlnm.Print_Area" localSheetId="13">'Oct 21'!$A$1:$AC$361</definedName>
    <definedName name="_xlnm.Print_Area" localSheetId="17">'October 22 '!$A$1:$AC$362</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98" i="37" l="1"/>
  <c r="AB109" i="37"/>
  <c r="AB147" i="37" l="1"/>
  <c r="AB113" i="37"/>
  <c r="Z75" i="37"/>
  <c r="AB92" i="37"/>
  <c r="AB84" i="37"/>
  <c r="AB77" i="37"/>
  <c r="AB76" i="37"/>
  <c r="T57" i="37" l="1"/>
  <c r="L30" i="37"/>
  <c r="J30" i="37"/>
  <c r="H30" i="37"/>
  <c r="F30" i="37"/>
  <c r="D30" i="37"/>
  <c r="AB30" i="37" l="1"/>
  <c r="Z253" i="37" l="1"/>
  <c r="Z275" i="37" l="1"/>
  <c r="Z220" i="37"/>
  <c r="Z222" i="37" s="1"/>
  <c r="Y220" i="37"/>
  <c r="Y222" i="37" s="1"/>
  <c r="AB212" i="37"/>
  <c r="AB203" i="37"/>
  <c r="AB195" i="37"/>
  <c r="AB187" i="37"/>
  <c r="AB163" i="37"/>
  <c r="AB166" i="37" s="1"/>
  <c r="AA343" i="37"/>
  <c r="Z343" i="37"/>
  <c r="Y343" i="37"/>
  <c r="X343" i="37"/>
  <c r="Z331" i="37"/>
  <c r="X331" i="37"/>
  <c r="Z321" i="37"/>
  <c r="X321" i="37"/>
  <c r="Z309" i="37"/>
  <c r="X309" i="37"/>
  <c r="Z295" i="37"/>
  <c r="X295" i="37"/>
  <c r="Z294" i="37"/>
  <c r="X294" i="37"/>
  <c r="Z293" i="37"/>
  <c r="X293" i="37"/>
  <c r="Z292" i="37"/>
  <c r="X292" i="37"/>
  <c r="Z291" i="37"/>
  <c r="X291" i="37"/>
  <c r="Z290" i="37"/>
  <c r="X290" i="37"/>
  <c r="Z289" i="37"/>
  <c r="X289" i="37"/>
  <c r="Z288" i="37"/>
  <c r="X288" i="37"/>
  <c r="X297" i="37" s="1"/>
  <c r="Z272" i="37"/>
  <c r="Z271" i="37"/>
  <c r="Y270" i="37"/>
  <c r="Z250" i="37"/>
  <c r="AB229" i="37"/>
  <c r="AB221" i="37"/>
  <c r="AB214" i="37"/>
  <c r="AB206" i="37"/>
  <c r="AB204" i="37"/>
  <c r="AB197" i="37"/>
  <c r="AB189" i="37"/>
  <c r="AB175" i="37"/>
  <c r="AB173" i="37"/>
  <c r="AB172" i="37"/>
  <c r="AB174" i="37" s="1"/>
  <c r="AB170" i="37"/>
  <c r="Z274" i="37" s="1"/>
  <c r="AB165" i="37"/>
  <c r="AB164" i="37"/>
  <c r="AB160" i="37"/>
  <c r="AB150" i="37"/>
  <c r="AB139" i="37"/>
  <c r="N28" i="37" s="1"/>
  <c r="B135" i="37"/>
  <c r="B245" i="37" s="1"/>
  <c r="B361" i="37" s="1"/>
  <c r="Z131" i="37"/>
  <c r="Z101" i="37"/>
  <c r="AB131" i="37"/>
  <c r="Z86" i="37"/>
  <c r="AB82" i="37"/>
  <c r="AB85" i="37"/>
  <c r="AB88" i="37" s="1"/>
  <c r="Z73" i="37"/>
  <c r="Z71" i="37"/>
  <c r="T69" i="37"/>
  <c r="P66" i="37"/>
  <c r="AB64" i="37"/>
  <c r="AB63" i="37"/>
  <c r="Z346" i="37" s="1"/>
  <c r="Z60" i="37"/>
  <c r="X60" i="37"/>
  <c r="V60" i="37"/>
  <c r="T60" i="37"/>
  <c r="R60" i="37"/>
  <c r="R66" i="37" s="1"/>
  <c r="P60" i="37"/>
  <c r="AB58" i="37"/>
  <c r="Z85" i="37"/>
  <c r="Z88" i="37" s="1"/>
  <c r="Z132" i="37" s="1"/>
  <c r="X48" i="37"/>
  <c r="X47" i="37"/>
  <c r="AB41" i="37"/>
  <c r="L29" i="37"/>
  <c r="J29" i="37"/>
  <c r="H29" i="37"/>
  <c r="F29" i="37"/>
  <c r="D29" i="37"/>
  <c r="AB29" i="37" s="1"/>
  <c r="AB34" i="37" s="1"/>
  <c r="AB28" i="37"/>
  <c r="Y219" i="37" s="1"/>
  <c r="Z254" i="36"/>
  <c r="Z254" i="35"/>
  <c r="Z253" i="34"/>
  <c r="Z253" i="20"/>
  <c r="Z275" i="36"/>
  <c r="AB206" i="36"/>
  <c r="AB207" i="37" l="1"/>
  <c r="AB215" i="37"/>
  <c r="AB190" i="37"/>
  <c r="Z345" i="37"/>
  <c r="AA321" i="37"/>
  <c r="Z269" i="37"/>
  <c r="Y269" i="37"/>
  <c r="AA331" i="37"/>
  <c r="AB222" i="37"/>
  <c r="Y223" i="37"/>
  <c r="AB182" i="37"/>
  <c r="AB132" i="37"/>
  <c r="N29" i="37"/>
  <c r="N30" i="37"/>
  <c r="Z347" i="37"/>
  <c r="Z297" i="37"/>
  <c r="Z270" i="37"/>
  <c r="X345" i="37"/>
  <c r="AB57" i="37"/>
  <c r="AB60" i="37" s="1"/>
  <c r="AB66" i="37" s="1"/>
  <c r="Z348" i="37" s="1"/>
  <c r="AB220" i="37"/>
  <c r="Z264" i="37"/>
  <c r="AB34" i="36"/>
  <c r="AA309" i="37" l="1"/>
  <c r="Y321" i="37"/>
  <c r="Y331" i="37"/>
  <c r="Y309" i="37"/>
  <c r="Y297" i="37"/>
  <c r="AB188" i="36"/>
  <c r="AB178" i="36"/>
  <c r="AB182" i="36" s="1"/>
  <c r="AB179" i="36"/>
  <c r="Z85" i="36"/>
  <c r="Z75" i="35"/>
  <c r="AA297" i="37" l="1"/>
  <c r="AB188" i="35"/>
  <c r="Z71" i="36" l="1"/>
  <c r="AB180" i="36" l="1"/>
  <c r="V63" i="36" l="1"/>
  <c r="Z71" i="35"/>
  <c r="Z346" i="35"/>
  <c r="AB212" i="36" l="1"/>
  <c r="AB203" i="36"/>
  <c r="AB113" i="36"/>
  <c r="AB92" i="36"/>
  <c r="AB77" i="36"/>
  <c r="AB76" i="36"/>
  <c r="Z75" i="36"/>
  <c r="T57" i="36"/>
  <c r="Z220" i="36" l="1"/>
  <c r="Y220" i="36"/>
  <c r="Y222" i="36" s="1"/>
  <c r="AB195" i="36"/>
  <c r="AB187" i="36"/>
  <c r="AB163" i="36"/>
  <c r="AB151" i="36"/>
  <c r="AB160" i="36" s="1"/>
  <c r="AB140" i="36"/>
  <c r="AB147" i="36" s="1"/>
  <c r="AA343" i="36"/>
  <c r="Z343" i="36"/>
  <c r="Z270" i="36" s="1"/>
  <c r="Y343" i="36"/>
  <c r="X343" i="36"/>
  <c r="Z331" i="36"/>
  <c r="AA326" i="36" s="1"/>
  <c r="X331" i="36"/>
  <c r="Y329" i="36" s="1"/>
  <c r="Z321" i="36"/>
  <c r="AA316" i="36" s="1"/>
  <c r="X321" i="36"/>
  <c r="Y318" i="36" s="1"/>
  <c r="Z309" i="36"/>
  <c r="AA304" i="36" s="1"/>
  <c r="X309" i="36"/>
  <c r="Y306" i="36" s="1"/>
  <c r="Z295" i="36"/>
  <c r="X295" i="36"/>
  <c r="Z294" i="36"/>
  <c r="X294" i="36"/>
  <c r="Z293" i="36"/>
  <c r="X293" i="36"/>
  <c r="Z292" i="36"/>
  <c r="X292" i="36"/>
  <c r="Z291" i="36"/>
  <c r="X291" i="36"/>
  <c r="Z290" i="36"/>
  <c r="X290" i="36"/>
  <c r="Z289" i="36"/>
  <c r="X289" i="36"/>
  <c r="Z288" i="36"/>
  <c r="X288" i="36"/>
  <c r="Z272" i="36"/>
  <c r="Z271" i="36"/>
  <c r="Z250" i="36"/>
  <c r="AB229" i="36"/>
  <c r="AB221" i="36"/>
  <c r="AB220" i="36"/>
  <c r="AB214" i="36"/>
  <c r="AB204" i="36"/>
  <c r="AB197" i="36"/>
  <c r="AB198" i="36" s="1"/>
  <c r="AB189" i="36"/>
  <c r="AB175" i="36"/>
  <c r="AB173" i="36"/>
  <c r="AB170" i="36"/>
  <c r="AB172" i="36" s="1"/>
  <c r="AB164" i="36"/>
  <c r="AB165" i="36" s="1"/>
  <c r="AB150" i="36"/>
  <c r="AB139" i="36"/>
  <c r="B135" i="36"/>
  <c r="B245" i="36" s="1"/>
  <c r="B361" i="36" s="1"/>
  <c r="AB131" i="36"/>
  <c r="Z131" i="36"/>
  <c r="Z101" i="36"/>
  <c r="Z86" i="36"/>
  <c r="AB85" i="36"/>
  <c r="AB88" i="36" s="1"/>
  <c r="AB82" i="36"/>
  <c r="Z73" i="36"/>
  <c r="T69" i="36"/>
  <c r="AB64" i="36"/>
  <c r="AB63" i="36"/>
  <c r="Z346" i="36" s="1"/>
  <c r="Z60" i="36"/>
  <c r="X60" i="36"/>
  <c r="V60" i="36"/>
  <c r="R60" i="36"/>
  <c r="R66" i="36" s="1"/>
  <c r="P60" i="36"/>
  <c r="P66" i="36" s="1"/>
  <c r="AB58" i="36"/>
  <c r="X48" i="36"/>
  <c r="X47" i="36"/>
  <c r="AB41" i="36"/>
  <c r="N30" i="36"/>
  <c r="L30" i="36"/>
  <c r="J30" i="36"/>
  <c r="H30" i="36"/>
  <c r="F30" i="36"/>
  <c r="D30" i="36"/>
  <c r="AB42" i="36" s="1"/>
  <c r="N29" i="36"/>
  <c r="L29" i="36"/>
  <c r="J29" i="36"/>
  <c r="AB29" i="36" s="1"/>
  <c r="Z252" i="36" s="1"/>
  <c r="Z253" i="36" s="1"/>
  <c r="H29" i="36"/>
  <c r="F29" i="36"/>
  <c r="D29" i="36"/>
  <c r="AB28" i="36"/>
  <c r="Y219" i="36" s="1"/>
  <c r="N28" i="36"/>
  <c r="AB180" i="35"/>
  <c r="Z264" i="35"/>
  <c r="V63" i="35"/>
  <c r="AB215" i="36" l="1"/>
  <c r="AB190" i="36"/>
  <c r="AB174" i="36"/>
  <c r="Z274" i="36"/>
  <c r="Z88" i="36"/>
  <c r="Z132" i="36" s="1"/>
  <c r="AB30" i="36"/>
  <c r="AA300" i="36"/>
  <c r="Y303" i="36"/>
  <c r="Y307" i="36"/>
  <c r="Y301" i="36"/>
  <c r="Y304" i="36"/>
  <c r="Y302" i="36"/>
  <c r="Y305" i="36"/>
  <c r="Y300" i="36"/>
  <c r="Z345" i="36"/>
  <c r="Z347" i="36" s="1"/>
  <c r="AA318" i="36"/>
  <c r="X345" i="36"/>
  <c r="Y325" i="36"/>
  <c r="Y326" i="36"/>
  <c r="Y327" i="36"/>
  <c r="Y328" i="36"/>
  <c r="AB207" i="36"/>
  <c r="AB166" i="36"/>
  <c r="AB233" i="36"/>
  <c r="AB241" i="36"/>
  <c r="AB239" i="36"/>
  <c r="AB132" i="36"/>
  <c r="AB237" i="36"/>
  <c r="AB235" i="36"/>
  <c r="AB222" i="36"/>
  <c r="Z264" i="36"/>
  <c r="AA301" i="36"/>
  <c r="AA305" i="36"/>
  <c r="AA327" i="36"/>
  <c r="Y269" i="36"/>
  <c r="Z222" i="36"/>
  <c r="Y223" i="36" s="1"/>
  <c r="Z269" i="36"/>
  <c r="AA302" i="36"/>
  <c r="AA312" i="36"/>
  <c r="AA321" i="36" s="1"/>
  <c r="AA328" i="36"/>
  <c r="Z350" i="36"/>
  <c r="T60" i="36"/>
  <c r="Y270" i="36"/>
  <c r="Z297" i="36"/>
  <c r="AA293" i="36" s="1"/>
  <c r="Y316" i="36"/>
  <c r="AA303" i="36"/>
  <c r="AA307" i="36"/>
  <c r="AA325" i="36"/>
  <c r="AA329" i="36"/>
  <c r="AB57" i="36"/>
  <c r="AB60" i="36" s="1"/>
  <c r="AB66" i="36" s="1"/>
  <c r="Z348" i="36" s="1"/>
  <c r="X297" i="36"/>
  <c r="Y288" i="36" s="1"/>
  <c r="Y312" i="36"/>
  <c r="AA306" i="36"/>
  <c r="AB30" i="35"/>
  <c r="AB183" i="36" l="1"/>
  <c r="Y309" i="36"/>
  <c r="AA309" i="36"/>
  <c r="AA291" i="36"/>
  <c r="AA294" i="36"/>
  <c r="AA289" i="36"/>
  <c r="Y331" i="36"/>
  <c r="Y321" i="36"/>
  <c r="AA292" i="36"/>
  <c r="AA290" i="36"/>
  <c r="Y295" i="36"/>
  <c r="Y293" i="36"/>
  <c r="Y291" i="36"/>
  <c r="Y289" i="36"/>
  <c r="AA288" i="36"/>
  <c r="Y290" i="36"/>
  <c r="AA295" i="36"/>
  <c r="AA331" i="36"/>
  <c r="Y294" i="36"/>
  <c r="Y292" i="36"/>
  <c r="AB63" i="35"/>
  <c r="Z347" i="35" s="1"/>
  <c r="Y297" i="36" l="1"/>
  <c r="AA297" i="36"/>
  <c r="AB207" i="35"/>
  <c r="AB206" i="35"/>
  <c r="AB204" i="35"/>
  <c r="AB113" i="35" l="1"/>
  <c r="AB92" i="35"/>
  <c r="AB77" i="35"/>
  <c r="AB76" i="35"/>
  <c r="T57" i="35"/>
  <c r="T60" i="35"/>
  <c r="Z220" i="35"/>
  <c r="Z222" i="35" s="1"/>
  <c r="Y220" i="35"/>
  <c r="AB212" i="35"/>
  <c r="AB203" i="35"/>
  <c r="AB195" i="35"/>
  <c r="AB187" i="35"/>
  <c r="AB178" i="35"/>
  <c r="AB163" i="35"/>
  <c r="AB151" i="35"/>
  <c r="AB160" i="35" s="1"/>
  <c r="AB140" i="35"/>
  <c r="AB147" i="35" s="1"/>
  <c r="AA343" i="35"/>
  <c r="Z343" i="35"/>
  <c r="Y343" i="35"/>
  <c r="X343" i="35"/>
  <c r="Z331" i="35"/>
  <c r="AA327" i="35" s="1"/>
  <c r="X331" i="35"/>
  <c r="Y329" i="35" s="1"/>
  <c r="Z321" i="35"/>
  <c r="AA318" i="35" s="1"/>
  <c r="X321" i="35"/>
  <c r="Y318" i="35" s="1"/>
  <c r="Z309" i="35"/>
  <c r="AA305" i="35" s="1"/>
  <c r="X309" i="35"/>
  <c r="Y307" i="35" s="1"/>
  <c r="Z295" i="35"/>
  <c r="X295" i="35"/>
  <c r="Z294" i="35"/>
  <c r="X294" i="35"/>
  <c r="Z293" i="35"/>
  <c r="X293" i="35"/>
  <c r="Z292" i="35"/>
  <c r="X292" i="35"/>
  <c r="Z291" i="35"/>
  <c r="X291" i="35"/>
  <c r="Z290" i="35"/>
  <c r="X290" i="35"/>
  <c r="Z289" i="35"/>
  <c r="X289" i="35"/>
  <c r="Z288" i="35"/>
  <c r="X288" i="35"/>
  <c r="Z272" i="35"/>
  <c r="Z271" i="35"/>
  <c r="Z270" i="35"/>
  <c r="Y270" i="35"/>
  <c r="Z250" i="35"/>
  <c r="AB229" i="35"/>
  <c r="AB221" i="35"/>
  <c r="AB214" i="35"/>
  <c r="AB198" i="35"/>
  <c r="AB197" i="35"/>
  <c r="AB189" i="35"/>
  <c r="AB175" i="35"/>
  <c r="AB173" i="35"/>
  <c r="AB170" i="35"/>
  <c r="Z274" i="35" s="1"/>
  <c r="Z275" i="35" s="1"/>
  <c r="AB164" i="35"/>
  <c r="AB165" i="35" s="1"/>
  <c r="AB150" i="35"/>
  <c r="N28" i="35" s="1"/>
  <c r="AB139" i="35"/>
  <c r="B135" i="35"/>
  <c r="B245" i="35" s="1"/>
  <c r="B361" i="35" s="1"/>
  <c r="Z131" i="35"/>
  <c r="Z101" i="35"/>
  <c r="AB131" i="35"/>
  <c r="Z86" i="35"/>
  <c r="AB82" i="35"/>
  <c r="Z73" i="35"/>
  <c r="AB179" i="35"/>
  <c r="T69" i="35"/>
  <c r="AB64" i="35"/>
  <c r="Z60" i="35"/>
  <c r="X60" i="35"/>
  <c r="V60" i="35"/>
  <c r="R60" i="35"/>
  <c r="R66" i="35" s="1"/>
  <c r="P60" i="35"/>
  <c r="P66" i="35" s="1"/>
  <c r="AB58" i="35"/>
  <c r="X48" i="35"/>
  <c r="X47" i="35"/>
  <c r="AB41" i="35"/>
  <c r="L30" i="35"/>
  <c r="J30" i="35"/>
  <c r="H30" i="35"/>
  <c r="F30" i="35"/>
  <c r="D30" i="35"/>
  <c r="L29" i="35"/>
  <c r="J29" i="35"/>
  <c r="H29" i="35"/>
  <c r="F29" i="35"/>
  <c r="D29" i="35"/>
  <c r="AB28" i="35"/>
  <c r="Y219" i="35" s="1"/>
  <c r="AB178" i="34"/>
  <c r="AB113" i="34"/>
  <c r="AB92" i="34"/>
  <c r="AB77" i="34"/>
  <c r="AB76" i="34"/>
  <c r="Z75" i="34"/>
  <c r="Z71" i="34"/>
  <c r="T57" i="34"/>
  <c r="AA325" i="34"/>
  <c r="Y325" i="34"/>
  <c r="AB182" i="35" l="1"/>
  <c r="AB29" i="35"/>
  <c r="AB34" i="35" s="1"/>
  <c r="Z252" i="35" s="1"/>
  <c r="Z253" i="35" s="1"/>
  <c r="AB166" i="35"/>
  <c r="AB85" i="35"/>
  <c r="AB88" i="35" s="1"/>
  <c r="AB132" i="35" s="1"/>
  <c r="Z85" i="35"/>
  <c r="Z88" i="35" s="1"/>
  <c r="Z132" i="35" s="1"/>
  <c r="Y325" i="35"/>
  <c r="Y327" i="35"/>
  <c r="Y328" i="35"/>
  <c r="AB190" i="35"/>
  <c r="AB215" i="35"/>
  <c r="AB57" i="35"/>
  <c r="AB42" i="35"/>
  <c r="Z297" i="35"/>
  <c r="AA289" i="35" s="1"/>
  <c r="Y300" i="35"/>
  <c r="Y305" i="35"/>
  <c r="Y302" i="35"/>
  <c r="Y303" i="35"/>
  <c r="Y306" i="35"/>
  <c r="Y312" i="35"/>
  <c r="AA312" i="35"/>
  <c r="Z269" i="35"/>
  <c r="AA316" i="35"/>
  <c r="Y269" i="35"/>
  <c r="X345" i="35"/>
  <c r="Y316" i="35"/>
  <c r="Y321" i="35" s="1"/>
  <c r="AB220" i="35"/>
  <c r="Y222" i="35"/>
  <c r="AB222" i="35" s="1"/>
  <c r="N30" i="35"/>
  <c r="N29" i="35"/>
  <c r="AB233" i="35"/>
  <c r="AB235" i="35"/>
  <c r="AB241" i="35"/>
  <c r="AB239" i="35"/>
  <c r="AA294" i="35"/>
  <c r="AA306" i="35"/>
  <c r="AB172" i="35"/>
  <c r="AB174" i="35" s="1"/>
  <c r="X297" i="35"/>
  <c r="Y294" i="35" s="1"/>
  <c r="Y301" i="35"/>
  <c r="Y304" i="35"/>
  <c r="Y326" i="35"/>
  <c r="Y331" i="35" s="1"/>
  <c r="AA303" i="35"/>
  <c r="AA325" i="35"/>
  <c r="Z345" i="35"/>
  <c r="AA301" i="35"/>
  <c r="AA304" i="35"/>
  <c r="AA307" i="35"/>
  <c r="AA326" i="35"/>
  <c r="AA329" i="35"/>
  <c r="AA300" i="35"/>
  <c r="AA328" i="35"/>
  <c r="Z350" i="35"/>
  <c r="AA302" i="35"/>
  <c r="Z219" i="34"/>
  <c r="Y219" i="34"/>
  <c r="Y221" i="34" s="1"/>
  <c r="AB211" i="34"/>
  <c r="AB203" i="34"/>
  <c r="AB195" i="34"/>
  <c r="AB187" i="34"/>
  <c r="AB163" i="34"/>
  <c r="AB151" i="34"/>
  <c r="AB140" i="34"/>
  <c r="AB147" i="34" s="1"/>
  <c r="AA342" i="34"/>
  <c r="Z342" i="34"/>
  <c r="Y342" i="34"/>
  <c r="X342" i="34"/>
  <c r="Z330" i="34"/>
  <c r="AA326" i="34" s="1"/>
  <c r="X330" i="34"/>
  <c r="Y328" i="34" s="1"/>
  <c r="Z320" i="34"/>
  <c r="AA311" i="34" s="1"/>
  <c r="X320" i="34"/>
  <c r="Y317" i="34" s="1"/>
  <c r="Z308" i="34"/>
  <c r="AA306" i="34" s="1"/>
  <c r="X308" i="34"/>
  <c r="Y306" i="34" s="1"/>
  <c r="Z294" i="34"/>
  <c r="X294" i="34"/>
  <c r="Z293" i="34"/>
  <c r="X293" i="34"/>
  <c r="Z292" i="34"/>
  <c r="X292" i="34"/>
  <c r="Z291" i="34"/>
  <c r="X291" i="34"/>
  <c r="Z290" i="34"/>
  <c r="X290" i="34"/>
  <c r="Z289" i="34"/>
  <c r="X289" i="34"/>
  <c r="Z288" i="34"/>
  <c r="X288" i="34"/>
  <c r="Z287" i="34"/>
  <c r="X287" i="34"/>
  <c r="Z273" i="34"/>
  <c r="Z274" i="34" s="1"/>
  <c r="Z271" i="34"/>
  <c r="Z270" i="34"/>
  <c r="Z269" i="34"/>
  <c r="Y269" i="34"/>
  <c r="Z249" i="34"/>
  <c r="AB228" i="34"/>
  <c r="AB220" i="34"/>
  <c r="AB213" i="34"/>
  <c r="AB205" i="34"/>
  <c r="AB204" i="34"/>
  <c r="AB197" i="34"/>
  <c r="AB198" i="34" s="1"/>
  <c r="AB189" i="34"/>
  <c r="AB188" i="34"/>
  <c r="AB190" i="34"/>
  <c r="AB180" i="34"/>
  <c r="AB179" i="34"/>
  <c r="AB182" i="34" s="1"/>
  <c r="AB175" i="34"/>
  <c r="AB173" i="34"/>
  <c r="AB170" i="34"/>
  <c r="AB172" i="34" s="1"/>
  <c r="AB174" i="34" s="1"/>
  <c r="AB164" i="34"/>
  <c r="AB165" i="34" s="1"/>
  <c r="AB166" i="34"/>
  <c r="AB160" i="34"/>
  <c r="AB150" i="34"/>
  <c r="N28" i="34" s="1"/>
  <c r="AB139" i="34"/>
  <c r="B135" i="34"/>
  <c r="B244" i="34" s="1"/>
  <c r="B360" i="34" s="1"/>
  <c r="Z131" i="34"/>
  <c r="Z101" i="34"/>
  <c r="AB131" i="34"/>
  <c r="Z86" i="34"/>
  <c r="AB82" i="34"/>
  <c r="AB85" i="34"/>
  <c r="AB88" i="34" s="1"/>
  <c r="Z73" i="34"/>
  <c r="T69" i="34"/>
  <c r="AB64" i="34"/>
  <c r="AB63" i="34"/>
  <c r="Z345" i="34" s="1"/>
  <c r="Z60" i="34"/>
  <c r="X60" i="34"/>
  <c r="V60" i="34"/>
  <c r="T60" i="34"/>
  <c r="R60" i="34"/>
  <c r="R66" i="34" s="1"/>
  <c r="P60" i="34"/>
  <c r="P66" i="34" s="1"/>
  <c r="AB58" i="34"/>
  <c r="AB57" i="34"/>
  <c r="AB60" i="34" s="1"/>
  <c r="Z263" i="34"/>
  <c r="X48" i="34"/>
  <c r="X47" i="34"/>
  <c r="AB41" i="34"/>
  <c r="L30" i="34"/>
  <c r="J30" i="34"/>
  <c r="H30" i="34"/>
  <c r="F30" i="34"/>
  <c r="D30" i="34"/>
  <c r="AB30" i="34" s="1"/>
  <c r="L29" i="34"/>
  <c r="J29" i="34"/>
  <c r="H29" i="34"/>
  <c r="F29" i="34"/>
  <c r="AB29" i="34" s="1"/>
  <c r="AB34" i="34" s="1"/>
  <c r="Z251" i="34" s="1"/>
  <c r="Z252" i="34" s="1"/>
  <c r="D29" i="34"/>
  <c r="AB28" i="34"/>
  <c r="Y218" i="34" s="1"/>
  <c r="AB183" i="33"/>
  <c r="AB237" i="35" l="1"/>
  <c r="AB183" i="35"/>
  <c r="AB60" i="35"/>
  <c r="AB66" i="35" s="1"/>
  <c r="Z348" i="35" s="1"/>
  <c r="AA288" i="35"/>
  <c r="AA295" i="35"/>
  <c r="AA291" i="35"/>
  <c r="AA290" i="35"/>
  <c r="AA292" i="35"/>
  <c r="AA293" i="35"/>
  <c r="Y288" i="35"/>
  <c r="Y309" i="35"/>
  <c r="AA321" i="35"/>
  <c r="Y223" i="35"/>
  <c r="AA331" i="35"/>
  <c r="AA309" i="35"/>
  <c r="Y295" i="35"/>
  <c r="Y292" i="35"/>
  <c r="Y289" i="35"/>
  <c r="Y293" i="35"/>
  <c r="Y290" i="35"/>
  <c r="Y291" i="35"/>
  <c r="AB206" i="34"/>
  <c r="AB66" i="34"/>
  <c r="Z347" i="34" s="1"/>
  <c r="Z85" i="34"/>
  <c r="Z88" i="34" s="1"/>
  <c r="Z132" i="34" s="1"/>
  <c r="AB183" i="34"/>
  <c r="Z349" i="34"/>
  <c r="AB42" i="34"/>
  <c r="Y327" i="34"/>
  <c r="AA327" i="34"/>
  <c r="AA324" i="34"/>
  <c r="AA328" i="34"/>
  <c r="Y324" i="34"/>
  <c r="X296" i="34"/>
  <c r="Y315" i="34"/>
  <c r="AA315" i="34"/>
  <c r="AA317" i="34"/>
  <c r="Z268" i="34"/>
  <c r="AA305" i="34"/>
  <c r="AA301" i="34"/>
  <c r="AA299" i="34"/>
  <c r="AA303" i="34"/>
  <c r="Z344" i="34"/>
  <c r="Z346" i="34" s="1"/>
  <c r="Y302" i="34"/>
  <c r="Y305" i="34"/>
  <c r="Y303" i="34"/>
  <c r="Y299" i="34"/>
  <c r="Y308" i="34" s="1"/>
  <c r="Y304" i="34"/>
  <c r="X344" i="34"/>
  <c r="Y300" i="34"/>
  <c r="Y301" i="34"/>
  <c r="AB219" i="34"/>
  <c r="AB214" i="34"/>
  <c r="AB238" i="34"/>
  <c r="AB132" i="34"/>
  <c r="AB234" i="34"/>
  <c r="AB240" i="34"/>
  <c r="AB232" i="34"/>
  <c r="AB236" i="34"/>
  <c r="N30" i="34"/>
  <c r="N29" i="34"/>
  <c r="Y293" i="34"/>
  <c r="Y291" i="34"/>
  <c r="Y289" i="34"/>
  <c r="Y287" i="34"/>
  <c r="Y294" i="34"/>
  <c r="Y292" i="34"/>
  <c r="Y290" i="34"/>
  <c r="Y288" i="34"/>
  <c r="Z221" i="34"/>
  <c r="Y222" i="34" s="1"/>
  <c r="Z296" i="34"/>
  <c r="AA291" i="34" s="1"/>
  <c r="AA300" i="34"/>
  <c r="AA302" i="34"/>
  <c r="AA304" i="34"/>
  <c r="Y268" i="34"/>
  <c r="Y311" i="34"/>
  <c r="Y320" i="34" s="1"/>
  <c r="Y326" i="34"/>
  <c r="Y330" i="34" s="1"/>
  <c r="AB92" i="33"/>
  <c r="AB77" i="33"/>
  <c r="AB76" i="33"/>
  <c r="T57" i="33"/>
  <c r="Z75" i="33" s="1"/>
  <c r="AB57" i="33"/>
  <c r="Z219" i="33"/>
  <c r="Z221" i="33" s="1"/>
  <c r="Y219" i="33"/>
  <c r="Y221" i="33" s="1"/>
  <c r="AB211" i="33"/>
  <c r="AB214" i="33" s="1"/>
  <c r="AB203" i="33"/>
  <c r="AB195" i="33"/>
  <c r="AB187" i="33"/>
  <c r="AB163" i="33"/>
  <c r="AB151" i="33"/>
  <c r="AB160" i="33" s="1"/>
  <c r="AB140" i="33"/>
  <c r="AB147" i="33" s="1"/>
  <c r="AA342" i="33"/>
  <c r="Z342" i="33"/>
  <c r="Z269" i="33" s="1"/>
  <c r="Y342" i="33"/>
  <c r="X342" i="33"/>
  <c r="Z330" i="33"/>
  <c r="X330" i="33"/>
  <c r="AA328" i="33"/>
  <c r="Z320" i="33"/>
  <c r="X320" i="33"/>
  <c r="Z308" i="33"/>
  <c r="AA301" i="33" s="1"/>
  <c r="X308" i="33"/>
  <c r="Y306" i="33" s="1"/>
  <c r="Z294" i="33"/>
  <c r="X294" i="33"/>
  <c r="Z293" i="33"/>
  <c r="X293" i="33"/>
  <c r="Z292" i="33"/>
  <c r="X292" i="33"/>
  <c r="Z291" i="33"/>
  <c r="X291" i="33"/>
  <c r="Z290" i="33"/>
  <c r="X290" i="33"/>
  <c r="Z289" i="33"/>
  <c r="X289" i="33"/>
  <c r="Z288" i="33"/>
  <c r="X288" i="33"/>
  <c r="Z287" i="33"/>
  <c r="X287" i="33"/>
  <c r="Z271" i="33"/>
  <c r="Z270" i="33"/>
  <c r="Y269" i="33"/>
  <c r="Z249" i="33"/>
  <c r="AB228" i="33"/>
  <c r="AB220" i="33"/>
  <c r="AB213" i="33"/>
  <c r="AB205" i="33"/>
  <c r="AB204" i="33"/>
  <c r="AB197" i="33"/>
  <c r="AB198" i="33" s="1"/>
  <c r="AB189" i="33"/>
  <c r="AB188" i="33"/>
  <c r="AB180" i="33"/>
  <c r="AB175" i="33"/>
  <c r="AB173" i="33"/>
  <c r="AB170" i="33"/>
  <c r="Z273" i="33" s="1"/>
  <c r="Z274" i="33" s="1"/>
  <c r="AB164" i="33"/>
  <c r="AB165" i="33" s="1"/>
  <c r="AB150" i="33"/>
  <c r="AB139" i="33"/>
  <c r="N28" i="33" s="1"/>
  <c r="N29" i="33" s="1"/>
  <c r="B135" i="33"/>
  <c r="B244" i="33" s="1"/>
  <c r="B360" i="33" s="1"/>
  <c r="Z131" i="33"/>
  <c r="AB113" i="33"/>
  <c r="Z101" i="33"/>
  <c r="Z86" i="33"/>
  <c r="AB82" i="33"/>
  <c r="Z73" i="33"/>
  <c r="Z71" i="33"/>
  <c r="AB179" i="33" s="1"/>
  <c r="T69" i="33"/>
  <c r="R66" i="33"/>
  <c r="AB64" i="33"/>
  <c r="AB63" i="33"/>
  <c r="Z60" i="33"/>
  <c r="X60" i="33"/>
  <c r="V60" i="33"/>
  <c r="R60" i="33"/>
  <c r="P60" i="33"/>
  <c r="P66" i="33" s="1"/>
  <c r="AB58" i="33"/>
  <c r="X48" i="33"/>
  <c r="X47" i="33"/>
  <c r="AB41" i="33"/>
  <c r="L30" i="33"/>
  <c r="J30" i="33"/>
  <c r="H30" i="33"/>
  <c r="F30" i="33"/>
  <c r="D30" i="33"/>
  <c r="L29" i="33"/>
  <c r="J29" i="33"/>
  <c r="H29" i="33"/>
  <c r="F29" i="33"/>
  <c r="D29" i="33"/>
  <c r="AB29" i="33" s="1"/>
  <c r="AB34" i="33" s="1"/>
  <c r="Z251" i="33" s="1"/>
  <c r="Z252" i="33" s="1"/>
  <c r="AB28" i="33"/>
  <c r="Y218" i="33" s="1"/>
  <c r="AB228" i="32"/>
  <c r="AA297" i="35" l="1"/>
  <c r="Y297" i="35"/>
  <c r="AA330" i="34"/>
  <c r="AA320" i="34"/>
  <c r="AA308" i="34"/>
  <c r="AA292" i="34"/>
  <c r="AA289" i="34"/>
  <c r="AA290" i="34"/>
  <c r="AA287" i="34"/>
  <c r="Y296" i="34"/>
  <c r="AA288" i="34"/>
  <c r="AA293" i="34"/>
  <c r="AB221" i="34"/>
  <c r="AA294" i="34"/>
  <c r="AB182" i="33"/>
  <c r="Z345" i="33"/>
  <c r="AB131" i="33"/>
  <c r="Y317" i="33"/>
  <c r="Y311" i="33"/>
  <c r="AA302" i="33"/>
  <c r="AA317" i="33"/>
  <c r="AA311" i="33"/>
  <c r="N30" i="33"/>
  <c r="AA303" i="33"/>
  <c r="AB60" i="33"/>
  <c r="AB66" i="33" s="1"/>
  <c r="Z347" i="33" s="1"/>
  <c r="AB166" i="33"/>
  <c r="AA304" i="33"/>
  <c r="Y328" i="33"/>
  <c r="Y327" i="33"/>
  <c r="Y324" i="33"/>
  <c r="Y326" i="33"/>
  <c r="AA305" i="33"/>
  <c r="AA326" i="33"/>
  <c r="AA324" i="33"/>
  <c r="AA330" i="33" s="1"/>
  <c r="AA327" i="33"/>
  <c r="AB190" i="33"/>
  <c r="AA306" i="33"/>
  <c r="AB85" i="33"/>
  <c r="AB88" i="33" s="1"/>
  <c r="AB238" i="33" s="1"/>
  <c r="AA299" i="33"/>
  <c r="AA300" i="33"/>
  <c r="Y305" i="33"/>
  <c r="Y299" i="33"/>
  <c r="Y302" i="33"/>
  <c r="Y303" i="33"/>
  <c r="Y300" i="33"/>
  <c r="Y301" i="33"/>
  <c r="Y304" i="33"/>
  <c r="X296" i="33"/>
  <c r="Y289" i="33" s="1"/>
  <c r="Z344" i="33"/>
  <c r="Z346" i="33" s="1"/>
  <c r="Z296" i="33"/>
  <c r="AA294" i="33" s="1"/>
  <c r="AA315" i="33"/>
  <c r="Z268" i="33"/>
  <c r="Y268" i="33"/>
  <c r="X344" i="33"/>
  <c r="Y315" i="33"/>
  <c r="T60" i="33"/>
  <c r="Z85" i="33"/>
  <c r="Z88" i="33" s="1"/>
  <c r="Z132" i="33" s="1"/>
  <c r="Z263" i="33"/>
  <c r="AB42" i="33"/>
  <c r="Y222" i="33"/>
  <c r="AB206" i="33"/>
  <c r="AB240" i="33"/>
  <c r="AB132" i="33"/>
  <c r="AB221" i="33"/>
  <c r="AB30" i="33"/>
  <c r="Z349" i="33" s="1"/>
  <c r="AB172" i="33"/>
  <c r="AB174" i="33" s="1"/>
  <c r="AB219" i="33"/>
  <c r="Z263" i="31"/>
  <c r="AA296" i="34" l="1"/>
  <c r="AA308" i="33"/>
  <c r="Y320" i="33"/>
  <c r="Y293" i="33"/>
  <c r="Y291" i="33"/>
  <c r="AB234" i="33"/>
  <c r="Y330" i="33"/>
  <c r="Z253" i="33"/>
  <c r="AB232" i="33"/>
  <c r="AA320" i="33"/>
  <c r="AB236" i="33"/>
  <c r="AA290" i="33"/>
  <c r="AA291" i="33"/>
  <c r="AA292" i="33"/>
  <c r="AA289" i="33"/>
  <c r="Y290" i="33"/>
  <c r="Y292" i="33"/>
  <c r="Y308" i="33"/>
  <c r="Y294" i="33"/>
  <c r="Y287" i="33"/>
  <c r="Y288" i="33"/>
  <c r="AA287" i="33"/>
  <c r="AA293" i="33"/>
  <c r="AA288" i="33"/>
  <c r="AB113" i="32"/>
  <c r="AB92" i="32"/>
  <c r="AB77" i="32"/>
  <c r="AB76" i="32"/>
  <c r="T57" i="32"/>
  <c r="Z263" i="32" s="1"/>
  <c r="AA296" i="33" l="1"/>
  <c r="Y296" i="33"/>
  <c r="Z75" i="32"/>
  <c r="Z219" i="32"/>
  <c r="Z221" i="32" s="1"/>
  <c r="Y219" i="32"/>
  <c r="Y221" i="32" s="1"/>
  <c r="AB211" i="32"/>
  <c r="AB203" i="32"/>
  <c r="AB195" i="32"/>
  <c r="AB187" i="32"/>
  <c r="AB163" i="32"/>
  <c r="AB151" i="32"/>
  <c r="AB140" i="32"/>
  <c r="AB147" i="32" s="1"/>
  <c r="AA342" i="32"/>
  <c r="Z342" i="32"/>
  <c r="Y342" i="32"/>
  <c r="X342" i="32"/>
  <c r="Y269" i="32" s="1"/>
  <c r="Z330" i="32"/>
  <c r="AA328" i="32" s="1"/>
  <c r="AA330" i="32" s="1"/>
  <c r="X330" i="32"/>
  <c r="Y328" i="32" s="1"/>
  <c r="Y330" i="32" s="1"/>
  <c r="Z320" i="32"/>
  <c r="X320" i="32"/>
  <c r="Z308" i="32"/>
  <c r="AA305" i="32" s="1"/>
  <c r="X308" i="32"/>
  <c r="Y304" i="32" s="1"/>
  <c r="Z294" i="32"/>
  <c r="X294" i="32"/>
  <c r="Z293" i="32"/>
  <c r="X293" i="32"/>
  <c r="Z292" i="32"/>
  <c r="X292" i="32"/>
  <c r="Z291" i="32"/>
  <c r="X291" i="32"/>
  <c r="Z290" i="32"/>
  <c r="X290" i="32"/>
  <c r="Z289" i="32"/>
  <c r="X289" i="32"/>
  <c r="Z288" i="32"/>
  <c r="X288" i="32"/>
  <c r="Z287" i="32"/>
  <c r="X287" i="32"/>
  <c r="Z271" i="32"/>
  <c r="Z270" i="32"/>
  <c r="Z249" i="32"/>
  <c r="AB220" i="32"/>
  <c r="AB213" i="32"/>
  <c r="AB205" i="32"/>
  <c r="AB204" i="32"/>
  <c r="AB197" i="32"/>
  <c r="AB198" i="32" s="1"/>
  <c r="AB189" i="32"/>
  <c r="AB188" i="32"/>
  <c r="AB180" i="32"/>
  <c r="AB175" i="32"/>
  <c r="AB173" i="32"/>
  <c r="AB170" i="32"/>
  <c r="AB172" i="32" s="1"/>
  <c r="AB164" i="32"/>
  <c r="AB165" i="32" s="1"/>
  <c r="AB160" i="32"/>
  <c r="AB150" i="32"/>
  <c r="AB139" i="32"/>
  <c r="B135" i="32"/>
  <c r="B244" i="32" s="1"/>
  <c r="B360" i="32" s="1"/>
  <c r="Z131" i="32"/>
  <c r="Z101" i="32"/>
  <c r="AB131" i="32"/>
  <c r="Z86" i="32"/>
  <c r="AB82" i="32"/>
  <c r="AB85" i="32"/>
  <c r="AB88" i="32" s="1"/>
  <c r="Z73" i="32"/>
  <c r="Z71" i="32"/>
  <c r="AB179" i="32" s="1"/>
  <c r="T69" i="32"/>
  <c r="AB64" i="32"/>
  <c r="AB63" i="32"/>
  <c r="Z60" i="32"/>
  <c r="X60" i="32"/>
  <c r="V60" i="32"/>
  <c r="T60" i="32"/>
  <c r="R60" i="32"/>
  <c r="R66" i="32" s="1"/>
  <c r="P60" i="32"/>
  <c r="P66" i="32" s="1"/>
  <c r="AB58" i="32"/>
  <c r="AB57" i="32"/>
  <c r="X48" i="32"/>
  <c r="X47" i="32"/>
  <c r="AB41" i="32"/>
  <c r="L30" i="32"/>
  <c r="J30" i="32"/>
  <c r="H30" i="32"/>
  <c r="F30" i="32"/>
  <c r="D30" i="32"/>
  <c r="L29" i="32"/>
  <c r="J29" i="32"/>
  <c r="H29" i="32"/>
  <c r="F29" i="32"/>
  <c r="D29" i="32"/>
  <c r="AB28" i="32"/>
  <c r="Y218" i="32" s="1"/>
  <c r="AB131" i="31"/>
  <c r="AB190" i="32" l="1"/>
  <c r="AB174" i="32"/>
  <c r="AB221" i="32"/>
  <c r="AB219" i="32"/>
  <c r="AB60" i="32"/>
  <c r="AB66" i="32" s="1"/>
  <c r="Z347" i="32" s="1"/>
  <c r="Z345" i="32"/>
  <c r="Z268" i="32"/>
  <c r="AA315" i="32"/>
  <c r="AB166" i="32"/>
  <c r="AB214" i="32"/>
  <c r="N28" i="32"/>
  <c r="AA317" i="32"/>
  <c r="AA320" i="32" s="1"/>
  <c r="Y317" i="32"/>
  <c r="Y315" i="32"/>
  <c r="AB182" i="32"/>
  <c r="Z273" i="32"/>
  <c r="Z274" i="32" s="1"/>
  <c r="Z85" i="32"/>
  <c r="Z88" i="32" s="1"/>
  <c r="Z132" i="32" s="1"/>
  <c r="AB42" i="32"/>
  <c r="AB30" i="32"/>
  <c r="Z349" i="32" s="1"/>
  <c r="AB29" i="32"/>
  <c r="AB34" i="32" s="1"/>
  <c r="Z251" i="32" s="1"/>
  <c r="Z252" i="32" s="1"/>
  <c r="X296" i="32"/>
  <c r="Y294" i="32" s="1"/>
  <c r="Z296" i="32"/>
  <c r="AA294" i="32" s="1"/>
  <c r="Z344" i="32"/>
  <c r="Z346" i="32" s="1"/>
  <c r="Y301" i="32"/>
  <c r="Y305" i="32"/>
  <c r="Y302" i="32"/>
  <c r="Y306" i="32"/>
  <c r="X344" i="32"/>
  <c r="Y299" i="32"/>
  <c r="Y303" i="32"/>
  <c r="Y300" i="32"/>
  <c r="Y222" i="32"/>
  <c r="AB206" i="32"/>
  <c r="Z253" i="32"/>
  <c r="AB234" i="32"/>
  <c r="AB240" i="32"/>
  <c r="AB232" i="32"/>
  <c r="AB132" i="32"/>
  <c r="AB238" i="32"/>
  <c r="AB236" i="32"/>
  <c r="N30" i="32"/>
  <c r="N29" i="32"/>
  <c r="Z269" i="32"/>
  <c r="AA300" i="32"/>
  <c r="AA302" i="32"/>
  <c r="AA304" i="32"/>
  <c r="AA306" i="32"/>
  <c r="Y268" i="32"/>
  <c r="AA299" i="32"/>
  <c r="AA301" i="32"/>
  <c r="AA303" i="32"/>
  <c r="AB113" i="31"/>
  <c r="AB92" i="31"/>
  <c r="AB77" i="31"/>
  <c r="AB76" i="31"/>
  <c r="Y289" i="32" l="1"/>
  <c r="Y290" i="32"/>
  <c r="Y291" i="32"/>
  <c r="Y287" i="32"/>
  <c r="Y288" i="32"/>
  <c r="AA288" i="32"/>
  <c r="Y292" i="32"/>
  <c r="Y293" i="32"/>
  <c r="AA287" i="32"/>
  <c r="Y320" i="32"/>
  <c r="AA293" i="32"/>
  <c r="AA292" i="32"/>
  <c r="AA291" i="32"/>
  <c r="AA290" i="32"/>
  <c r="AA289" i="32"/>
  <c r="Y308" i="32"/>
  <c r="AA308" i="32"/>
  <c r="Z75" i="31"/>
  <c r="T57" i="31"/>
  <c r="Y296" i="32" l="1"/>
  <c r="AA296" i="32"/>
  <c r="Z344" i="31"/>
  <c r="Z219" i="31"/>
  <c r="Y219" i="31"/>
  <c r="Y221" i="31" s="1"/>
  <c r="AB211" i="31"/>
  <c r="AB203" i="31"/>
  <c r="AB195" i="31"/>
  <c r="AB187" i="31"/>
  <c r="AB163" i="31"/>
  <c r="AB151" i="31"/>
  <c r="AB160" i="31" s="1"/>
  <c r="AB140" i="31"/>
  <c r="AB147" i="31" s="1"/>
  <c r="AA342" i="31"/>
  <c r="Z342" i="31"/>
  <c r="Z269" i="31" s="1"/>
  <c r="Y342" i="31"/>
  <c r="X342" i="31"/>
  <c r="Z330" i="31"/>
  <c r="AA328" i="31" s="1"/>
  <c r="AA330" i="31" s="1"/>
  <c r="X330" i="31"/>
  <c r="Y328" i="31" s="1"/>
  <c r="Y330" i="31" s="1"/>
  <c r="Z320" i="31"/>
  <c r="AA317" i="31" s="1"/>
  <c r="AA320" i="31" s="1"/>
  <c r="X320" i="31"/>
  <c r="Z308" i="31"/>
  <c r="AA301" i="31" s="1"/>
  <c r="X308" i="31"/>
  <c r="Y302" i="31" s="1"/>
  <c r="Z294" i="31"/>
  <c r="X294" i="31"/>
  <c r="Z293" i="31"/>
  <c r="X293" i="31"/>
  <c r="Z292" i="31"/>
  <c r="X292" i="31"/>
  <c r="Z291" i="31"/>
  <c r="X291" i="31"/>
  <c r="Z290" i="31"/>
  <c r="X290" i="31"/>
  <c r="Z289" i="31"/>
  <c r="X289" i="31"/>
  <c r="Z288" i="31"/>
  <c r="X288" i="31"/>
  <c r="Z287" i="31"/>
  <c r="X287" i="31"/>
  <c r="Z271" i="31"/>
  <c r="Z270" i="31"/>
  <c r="Y269" i="31"/>
  <c r="Z249" i="31"/>
  <c r="AB228" i="31"/>
  <c r="AB220" i="31"/>
  <c r="Z221" i="31"/>
  <c r="AB213" i="31"/>
  <c r="AB205" i="31"/>
  <c r="AB204" i="31"/>
  <c r="AB197" i="31"/>
  <c r="AB198" i="31" s="1"/>
  <c r="AB189" i="31"/>
  <c r="AB188" i="31"/>
  <c r="AB180" i="31"/>
  <c r="AB175" i="31"/>
  <c r="AB173" i="31"/>
  <c r="AB170" i="31"/>
  <c r="Z273" i="31" s="1"/>
  <c r="Z274" i="31" s="1"/>
  <c r="AB164" i="31"/>
  <c r="AB165" i="31" s="1"/>
  <c r="AB150" i="31"/>
  <c r="AB139" i="31"/>
  <c r="B135" i="31"/>
  <c r="B244" i="31" s="1"/>
  <c r="B360" i="31" s="1"/>
  <c r="Z131" i="31"/>
  <c r="Z101" i="31"/>
  <c r="Z86" i="31"/>
  <c r="AB82" i="31"/>
  <c r="AB85" i="31"/>
  <c r="AB88" i="31" s="1"/>
  <c r="Z73" i="31"/>
  <c r="Z71" i="31"/>
  <c r="AB179" i="31" s="1"/>
  <c r="T69" i="31"/>
  <c r="AB64" i="31"/>
  <c r="AB63" i="31"/>
  <c r="Z60" i="31"/>
  <c r="X60" i="31"/>
  <c r="V60" i="31"/>
  <c r="R60" i="31"/>
  <c r="R66" i="31" s="1"/>
  <c r="P60" i="31"/>
  <c r="P66" i="31" s="1"/>
  <c r="AB58" i="31"/>
  <c r="X48" i="31"/>
  <c r="X47" i="31"/>
  <c r="AB41" i="31"/>
  <c r="L30" i="31"/>
  <c r="J30" i="31"/>
  <c r="H30" i="31"/>
  <c r="F30" i="31"/>
  <c r="D30" i="31"/>
  <c r="L29" i="31"/>
  <c r="J29" i="31"/>
  <c r="H29" i="31"/>
  <c r="F29" i="31"/>
  <c r="D29" i="31"/>
  <c r="AB28" i="31"/>
  <c r="Y218" i="31" s="1"/>
  <c r="N28" i="31"/>
  <c r="N29" i="31" s="1"/>
  <c r="AB151" i="30"/>
  <c r="AB113" i="30"/>
  <c r="AB92" i="30"/>
  <c r="AB77" i="30"/>
  <c r="AB76" i="30"/>
  <c r="Z268" i="31" l="1"/>
  <c r="AB214" i="31"/>
  <c r="Z345" i="31"/>
  <c r="AB166" i="31"/>
  <c r="AB57" i="31"/>
  <c r="AB60" i="31" s="1"/>
  <c r="AB66" i="31" s="1"/>
  <c r="Z347" i="31" s="1"/>
  <c r="T60" i="31"/>
  <c r="AB182" i="31"/>
  <c r="Y268" i="31"/>
  <c r="Y317" i="31"/>
  <c r="Y320" i="31" s="1"/>
  <c r="Y306" i="31"/>
  <c r="Y305" i="31"/>
  <c r="AB42" i="31"/>
  <c r="N30" i="31"/>
  <c r="Y300" i="31"/>
  <c r="AB190" i="31"/>
  <c r="AB29" i="31"/>
  <c r="AB34" i="31" s="1"/>
  <c r="Z251" i="31" s="1"/>
  <c r="Z252" i="31" s="1"/>
  <c r="Y304" i="31"/>
  <c r="AB206" i="31"/>
  <c r="AA304" i="31"/>
  <c r="AA299" i="31"/>
  <c r="AA302" i="31"/>
  <c r="AA300" i="31"/>
  <c r="AA303" i="31"/>
  <c r="AA306" i="31"/>
  <c r="AA305" i="31"/>
  <c r="Y299" i="31"/>
  <c r="Y301" i="31"/>
  <c r="Y303" i="31"/>
  <c r="X296" i="31"/>
  <c r="Y293" i="31" s="1"/>
  <c r="X344" i="31"/>
  <c r="AB221" i="31"/>
  <c r="Y222" i="31"/>
  <c r="Y294" i="31"/>
  <c r="Y289" i="31"/>
  <c r="AB238" i="31"/>
  <c r="AB232" i="31"/>
  <c r="AB236" i="31"/>
  <c r="Z253" i="31"/>
  <c r="AB234" i="31"/>
  <c r="AB240" i="31"/>
  <c r="AB132" i="31"/>
  <c r="AB30" i="31"/>
  <c r="Z349" i="31" s="1"/>
  <c r="Z85" i="31"/>
  <c r="Z88" i="31" s="1"/>
  <c r="Z132" i="31" s="1"/>
  <c r="AB172" i="31"/>
  <c r="AB174" i="31" s="1"/>
  <c r="AB219" i="31"/>
  <c r="Z296" i="31"/>
  <c r="AA288" i="31" s="1"/>
  <c r="AB211" i="30"/>
  <c r="AB203" i="30"/>
  <c r="AB195" i="30"/>
  <c r="AB187" i="30"/>
  <c r="AB163" i="30"/>
  <c r="AB140" i="30"/>
  <c r="AB147" i="30" s="1"/>
  <c r="Z219" i="30"/>
  <c r="Y219" i="30"/>
  <c r="Z354" i="30"/>
  <c r="X354" i="30"/>
  <c r="AA342" i="30"/>
  <c r="Z342" i="30"/>
  <c r="Y342" i="30"/>
  <c r="X342" i="30"/>
  <c r="AA330" i="30"/>
  <c r="Z330" i="30"/>
  <c r="Y330" i="30"/>
  <c r="X330" i="30"/>
  <c r="AA320" i="30"/>
  <c r="Z320" i="30"/>
  <c r="Y320" i="30"/>
  <c r="X320" i="30"/>
  <c r="Y268" i="30" s="1"/>
  <c r="Z308" i="30"/>
  <c r="AA306" i="30" s="1"/>
  <c r="X308" i="30"/>
  <c r="Y306" i="30" s="1"/>
  <c r="Z294" i="30"/>
  <c r="X294" i="30"/>
  <c r="Z293" i="30"/>
  <c r="X293" i="30"/>
  <c r="Z292" i="30"/>
  <c r="X292" i="30"/>
  <c r="Z291" i="30"/>
  <c r="X291" i="30"/>
  <c r="Z290" i="30"/>
  <c r="X290" i="30"/>
  <c r="Z289" i="30"/>
  <c r="X289" i="30"/>
  <c r="Z288" i="30"/>
  <c r="X288" i="30"/>
  <c r="Z287" i="30"/>
  <c r="X287" i="30"/>
  <c r="Z271" i="30"/>
  <c r="Z270" i="30"/>
  <c r="Y269" i="30"/>
  <c r="Z268" i="30"/>
  <c r="Z249" i="30"/>
  <c r="AB228" i="30"/>
  <c r="AB220" i="30"/>
  <c r="AB213" i="30"/>
  <c r="AB205" i="30"/>
  <c r="AB204" i="30"/>
  <c r="AB197" i="30"/>
  <c r="AB198" i="30" s="1"/>
  <c r="AB189" i="30"/>
  <c r="AB188" i="30"/>
  <c r="AB180" i="30"/>
  <c r="AB175" i="30"/>
  <c r="AB173" i="30"/>
  <c r="AB170" i="30"/>
  <c r="Z273" i="30" s="1"/>
  <c r="Z274" i="30" s="1"/>
  <c r="AB164" i="30"/>
  <c r="AB165" i="30" s="1"/>
  <c r="AB160" i="30"/>
  <c r="AB150" i="30"/>
  <c r="AB139" i="30"/>
  <c r="B135" i="30"/>
  <c r="B244" i="30" s="1"/>
  <c r="B376" i="30" s="1"/>
  <c r="Z131" i="30"/>
  <c r="Z101" i="30"/>
  <c r="AB131" i="30"/>
  <c r="Z86" i="30"/>
  <c r="AB82" i="30"/>
  <c r="AB85" i="30"/>
  <c r="AB88" i="30" s="1"/>
  <c r="Z73" i="30"/>
  <c r="Z71" i="30"/>
  <c r="AB179" i="30" s="1"/>
  <c r="T69" i="30"/>
  <c r="AB64" i="30"/>
  <c r="AB63" i="30"/>
  <c r="Z60" i="30"/>
  <c r="X60" i="30"/>
  <c r="V60" i="30"/>
  <c r="T60" i="30"/>
  <c r="R60" i="30"/>
  <c r="R66" i="30" s="1"/>
  <c r="P60" i="30"/>
  <c r="P66" i="30" s="1"/>
  <c r="AB58" i="30"/>
  <c r="T57" i="30"/>
  <c r="X48" i="30"/>
  <c r="X47" i="30"/>
  <c r="AB41" i="30"/>
  <c r="L30" i="30"/>
  <c r="J30" i="30"/>
  <c r="H30" i="30"/>
  <c r="F30" i="30"/>
  <c r="D30" i="30"/>
  <c r="L29" i="30"/>
  <c r="J29" i="30"/>
  <c r="H29" i="30"/>
  <c r="F29" i="30"/>
  <c r="D29" i="30"/>
  <c r="AB28" i="30"/>
  <c r="Y218" i="30" s="1"/>
  <c r="Y308" i="31" l="1"/>
  <c r="AA308" i="31"/>
  <c r="Z346" i="31"/>
  <c r="AA291" i="31"/>
  <c r="AA294" i="31"/>
  <c r="AA289" i="31"/>
  <c r="AA287" i="31"/>
  <c r="AA292" i="31"/>
  <c r="Y290" i="31"/>
  <c r="Y291" i="31"/>
  <c r="Y287" i="31"/>
  <c r="Y292" i="31"/>
  <c r="Y288" i="31"/>
  <c r="AA290" i="31"/>
  <c r="AA293" i="31"/>
  <c r="AB214" i="30"/>
  <c r="AB166" i="30"/>
  <c r="Z360" i="30"/>
  <c r="AB190" i="30"/>
  <c r="N28" i="30"/>
  <c r="N29" i="30" s="1"/>
  <c r="AB219" i="30"/>
  <c r="Z263" i="30"/>
  <c r="Z75" i="30"/>
  <c r="Z85" i="30" s="1"/>
  <c r="Z88" i="30" s="1"/>
  <c r="Z132" i="30" s="1"/>
  <c r="AB57" i="30"/>
  <c r="AB60" i="30" s="1"/>
  <c r="AB66" i="30" s="1"/>
  <c r="Z362" i="30" s="1"/>
  <c r="Y221" i="30"/>
  <c r="AB206" i="30"/>
  <c r="AB182" i="30"/>
  <c r="AB42" i="30"/>
  <c r="AB29" i="30"/>
  <c r="AB34" i="30" s="1"/>
  <c r="Z251" i="30" s="1"/>
  <c r="Z252" i="30" s="1"/>
  <c r="Y354" i="30"/>
  <c r="AA301" i="30"/>
  <c r="AA303" i="30"/>
  <c r="AA305" i="30"/>
  <c r="AA299" i="30"/>
  <c r="Z359" i="30"/>
  <c r="AA355" i="30" s="1"/>
  <c r="X296" i="30"/>
  <c r="Y287" i="30" s="1"/>
  <c r="Y299" i="30"/>
  <c r="Y304" i="30"/>
  <c r="Y302" i="30"/>
  <c r="Y305" i="30"/>
  <c r="Y300" i="30"/>
  <c r="Y303" i="30"/>
  <c r="X359" i="30"/>
  <c r="Y355" i="30" s="1"/>
  <c r="Y301" i="30"/>
  <c r="Z364" i="30"/>
  <c r="AB238" i="30"/>
  <c r="AB240" i="30"/>
  <c r="AB236" i="30"/>
  <c r="Z253" i="30"/>
  <c r="AB234" i="30"/>
  <c r="AB232" i="30"/>
  <c r="AB132" i="30"/>
  <c r="Y291" i="30"/>
  <c r="Y289" i="30"/>
  <c r="Y292" i="30"/>
  <c r="Y290" i="30"/>
  <c r="Z221" i="30"/>
  <c r="AB30" i="30"/>
  <c r="Z296" i="30"/>
  <c r="AA287" i="30" s="1"/>
  <c r="Z269" i="30"/>
  <c r="AA300" i="30"/>
  <c r="AA302" i="30"/>
  <c r="AA304" i="30"/>
  <c r="AA354" i="30"/>
  <c r="AB172" i="30"/>
  <c r="AB174" i="30" s="1"/>
  <c r="Z131" i="29"/>
  <c r="Y296" i="31" l="1"/>
  <c r="AA296" i="31"/>
  <c r="N30" i="30"/>
  <c r="AB221" i="30"/>
  <c r="Z361" i="30"/>
  <c r="AA308" i="30"/>
  <c r="AA292" i="30"/>
  <c r="Y294" i="30"/>
  <c r="Y293" i="30"/>
  <c r="Y288" i="30"/>
  <c r="Y308" i="30"/>
  <c r="Y222" i="30"/>
  <c r="AA290" i="30"/>
  <c r="AA293" i="30"/>
  <c r="AA291" i="30"/>
  <c r="AA289" i="30"/>
  <c r="AA288" i="30"/>
  <c r="AA294" i="30"/>
  <c r="AB113" i="29"/>
  <c r="AB92" i="29"/>
  <c r="AB77" i="29"/>
  <c r="AB76" i="29"/>
  <c r="T57" i="29"/>
  <c r="Z75" i="29" s="1"/>
  <c r="AA296" i="30" l="1"/>
  <c r="Y296" i="30"/>
  <c r="Z219" i="29"/>
  <c r="Z221" i="29" s="1"/>
  <c r="Y219" i="29"/>
  <c r="AB211" i="29"/>
  <c r="AB203" i="29"/>
  <c r="AB206" i="29" s="1"/>
  <c r="AB195" i="29"/>
  <c r="AB187" i="29"/>
  <c r="AB163" i="29"/>
  <c r="AB166" i="29" s="1"/>
  <c r="AB151" i="29"/>
  <c r="AB160" i="29" s="1"/>
  <c r="AB140" i="29"/>
  <c r="AB147" i="29" s="1"/>
  <c r="Z354" i="29"/>
  <c r="AA356" i="29" s="1"/>
  <c r="X354" i="29"/>
  <c r="Y357" i="29" s="1"/>
  <c r="Y352" i="29"/>
  <c r="Y351" i="29"/>
  <c r="Y350" i="29"/>
  <c r="Y349" i="29"/>
  <c r="Y348" i="29"/>
  <c r="Y347" i="29"/>
  <c r="Y346" i="29"/>
  <c r="Y345" i="29"/>
  <c r="Y354" i="29" s="1"/>
  <c r="AA342" i="29"/>
  <c r="Z342" i="29"/>
  <c r="Y342" i="29"/>
  <c r="X342" i="29"/>
  <c r="AA330" i="29"/>
  <c r="Z330" i="29"/>
  <c r="Y330" i="29"/>
  <c r="X330" i="29"/>
  <c r="AA320" i="29"/>
  <c r="Z320" i="29"/>
  <c r="Y320" i="29"/>
  <c r="X320" i="29"/>
  <c r="Z308" i="29"/>
  <c r="AA306" i="29" s="1"/>
  <c r="X308" i="29"/>
  <c r="Y306" i="29" s="1"/>
  <c r="Z294" i="29"/>
  <c r="X294" i="29"/>
  <c r="Z293" i="29"/>
  <c r="X293" i="29"/>
  <c r="Z292" i="29"/>
  <c r="X292" i="29"/>
  <c r="Z291" i="29"/>
  <c r="X291" i="29"/>
  <c r="Z290" i="29"/>
  <c r="X290" i="29"/>
  <c r="Z289" i="29"/>
  <c r="X289" i="29"/>
  <c r="Z288" i="29"/>
  <c r="X288" i="29"/>
  <c r="Z287" i="29"/>
  <c r="X287" i="29"/>
  <c r="Z271" i="29"/>
  <c r="Z270" i="29"/>
  <c r="Z269" i="29"/>
  <c r="Y269" i="29"/>
  <c r="Z268" i="29"/>
  <c r="Y268" i="29"/>
  <c r="Z249" i="29"/>
  <c r="AB228" i="29"/>
  <c r="AB220" i="29"/>
  <c r="Y221" i="29"/>
  <c r="AB213" i="29"/>
  <c r="AB205" i="29"/>
  <c r="AB204" i="29"/>
  <c r="AB197" i="29"/>
  <c r="AB198" i="29" s="1"/>
  <c r="AB189" i="29"/>
  <c r="AB188" i="29"/>
  <c r="AB180" i="29"/>
  <c r="AB175" i="29"/>
  <c r="AB173" i="29"/>
  <c r="AB170" i="29"/>
  <c r="Z273" i="29" s="1"/>
  <c r="Z274" i="29" s="1"/>
  <c r="AB164" i="29"/>
  <c r="AB165" i="29" s="1"/>
  <c r="AB150" i="29"/>
  <c r="AB139" i="29"/>
  <c r="N28" i="29" s="1"/>
  <c r="B135" i="29"/>
  <c r="B244" i="29" s="1"/>
  <c r="B376" i="29" s="1"/>
  <c r="Z101" i="29"/>
  <c r="AB131" i="29"/>
  <c r="Z86" i="29"/>
  <c r="AB82" i="29"/>
  <c r="AB85" i="29"/>
  <c r="AB88" i="29" s="1"/>
  <c r="Z73" i="29"/>
  <c r="Z71" i="29"/>
  <c r="AB179" i="29" s="1"/>
  <c r="T69" i="29"/>
  <c r="AB64" i="29"/>
  <c r="AB63" i="29"/>
  <c r="Z360" i="29" s="1"/>
  <c r="Z60" i="29"/>
  <c r="X60" i="29"/>
  <c r="V60" i="29"/>
  <c r="R60" i="29"/>
  <c r="R66" i="29" s="1"/>
  <c r="P60" i="29"/>
  <c r="P66" i="29" s="1"/>
  <c r="AB58" i="29"/>
  <c r="Z263" i="29"/>
  <c r="X48" i="29"/>
  <c r="X47" i="29"/>
  <c r="AB41" i="29"/>
  <c r="L30" i="29"/>
  <c r="J30" i="29"/>
  <c r="H30" i="29"/>
  <c r="F30" i="29"/>
  <c r="D30" i="29"/>
  <c r="L29" i="29"/>
  <c r="J29" i="29"/>
  <c r="H29" i="29"/>
  <c r="F29" i="29"/>
  <c r="D29" i="29"/>
  <c r="AB28" i="29"/>
  <c r="Y218" i="29" s="1"/>
  <c r="N29" i="29" l="1"/>
  <c r="N30" i="29"/>
  <c r="AB214" i="29"/>
  <c r="AA346" i="29"/>
  <c r="AB190" i="29"/>
  <c r="AB29" i="29"/>
  <c r="AA347" i="29"/>
  <c r="AA345" i="29"/>
  <c r="AB182" i="29"/>
  <c r="AA349" i="29"/>
  <c r="AA351" i="29"/>
  <c r="AA357" i="29"/>
  <c r="AA300" i="29"/>
  <c r="AA304" i="29"/>
  <c r="AA301" i="29"/>
  <c r="AA305" i="29"/>
  <c r="AA299" i="29"/>
  <c r="AA303" i="29"/>
  <c r="AA302" i="29"/>
  <c r="Z359" i="29"/>
  <c r="AA355" i="29" s="1"/>
  <c r="X359" i="29"/>
  <c r="Y355" i="29" s="1"/>
  <c r="X296" i="29"/>
  <c r="Y287" i="29" s="1"/>
  <c r="Y305" i="29"/>
  <c r="Y300" i="29"/>
  <c r="Y302" i="29"/>
  <c r="Y299" i="29"/>
  <c r="Y301" i="29"/>
  <c r="Y303" i="29"/>
  <c r="AB221" i="29"/>
  <c r="Y222" i="29"/>
  <c r="AB238" i="29"/>
  <c r="AB236" i="29"/>
  <c r="AB240" i="29"/>
  <c r="AB232" i="29"/>
  <c r="AB132" i="29"/>
  <c r="Z253" i="29"/>
  <c r="AB234" i="29"/>
  <c r="Y294" i="29"/>
  <c r="Y290" i="29"/>
  <c r="Y293" i="29"/>
  <c r="Y291" i="29"/>
  <c r="Y288" i="29"/>
  <c r="AB57" i="29"/>
  <c r="AB60" i="29" s="1"/>
  <c r="AB66" i="29" s="1"/>
  <c r="Z362" i="29" s="1"/>
  <c r="AB30" i="29"/>
  <c r="Z364" i="29" s="1"/>
  <c r="Z85" i="29"/>
  <c r="Z88" i="29" s="1"/>
  <c r="Z132" i="29" s="1"/>
  <c r="AB172" i="29"/>
  <c r="AB174" i="29" s="1"/>
  <c r="AB219" i="29"/>
  <c r="Z296" i="29"/>
  <c r="AA293" i="29" s="1"/>
  <c r="Y304" i="29"/>
  <c r="Y356" i="29"/>
  <c r="AB42" i="29"/>
  <c r="T60" i="29"/>
  <c r="AA348" i="29"/>
  <c r="AA350" i="29"/>
  <c r="AA352" i="29"/>
  <c r="Z75" i="28"/>
  <c r="AB34" i="29" l="1"/>
  <c r="Z251" i="29" s="1"/>
  <c r="Z252" i="29" s="1"/>
  <c r="AA354" i="29"/>
  <c r="AA291" i="29"/>
  <c r="Z361" i="29"/>
  <c r="AA288" i="29"/>
  <c r="AA294" i="29"/>
  <c r="AA289" i="29"/>
  <c r="AA308" i="29"/>
  <c r="Y289" i="29"/>
  <c r="Y292" i="29"/>
  <c r="Y308" i="29"/>
  <c r="AA292" i="29"/>
  <c r="AA287" i="29"/>
  <c r="Y296" i="29"/>
  <c r="AA290" i="29"/>
  <c r="Z85" i="28"/>
  <c r="Z131" i="28"/>
  <c r="AA296" i="29" l="1"/>
  <c r="AB113" i="28"/>
  <c r="AB92" i="28"/>
  <c r="AB77" i="28"/>
  <c r="AB76" i="28"/>
  <c r="T57" i="28"/>
  <c r="AA355" i="28" l="1"/>
  <c r="AB211" i="28" l="1"/>
  <c r="AB203" i="28"/>
  <c r="AB195" i="28"/>
  <c r="AB187" i="28"/>
  <c r="AB190" i="28" s="1"/>
  <c r="AB163" i="28"/>
  <c r="AB151" i="28"/>
  <c r="AB140" i="28"/>
  <c r="AB147" i="28" s="1"/>
  <c r="Z219" i="28"/>
  <c r="Z221" i="28" s="1"/>
  <c r="Y219" i="28"/>
  <c r="AA357" i="28"/>
  <c r="Z354" i="28"/>
  <c r="AA356" i="28" s="1"/>
  <c r="X354" i="28"/>
  <c r="AA352" i="28"/>
  <c r="AA351" i="28"/>
  <c r="AA350" i="28"/>
  <c r="AA349" i="28"/>
  <c r="Y349" i="28"/>
  <c r="AA348" i="28"/>
  <c r="AA347" i="28"/>
  <c r="Y347" i="28"/>
  <c r="AA346" i="28"/>
  <c r="AA354" i="28" s="1"/>
  <c r="AA345" i="28"/>
  <c r="Y345" i="28"/>
  <c r="AA342" i="28"/>
  <c r="Z342" i="28"/>
  <c r="Y342" i="28"/>
  <c r="X342" i="28"/>
  <c r="AA330" i="28"/>
  <c r="Z330" i="28"/>
  <c r="Y330" i="28"/>
  <c r="X330" i="28"/>
  <c r="AA320" i="28"/>
  <c r="Z320" i="28"/>
  <c r="Y320" i="28"/>
  <c r="X320" i="28"/>
  <c r="Z308" i="28"/>
  <c r="AA303" i="28" s="1"/>
  <c r="X308" i="28"/>
  <c r="Y305" i="28" s="1"/>
  <c r="Y301" i="28"/>
  <c r="Z294" i="28"/>
  <c r="X294" i="28"/>
  <c r="Z293" i="28"/>
  <c r="X293" i="28"/>
  <c r="Z292" i="28"/>
  <c r="X292" i="28"/>
  <c r="Z291" i="28"/>
  <c r="X291" i="28"/>
  <c r="Z290" i="28"/>
  <c r="X290" i="28"/>
  <c r="Z289" i="28"/>
  <c r="X289" i="28"/>
  <c r="Z288" i="28"/>
  <c r="X288" i="28"/>
  <c r="Z287" i="28"/>
  <c r="X287" i="28"/>
  <c r="Z271" i="28"/>
  <c r="Z270" i="28"/>
  <c r="Z269" i="28"/>
  <c r="Z268" i="28"/>
  <c r="Y268" i="28"/>
  <c r="Z263" i="28"/>
  <c r="Z249" i="28"/>
  <c r="AB228" i="28"/>
  <c r="AB220" i="28"/>
  <c r="Y218" i="28"/>
  <c r="AB213" i="28"/>
  <c r="AB214" i="28" s="1"/>
  <c r="AB205" i="28"/>
  <c r="AB204" i="28"/>
  <c r="AB198" i="28"/>
  <c r="AB197" i="28"/>
  <c r="AB189" i="28"/>
  <c r="AB188" i="28"/>
  <c r="AB180" i="28"/>
  <c r="AB175" i="28"/>
  <c r="AB173" i="28"/>
  <c r="AB170" i="28"/>
  <c r="Z273" i="28" s="1"/>
  <c r="Z274" i="28" s="1"/>
  <c r="AB164" i="28"/>
  <c r="AB165" i="28" s="1"/>
  <c r="AB166" i="28"/>
  <c r="AB160" i="28"/>
  <c r="AB150" i="28"/>
  <c r="AB139" i="28"/>
  <c r="B135" i="28"/>
  <c r="B244" i="28" s="1"/>
  <c r="B376" i="28" s="1"/>
  <c r="Z101" i="28"/>
  <c r="AB131" i="28"/>
  <c r="Z86" i="28"/>
  <c r="AB82" i="28"/>
  <c r="AB85" i="28"/>
  <c r="AB88" i="28" s="1"/>
  <c r="Z73" i="28"/>
  <c r="Z71" i="28"/>
  <c r="AB179" i="28" s="1"/>
  <c r="AB182" i="28" s="1"/>
  <c r="T69" i="28"/>
  <c r="P66" i="28"/>
  <c r="AB64" i="28"/>
  <c r="AB63" i="28"/>
  <c r="Z360" i="28" s="1"/>
  <c r="Z60" i="28"/>
  <c r="X60" i="28"/>
  <c r="V60" i="28"/>
  <c r="T60" i="28"/>
  <c r="R60" i="28"/>
  <c r="R66" i="28" s="1"/>
  <c r="P60" i="28"/>
  <c r="AB58" i="28"/>
  <c r="AB57" i="28"/>
  <c r="AB60" i="28" s="1"/>
  <c r="X48" i="28"/>
  <c r="X47" i="28"/>
  <c r="AB41" i="28"/>
  <c r="N30" i="28"/>
  <c r="L30" i="28"/>
  <c r="J30" i="28"/>
  <c r="H30" i="28"/>
  <c r="F30" i="28"/>
  <c r="D30" i="28"/>
  <c r="N29" i="28"/>
  <c r="L29" i="28"/>
  <c r="J29" i="28"/>
  <c r="H29" i="28"/>
  <c r="F29" i="28"/>
  <c r="D29" i="28"/>
  <c r="AB29" i="28" s="1"/>
  <c r="AB34" i="28" s="1"/>
  <c r="Z251" i="28" s="1"/>
  <c r="Z252" i="28" s="1"/>
  <c r="AB28" i="28"/>
  <c r="N28" i="28"/>
  <c r="AB206" i="28" l="1"/>
  <c r="AB66" i="28"/>
  <c r="Z362" i="28" s="1"/>
  <c r="AB30" i="28"/>
  <c r="Z364" i="28" s="1"/>
  <c r="Z296" i="28"/>
  <c r="AA301" i="28"/>
  <c r="AA305" i="28"/>
  <c r="AA304" i="28"/>
  <c r="Z359" i="28"/>
  <c r="AA299" i="28"/>
  <c r="AA302" i="28"/>
  <c r="AA306" i="28"/>
  <c r="AA300" i="28"/>
  <c r="Y299" i="28"/>
  <c r="X296" i="28"/>
  <c r="Y290" i="28" s="1"/>
  <c r="X359" i="28"/>
  <c r="Y303" i="28"/>
  <c r="AB219" i="28"/>
  <c r="Y288" i="28"/>
  <c r="Y294" i="28"/>
  <c r="AB236" i="28"/>
  <c r="AB238" i="28"/>
  <c r="Z253" i="28"/>
  <c r="AB234" i="28"/>
  <c r="AB240" i="28"/>
  <c r="AB232" i="28"/>
  <c r="AB132" i="28"/>
  <c r="AA294" i="28"/>
  <c r="AA293" i="28"/>
  <c r="AA292" i="28"/>
  <c r="AA291" i="28"/>
  <c r="AA290" i="28"/>
  <c r="AA289" i="28"/>
  <c r="AA288" i="28"/>
  <c r="AA287" i="28"/>
  <c r="Y289" i="28"/>
  <c r="Y291" i="28"/>
  <c r="Y293" i="28"/>
  <c r="Y355" i="28"/>
  <c r="Y221" i="28"/>
  <c r="AB221" i="28" s="1"/>
  <c r="Y357" i="28"/>
  <c r="Z88" i="28"/>
  <c r="Z132" i="28" s="1"/>
  <c r="AB172" i="28"/>
  <c r="AB174" i="28" s="1"/>
  <c r="Y287" i="28"/>
  <c r="Y269" i="28"/>
  <c r="Y300" i="28"/>
  <c r="Y302" i="28"/>
  <c r="Y304" i="28"/>
  <c r="Y306" i="28"/>
  <c r="Y346" i="28"/>
  <c r="Y348" i="28"/>
  <c r="Y354" i="28" s="1"/>
  <c r="Y350" i="28"/>
  <c r="Y352" i="28"/>
  <c r="Y356" i="28"/>
  <c r="AB42" i="28"/>
  <c r="Y351" i="28"/>
  <c r="V63" i="27"/>
  <c r="AA308" i="28" l="1"/>
  <c r="Z361" i="28"/>
  <c r="Y292" i="28"/>
  <c r="Y296" i="28"/>
  <c r="Y308" i="28"/>
  <c r="AA296" i="28"/>
  <c r="Y222" i="28"/>
  <c r="AB113" i="27"/>
  <c r="AB92" i="27"/>
  <c r="AB77" i="27"/>
  <c r="AB76" i="27"/>
  <c r="Z71" i="27"/>
  <c r="T57" i="27"/>
  <c r="Z75" i="27" s="1"/>
  <c r="AB28" i="27"/>
  <c r="Z219" i="27" l="1"/>
  <c r="Z221" i="27" s="1"/>
  <c r="Y219" i="27"/>
  <c r="Y221" i="27" s="1"/>
  <c r="AB211" i="27"/>
  <c r="AB203" i="27"/>
  <c r="AB195" i="27"/>
  <c r="AB187" i="27"/>
  <c r="AB178" i="27"/>
  <c r="AB163" i="27"/>
  <c r="AB151" i="27"/>
  <c r="AB160" i="27" s="1"/>
  <c r="AB140" i="27"/>
  <c r="AA357" i="27"/>
  <c r="Z354" i="27"/>
  <c r="AA356" i="27" s="1"/>
  <c r="X354" i="27"/>
  <c r="Y357" i="27" s="1"/>
  <c r="Y347" i="27"/>
  <c r="AA346" i="27"/>
  <c r="AA342" i="27"/>
  <c r="Z342" i="27"/>
  <c r="Y342" i="27"/>
  <c r="X342" i="27"/>
  <c r="Y269" i="27" s="1"/>
  <c r="Z330" i="27"/>
  <c r="X330" i="27"/>
  <c r="AA320" i="27"/>
  <c r="Z320" i="27"/>
  <c r="X320" i="27"/>
  <c r="Y320" i="27" s="1"/>
  <c r="Z308" i="27"/>
  <c r="AA305" i="27" s="1"/>
  <c r="X308" i="27"/>
  <c r="Y306" i="27" s="1"/>
  <c r="Z294" i="27"/>
  <c r="X294" i="27"/>
  <c r="Z293" i="27"/>
  <c r="X293" i="27"/>
  <c r="Z292" i="27"/>
  <c r="X292" i="27"/>
  <c r="Z291" i="27"/>
  <c r="X291" i="27"/>
  <c r="Z290" i="27"/>
  <c r="X290" i="27"/>
  <c r="Z289" i="27"/>
  <c r="X289" i="27"/>
  <c r="Z288" i="27"/>
  <c r="X288" i="27"/>
  <c r="Z287" i="27"/>
  <c r="X287" i="27"/>
  <c r="Z273" i="27"/>
  <c r="Z274" i="27" s="1"/>
  <c r="Z271" i="27"/>
  <c r="Z270" i="27"/>
  <c r="Z269" i="27"/>
  <c r="Z268" i="27"/>
  <c r="Z249" i="27"/>
  <c r="AB228" i="27"/>
  <c r="AB220" i="27"/>
  <c r="AB219" i="27"/>
  <c r="AB213" i="27"/>
  <c r="AB205" i="27"/>
  <c r="AB204" i="27"/>
  <c r="AB197" i="27"/>
  <c r="AB198" i="27" s="1"/>
  <c r="AB189" i="27"/>
  <c r="AB188" i="27"/>
  <c r="AB180" i="27"/>
  <c r="AB175" i="27"/>
  <c r="AB173" i="27"/>
  <c r="AB170" i="27"/>
  <c r="AB172" i="27" s="1"/>
  <c r="AB165" i="27"/>
  <c r="AB166" i="27" s="1"/>
  <c r="AB164" i="27"/>
  <c r="AB150" i="27"/>
  <c r="N28" i="27" s="1"/>
  <c r="AB147" i="27"/>
  <c r="AB139" i="27"/>
  <c r="B135" i="27"/>
  <c r="B244" i="27" s="1"/>
  <c r="B376" i="27" s="1"/>
  <c r="Z131" i="27"/>
  <c r="Z101" i="27"/>
  <c r="AB131" i="27"/>
  <c r="Z86" i="27"/>
  <c r="AB82" i="27"/>
  <c r="AB85" i="27"/>
  <c r="AB88" i="27" s="1"/>
  <c r="Z73" i="27"/>
  <c r="AB179" i="27"/>
  <c r="T69" i="27"/>
  <c r="AB64" i="27"/>
  <c r="AB63" i="27"/>
  <c r="Z60" i="27"/>
  <c r="X60" i="27"/>
  <c r="V60" i="27"/>
  <c r="T60" i="27"/>
  <c r="R60" i="27"/>
  <c r="R66" i="27" s="1"/>
  <c r="P60" i="27"/>
  <c r="P66" i="27" s="1"/>
  <c r="AB58" i="27"/>
  <c r="AB57" i="27"/>
  <c r="Z263" i="27"/>
  <c r="X48" i="27"/>
  <c r="X47" i="27"/>
  <c r="AB41" i="27"/>
  <c r="L30" i="27"/>
  <c r="J30" i="27"/>
  <c r="H30" i="27"/>
  <c r="F30" i="27"/>
  <c r="D30" i="27"/>
  <c r="L29" i="27"/>
  <c r="J29" i="27"/>
  <c r="H29" i="27"/>
  <c r="F29" i="27"/>
  <c r="D29" i="27"/>
  <c r="AB29" i="27" s="1"/>
  <c r="Y218" i="27"/>
  <c r="N30" i="27" l="1"/>
  <c r="N29" i="27"/>
  <c r="AB30" i="27"/>
  <c r="Z364" i="27" s="1"/>
  <c r="Y349" i="27"/>
  <c r="AB60" i="27"/>
  <c r="AA350" i="27"/>
  <c r="Z253" i="27"/>
  <c r="Z360" i="27"/>
  <c r="AB174" i="27"/>
  <c r="Y346" i="27"/>
  <c r="AB214" i="27"/>
  <c r="AB206" i="27"/>
  <c r="AB66" i="27"/>
  <c r="Z362" i="27" s="1"/>
  <c r="Z85" i="27"/>
  <c r="Z88" i="27" s="1"/>
  <c r="Z132" i="27" s="1"/>
  <c r="AB42" i="27"/>
  <c r="AB34" i="27"/>
  <c r="Z251" i="27" s="1"/>
  <c r="Z252" i="27" s="1"/>
  <c r="AA330" i="27"/>
  <c r="Y330" i="27"/>
  <c r="Y345" i="27"/>
  <c r="Y348" i="27"/>
  <c r="AA351" i="27"/>
  <c r="AA348" i="27"/>
  <c r="AA352" i="27"/>
  <c r="AA345" i="27"/>
  <c r="AA347" i="27"/>
  <c r="AA349" i="27"/>
  <c r="Y351" i="27"/>
  <c r="Y268" i="27"/>
  <c r="Z359" i="27"/>
  <c r="Y299" i="27"/>
  <c r="X359" i="27"/>
  <c r="Y355" i="27" s="1"/>
  <c r="Y300" i="27"/>
  <c r="Y304" i="27"/>
  <c r="Y301" i="27"/>
  <c r="Y305" i="27"/>
  <c r="Y303" i="27"/>
  <c r="Y302" i="27"/>
  <c r="Y222" i="27"/>
  <c r="AB190" i="27"/>
  <c r="AB182" i="27"/>
  <c r="AB221" i="27"/>
  <c r="AB240" i="27"/>
  <c r="AB232" i="27"/>
  <c r="AB238" i="27"/>
  <c r="AB132" i="27"/>
  <c r="AB236" i="27"/>
  <c r="AB234" i="27"/>
  <c r="Z296" i="27"/>
  <c r="AA287" i="27" s="1"/>
  <c r="AA300" i="27"/>
  <c r="AA302" i="27"/>
  <c r="AA304" i="27"/>
  <c r="AA306" i="27"/>
  <c r="Y350" i="27"/>
  <c r="Y352" i="27"/>
  <c r="Y356" i="27"/>
  <c r="X296" i="27"/>
  <c r="Y294" i="27" s="1"/>
  <c r="AA299" i="27"/>
  <c r="AA301" i="27"/>
  <c r="AA303" i="27"/>
  <c r="AB30" i="26"/>
  <c r="Y354" i="27" l="1"/>
  <c r="Z361" i="27"/>
  <c r="AA354" i="27"/>
  <c r="AA355" i="27"/>
  <c r="AA288" i="27"/>
  <c r="AA293" i="27"/>
  <c r="Y308" i="27"/>
  <c r="Y289" i="27"/>
  <c r="Y287" i="27"/>
  <c r="AA294" i="27"/>
  <c r="Y290" i="27"/>
  <c r="AA291" i="27"/>
  <c r="AA292" i="27"/>
  <c r="Y288" i="27"/>
  <c r="AA289" i="27"/>
  <c r="Y292" i="27"/>
  <c r="Y293" i="27"/>
  <c r="AA308" i="27"/>
  <c r="Y291" i="27"/>
  <c r="AA290" i="27"/>
  <c r="AA330" i="26"/>
  <c r="AA327" i="26"/>
  <c r="Y327" i="26"/>
  <c r="AA296" i="27" l="1"/>
  <c r="Y296" i="27"/>
  <c r="AA357" i="26"/>
  <c r="AA356" i="26"/>
  <c r="Y357" i="26"/>
  <c r="Y356" i="26"/>
  <c r="Y355" i="26" l="1"/>
  <c r="AB113" i="26" l="1"/>
  <c r="Z75" i="26"/>
  <c r="AB92" i="26"/>
  <c r="AB77" i="26"/>
  <c r="AB76" i="26"/>
  <c r="T57" i="26"/>
  <c r="Z354" i="26" l="1"/>
  <c r="AA351" i="26" s="1"/>
  <c r="X354" i="26"/>
  <c r="Y352" i="26" s="1"/>
  <c r="AA342" i="26"/>
  <c r="Z342" i="26"/>
  <c r="Y342" i="26"/>
  <c r="X342" i="26"/>
  <c r="Z330" i="26"/>
  <c r="AA325" i="26" s="1"/>
  <c r="X330" i="26"/>
  <c r="Y325" i="26" s="1"/>
  <c r="Y330" i="26" s="1"/>
  <c r="AA320" i="26"/>
  <c r="Z320" i="26"/>
  <c r="X320" i="26"/>
  <c r="Y316" i="26" s="1"/>
  <c r="Y320" i="26" s="1"/>
  <c r="Z308" i="26"/>
  <c r="AA306" i="26" s="1"/>
  <c r="X308" i="26"/>
  <c r="Y305" i="26" s="1"/>
  <c r="Z294" i="26"/>
  <c r="X294" i="26"/>
  <c r="Z293" i="26"/>
  <c r="X293" i="26"/>
  <c r="Z292" i="26"/>
  <c r="X292" i="26"/>
  <c r="Z291" i="26"/>
  <c r="X291" i="26"/>
  <c r="Z290" i="26"/>
  <c r="X290" i="26"/>
  <c r="Z289" i="26"/>
  <c r="X289" i="26"/>
  <c r="Z288" i="26"/>
  <c r="X288" i="26"/>
  <c r="Z287" i="26"/>
  <c r="X287" i="26"/>
  <c r="Z271" i="26"/>
  <c r="Z270" i="26"/>
  <c r="Y269" i="26"/>
  <c r="Z249" i="26"/>
  <c r="AB228" i="26"/>
  <c r="AB220" i="26"/>
  <c r="AB213" i="26"/>
  <c r="AB205" i="26"/>
  <c r="AB204" i="26"/>
  <c r="AB197" i="26"/>
  <c r="AB198" i="26" s="1"/>
  <c r="AB189" i="26"/>
  <c r="AB188" i="26"/>
  <c r="AB180" i="26"/>
  <c r="AB175" i="26"/>
  <c r="AB173" i="26"/>
  <c r="AB170" i="26"/>
  <c r="Z273" i="26" s="1"/>
  <c r="AB164" i="26"/>
  <c r="AB165" i="26" s="1"/>
  <c r="AB150" i="26"/>
  <c r="AB139" i="26"/>
  <c r="N28" i="26" s="1"/>
  <c r="B135" i="26"/>
  <c r="B244" i="26" s="1"/>
  <c r="B376" i="26" s="1"/>
  <c r="Z131" i="26"/>
  <c r="Z101" i="26"/>
  <c r="AB131" i="26"/>
  <c r="Z86" i="26"/>
  <c r="AB82" i="26"/>
  <c r="AB85" i="26"/>
  <c r="AB88" i="26" s="1"/>
  <c r="Z73" i="26"/>
  <c r="Z71" i="26"/>
  <c r="AB179" i="26" s="1"/>
  <c r="T69" i="26"/>
  <c r="AB64" i="26"/>
  <c r="AB63" i="26"/>
  <c r="Z360" i="26" s="1"/>
  <c r="Z60" i="26"/>
  <c r="X60" i="26"/>
  <c r="T60" i="26"/>
  <c r="R60" i="26"/>
  <c r="R66" i="26" s="1"/>
  <c r="P60" i="26"/>
  <c r="P66" i="26" s="1"/>
  <c r="AB58" i="26"/>
  <c r="V60" i="26"/>
  <c r="X48" i="26"/>
  <c r="X47" i="26"/>
  <c r="AB41" i="26"/>
  <c r="L30" i="26"/>
  <c r="J30" i="26"/>
  <c r="H30" i="26"/>
  <c r="F30" i="26"/>
  <c r="D30" i="26"/>
  <c r="L29" i="26"/>
  <c r="J29" i="26"/>
  <c r="H29" i="26"/>
  <c r="F29" i="26"/>
  <c r="D29" i="26"/>
  <c r="AB28" i="26"/>
  <c r="Y218" i="26" s="1"/>
  <c r="Z268" i="26" l="1"/>
  <c r="Z359" i="26"/>
  <c r="Y346" i="26"/>
  <c r="Y347" i="26"/>
  <c r="Y351" i="26"/>
  <c r="Y345" i="26"/>
  <c r="Y354" i="26" s="1"/>
  <c r="Y349" i="26"/>
  <c r="Y350" i="26"/>
  <c r="Y348" i="26"/>
  <c r="Y268" i="26"/>
  <c r="AA300" i="26"/>
  <c r="AA304" i="26"/>
  <c r="AA303" i="26"/>
  <c r="N30" i="26"/>
  <c r="N29" i="26"/>
  <c r="AB57" i="26"/>
  <c r="AB60" i="26" s="1"/>
  <c r="AB66" i="26" s="1"/>
  <c r="Z362" i="26" s="1"/>
  <c r="AA348" i="26"/>
  <c r="AA352" i="26"/>
  <c r="AB29" i="26"/>
  <c r="AB34" i="26" s="1"/>
  <c r="Z251" i="26" s="1"/>
  <c r="Z252" i="26" s="1"/>
  <c r="X296" i="26"/>
  <c r="Y291" i="26" s="1"/>
  <c r="Y299" i="26"/>
  <c r="AA301" i="26"/>
  <c r="AA305" i="26"/>
  <c r="X359" i="26"/>
  <c r="Z364" i="26"/>
  <c r="Y301" i="26"/>
  <c r="AA346" i="26"/>
  <c r="AA350" i="26"/>
  <c r="AB42" i="26"/>
  <c r="Z263" i="26"/>
  <c r="Z85" i="26"/>
  <c r="Z88" i="26" s="1"/>
  <c r="Z132" i="26" s="1"/>
  <c r="Z269" i="26"/>
  <c r="AA299" i="26"/>
  <c r="AA302" i="26"/>
  <c r="AA345" i="26"/>
  <c r="AA347" i="26"/>
  <c r="AA349" i="26"/>
  <c r="AB236" i="26"/>
  <c r="Z253" i="26"/>
  <c r="AB234" i="26"/>
  <c r="AB238" i="26"/>
  <c r="AB240" i="26"/>
  <c r="AB232" i="26"/>
  <c r="AB132" i="26"/>
  <c r="Y303" i="26"/>
  <c r="AB172" i="26"/>
  <c r="AB174" i="26" s="1"/>
  <c r="Z296" i="26"/>
  <c r="AA294" i="26" s="1"/>
  <c r="Y300" i="26"/>
  <c r="Y302" i="26"/>
  <c r="Y304" i="26"/>
  <c r="Y306" i="26"/>
  <c r="Z361" i="26" l="1"/>
  <c r="AA355" i="26"/>
  <c r="Y288" i="26"/>
  <c r="Y294" i="26"/>
  <c r="Y293" i="26"/>
  <c r="Y287" i="26"/>
  <c r="Y292" i="26"/>
  <c r="Y289" i="26"/>
  <c r="Y290" i="26"/>
  <c r="Y308" i="26"/>
  <c r="AA308" i="26"/>
  <c r="AA354" i="26"/>
  <c r="AA288" i="26"/>
  <c r="AA289" i="26"/>
  <c r="AA292" i="26"/>
  <c r="AA287" i="26"/>
  <c r="AA291" i="26"/>
  <c r="AA293" i="26"/>
  <c r="AA290" i="26"/>
  <c r="Y296" i="26" l="1"/>
  <c r="AA296" i="26"/>
  <c r="Z330" i="25" l="1"/>
  <c r="AA325" i="25" s="1"/>
  <c r="AA330" i="25" s="1"/>
  <c r="X330" i="25"/>
  <c r="Y325" i="25" s="1"/>
  <c r="Y330" i="25" s="1"/>
  <c r="AB113" i="25" l="1"/>
  <c r="AB92" i="25"/>
  <c r="AB76" i="25"/>
  <c r="AB77" i="25"/>
  <c r="V57" i="25"/>
  <c r="T57" i="25"/>
  <c r="Z75" i="25" s="1"/>
  <c r="Z354" i="25" l="1"/>
  <c r="AA352" i="25" s="1"/>
  <c r="AA351" i="25"/>
  <c r="AA350" i="25"/>
  <c r="AA349" i="25"/>
  <c r="AA347" i="25"/>
  <c r="AA346" i="25"/>
  <c r="AA345" i="25"/>
  <c r="X354" i="25"/>
  <c r="Y352" i="25"/>
  <c r="Y351" i="25"/>
  <c r="Y350" i="25"/>
  <c r="Y349" i="25"/>
  <c r="Y348" i="25"/>
  <c r="Y347" i="25"/>
  <c r="Y346" i="25"/>
  <c r="Y345" i="25"/>
  <c r="Y354" i="25" l="1"/>
  <c r="AA348" i="25"/>
  <c r="AA354" i="25"/>
  <c r="AA342" i="25"/>
  <c r="Z342" i="25"/>
  <c r="Y342" i="25"/>
  <c r="X342" i="25"/>
  <c r="AA320" i="25"/>
  <c r="Z320" i="25"/>
  <c r="X320" i="25"/>
  <c r="Y316" i="25"/>
  <c r="Y320" i="25" s="1"/>
  <c r="Z308" i="25"/>
  <c r="AA306" i="25" s="1"/>
  <c r="X308" i="25"/>
  <c r="Y306" i="25" s="1"/>
  <c r="Z294" i="25"/>
  <c r="X294" i="25"/>
  <c r="Z293" i="25"/>
  <c r="X293" i="25"/>
  <c r="Z292" i="25"/>
  <c r="X292" i="25"/>
  <c r="Z291" i="25"/>
  <c r="X291" i="25"/>
  <c r="Z290" i="25"/>
  <c r="X290" i="25"/>
  <c r="Z289" i="25"/>
  <c r="X289" i="25"/>
  <c r="Z288" i="25"/>
  <c r="X288" i="25"/>
  <c r="Z287" i="25"/>
  <c r="X287" i="25"/>
  <c r="Z271" i="25"/>
  <c r="Z270" i="25"/>
  <c r="Z269" i="25"/>
  <c r="Y269" i="25"/>
  <c r="Z268" i="25"/>
  <c r="Y268" i="25"/>
  <c r="Z249" i="25"/>
  <c r="AB228" i="25"/>
  <c r="AB220" i="25"/>
  <c r="AB213" i="25"/>
  <c r="AB205" i="25"/>
  <c r="AB204" i="25"/>
  <c r="AB197" i="25"/>
  <c r="AB198" i="25" s="1"/>
  <c r="AB195" i="26" s="1"/>
  <c r="AB189" i="25"/>
  <c r="AB188" i="25"/>
  <c r="AB180" i="25"/>
  <c r="AB175" i="25"/>
  <c r="AB173" i="25"/>
  <c r="AB170" i="25"/>
  <c r="Z273" i="25" s="1"/>
  <c r="AB164" i="25"/>
  <c r="AB165" i="25" s="1"/>
  <c r="AB150" i="25"/>
  <c r="AB139" i="25"/>
  <c r="N28" i="25" s="1"/>
  <c r="B135" i="25"/>
  <c r="B244" i="25" s="1"/>
  <c r="B374" i="25" s="1"/>
  <c r="Z131" i="25"/>
  <c r="Z101" i="25"/>
  <c r="AB131" i="25"/>
  <c r="Z86" i="25"/>
  <c r="AB82" i="25"/>
  <c r="AB85" i="25"/>
  <c r="AB88" i="25" s="1"/>
  <c r="Z73" i="25"/>
  <c r="Z71" i="25"/>
  <c r="AB179" i="25" s="1"/>
  <c r="T69" i="25"/>
  <c r="AB64" i="25"/>
  <c r="AB63" i="25"/>
  <c r="Z60" i="25"/>
  <c r="X60" i="25"/>
  <c r="V60" i="25"/>
  <c r="R60" i="25"/>
  <c r="R66" i="25" s="1"/>
  <c r="P60" i="25"/>
  <c r="P66" i="25" s="1"/>
  <c r="AB58" i="25"/>
  <c r="Z263" i="25"/>
  <c r="X48" i="25"/>
  <c r="X47" i="25"/>
  <c r="AB41" i="25"/>
  <c r="L30" i="25"/>
  <c r="J30" i="25"/>
  <c r="H30" i="25"/>
  <c r="F30" i="25"/>
  <c r="D30" i="25"/>
  <c r="L29" i="25"/>
  <c r="J29" i="25"/>
  <c r="H29" i="25"/>
  <c r="F29" i="25"/>
  <c r="D29" i="25"/>
  <c r="AB28" i="25"/>
  <c r="Y218" i="25" s="1"/>
  <c r="N29" i="25" l="1"/>
  <c r="N30" i="25"/>
  <c r="AB30" i="25"/>
  <c r="Z362" i="25" s="1"/>
  <c r="AB29" i="25"/>
  <c r="AB34" i="25" s="1"/>
  <c r="Z251" i="25" s="1"/>
  <c r="Z252" i="25" s="1"/>
  <c r="Y301" i="25"/>
  <c r="Y303" i="25"/>
  <c r="AA303" i="25"/>
  <c r="AB57" i="25"/>
  <c r="AB60" i="25" s="1"/>
  <c r="AB66" i="25" s="1"/>
  <c r="Z360" i="25" s="1"/>
  <c r="T60" i="25"/>
  <c r="Z358" i="25"/>
  <c r="X296" i="25"/>
  <c r="Y291" i="25" s="1"/>
  <c r="Y299" i="25"/>
  <c r="AA301" i="25"/>
  <c r="AA304" i="25"/>
  <c r="X357" i="25"/>
  <c r="X355" i="25" s="1"/>
  <c r="AA299" i="25"/>
  <c r="AA302" i="25"/>
  <c r="Y305" i="25"/>
  <c r="Z85" i="25"/>
  <c r="Z88" i="25" s="1"/>
  <c r="Z132" i="25" s="1"/>
  <c r="AA300" i="25"/>
  <c r="Z357" i="25"/>
  <c r="AB236" i="25"/>
  <c r="Z253" i="25"/>
  <c r="AB234" i="25"/>
  <c r="AB238" i="25"/>
  <c r="AB132" i="25"/>
  <c r="AB240" i="25"/>
  <c r="AB232" i="25"/>
  <c r="AB172" i="25"/>
  <c r="AB174" i="25" s="1"/>
  <c r="AA305" i="25"/>
  <c r="Z296" i="25"/>
  <c r="AA289" i="25" s="1"/>
  <c r="Y300" i="25"/>
  <c r="Y302" i="25"/>
  <c r="Y304" i="25"/>
  <c r="AB42" i="25"/>
  <c r="Z359" i="25" l="1"/>
  <c r="Z355" i="25"/>
  <c r="AA294" i="25"/>
  <c r="AA290" i="25"/>
  <c r="Y293" i="25"/>
  <c r="Y294" i="25"/>
  <c r="Y290" i="25"/>
  <c r="Y292" i="25"/>
  <c r="AA293" i="25"/>
  <c r="AA287" i="25"/>
  <c r="AA308" i="25"/>
  <c r="Y308" i="25"/>
  <c r="Y287" i="25"/>
  <c r="AA292" i="25"/>
  <c r="Y289" i="25"/>
  <c r="Y288" i="25"/>
  <c r="AA291" i="25"/>
  <c r="AA288" i="25"/>
  <c r="AA296" i="25" l="1"/>
  <c r="Y296" i="25"/>
  <c r="AB113" i="24" l="1"/>
  <c r="AB92" i="24"/>
  <c r="AB77" i="24"/>
  <c r="AB76" i="24"/>
  <c r="T57" i="24"/>
  <c r="Z263" i="24" s="1"/>
  <c r="AA332" i="24" l="1"/>
  <c r="Z332" i="24"/>
  <c r="Y332" i="24"/>
  <c r="X332" i="24"/>
  <c r="Z320" i="24"/>
  <c r="AA320" i="24" s="1"/>
  <c r="X320" i="24"/>
  <c r="Y316" i="24" s="1"/>
  <c r="Y320" i="24" s="1"/>
  <c r="Z308" i="24"/>
  <c r="AA306" i="24" s="1"/>
  <c r="X308" i="24"/>
  <c r="Y306" i="24" s="1"/>
  <c r="Y303" i="24"/>
  <c r="Z294" i="24"/>
  <c r="X294" i="24"/>
  <c r="Z293" i="24"/>
  <c r="X293" i="24"/>
  <c r="Z292" i="24"/>
  <c r="X292" i="24"/>
  <c r="Z291" i="24"/>
  <c r="X291" i="24"/>
  <c r="Z290" i="24"/>
  <c r="X290" i="24"/>
  <c r="Z289" i="24"/>
  <c r="X289" i="24"/>
  <c r="Z288" i="24"/>
  <c r="X288" i="24"/>
  <c r="Z287" i="24"/>
  <c r="X287" i="24"/>
  <c r="Z273" i="24"/>
  <c r="Z271" i="24"/>
  <c r="Z270" i="24"/>
  <c r="Y269" i="24"/>
  <c r="Z249" i="24"/>
  <c r="AB228" i="24"/>
  <c r="AB220" i="24"/>
  <c r="AB213" i="24"/>
  <c r="AB205" i="24"/>
  <c r="AB204" i="24"/>
  <c r="AB197" i="24"/>
  <c r="AB198" i="24" s="1"/>
  <c r="AB195" i="25" s="1"/>
  <c r="AB189" i="24"/>
  <c r="AB188" i="24"/>
  <c r="AB180" i="24"/>
  <c r="AB175" i="24"/>
  <c r="AB173" i="24"/>
  <c r="AB172" i="24"/>
  <c r="AB174" i="24" s="1"/>
  <c r="AB170" i="24"/>
  <c r="AB164" i="24"/>
  <c r="AB150" i="24"/>
  <c r="AB139" i="24"/>
  <c r="B135" i="24"/>
  <c r="B244" i="24" s="1"/>
  <c r="B347" i="24" s="1"/>
  <c r="Z131" i="24"/>
  <c r="Z101" i="24"/>
  <c r="AB131" i="24"/>
  <c r="Z86" i="24"/>
  <c r="AB82" i="24"/>
  <c r="AB85" i="24" s="1"/>
  <c r="AB88" i="24" s="1"/>
  <c r="Z75" i="24"/>
  <c r="Z71" i="24"/>
  <c r="T69" i="24"/>
  <c r="Z73" i="24"/>
  <c r="AB63" i="24"/>
  <c r="Z60" i="24"/>
  <c r="T60" i="24"/>
  <c r="R60" i="24"/>
  <c r="R66" i="24" s="1"/>
  <c r="P60" i="24"/>
  <c r="P66" i="24" s="1"/>
  <c r="AB58" i="24"/>
  <c r="X60" i="24"/>
  <c r="V60" i="24"/>
  <c r="X48" i="24"/>
  <c r="X47" i="24"/>
  <c r="AB41" i="24"/>
  <c r="L30" i="24"/>
  <c r="J30" i="24"/>
  <c r="H30" i="24"/>
  <c r="F30" i="24"/>
  <c r="D30" i="24"/>
  <c r="L29" i="24"/>
  <c r="J29" i="24"/>
  <c r="H29" i="24"/>
  <c r="F29" i="24"/>
  <c r="D29" i="24"/>
  <c r="AB29" i="24" s="1"/>
  <c r="AB34" i="24" s="1"/>
  <c r="AB28" i="24"/>
  <c r="Y218" i="24" s="1"/>
  <c r="Z251" i="24" l="1"/>
  <c r="Z252" i="24" s="1"/>
  <c r="AB30" i="24"/>
  <c r="N28" i="24"/>
  <c r="N29" i="24" s="1"/>
  <c r="AA305" i="24"/>
  <c r="AB179" i="24"/>
  <c r="Z85" i="24"/>
  <c r="Z88" i="24" s="1"/>
  <c r="Z132" i="24" s="1"/>
  <c r="AB42" i="24"/>
  <c r="AA301" i="24"/>
  <c r="AA299" i="24"/>
  <c r="AA303" i="24"/>
  <c r="Y299" i="24"/>
  <c r="Y302" i="24"/>
  <c r="Y300" i="24"/>
  <c r="Y304" i="24"/>
  <c r="Y301" i="24"/>
  <c r="Y305" i="24"/>
  <c r="Z268" i="24"/>
  <c r="Z334" i="24"/>
  <c r="X296" i="24"/>
  <c r="Y293" i="24" s="1"/>
  <c r="X334" i="24"/>
  <c r="Z339" i="24"/>
  <c r="AB238" i="24"/>
  <c r="AB132" i="24"/>
  <c r="AB232" i="24"/>
  <c r="AB236" i="24"/>
  <c r="Z253" i="24"/>
  <c r="AB234" i="24"/>
  <c r="AB240" i="24"/>
  <c r="N30" i="24"/>
  <c r="AB64" i="24"/>
  <c r="Z335" i="24" s="1"/>
  <c r="AB165" i="24"/>
  <c r="AB57" i="24"/>
  <c r="AB60" i="24" s="1"/>
  <c r="Z296" i="24"/>
  <c r="AA292" i="24" s="1"/>
  <c r="Z269" i="24"/>
  <c r="AA300" i="24"/>
  <c r="AA302" i="24"/>
  <c r="AA304" i="24"/>
  <c r="Y268" i="24"/>
  <c r="AB66" i="24" l="1"/>
  <c r="Z337" i="24" s="1"/>
  <c r="AA308" i="24"/>
  <c r="Z336" i="24"/>
  <c r="Y308" i="24"/>
  <c r="AA293" i="24"/>
  <c r="AA287" i="24"/>
  <c r="AA291" i="24"/>
  <c r="AA290" i="24"/>
  <c r="Y294" i="24"/>
  <c r="Y287" i="24"/>
  <c r="Y289" i="24"/>
  <c r="Y288" i="24"/>
  <c r="Y290" i="24"/>
  <c r="Y292" i="24"/>
  <c r="Y291" i="24"/>
  <c r="AA288" i="24"/>
  <c r="AA294" i="24"/>
  <c r="AA289" i="24"/>
  <c r="Y296" i="24" l="1"/>
  <c r="AA296" i="24"/>
  <c r="AB164" i="23" l="1"/>
  <c r="Z71" i="23" l="1"/>
  <c r="V57" i="23"/>
  <c r="V63" i="23"/>
  <c r="AB204" i="23" l="1"/>
  <c r="AB188" i="23"/>
  <c r="AB76" i="23" l="1"/>
  <c r="AB113" i="23" l="1"/>
  <c r="AB92" i="23"/>
  <c r="AB77" i="23"/>
  <c r="Z73" i="23"/>
  <c r="X64" i="23"/>
  <c r="AB165" i="23" s="1"/>
  <c r="X57" i="23"/>
  <c r="T57" i="23" l="1"/>
  <c r="Z263" i="23" l="1"/>
  <c r="Z75" i="23"/>
  <c r="Z85" i="23" s="1"/>
  <c r="AA332" i="23" l="1"/>
  <c r="Z332" i="23"/>
  <c r="Y332" i="23"/>
  <c r="X332" i="23"/>
  <c r="Y269" i="23" s="1"/>
  <c r="Z320" i="23"/>
  <c r="X320" i="23"/>
  <c r="Y316" i="23" s="1"/>
  <c r="Z308" i="23"/>
  <c r="AA306" i="23" s="1"/>
  <c r="X308" i="23"/>
  <c r="Z294" i="23"/>
  <c r="X294" i="23"/>
  <c r="Z293" i="23"/>
  <c r="X293" i="23"/>
  <c r="Z292" i="23"/>
  <c r="X292" i="23"/>
  <c r="Z291" i="23"/>
  <c r="X291" i="23"/>
  <c r="Z290" i="23"/>
  <c r="X290" i="23"/>
  <c r="Z289" i="23"/>
  <c r="X289" i="23"/>
  <c r="Z288" i="23"/>
  <c r="X288" i="23"/>
  <c r="Z287" i="23"/>
  <c r="X287" i="23"/>
  <c r="Z271" i="23"/>
  <c r="Z270" i="23"/>
  <c r="Z269" i="23"/>
  <c r="Z249" i="23"/>
  <c r="AB228" i="23"/>
  <c r="AB220" i="23"/>
  <c r="AB213" i="23"/>
  <c r="AB205" i="23"/>
  <c r="AB197" i="23"/>
  <c r="AB198" i="23" s="1"/>
  <c r="AB195" i="24" s="1"/>
  <c r="AB189" i="23"/>
  <c r="AB180" i="23"/>
  <c r="AB175" i="23"/>
  <c r="AB173" i="23"/>
  <c r="AB170" i="23"/>
  <c r="Z273" i="23" s="1"/>
  <c r="AB150" i="23"/>
  <c r="AB139" i="23"/>
  <c r="B135" i="23"/>
  <c r="B244" i="23" s="1"/>
  <c r="B347" i="23" s="1"/>
  <c r="Z131" i="23"/>
  <c r="Z101" i="23"/>
  <c r="AB131" i="23"/>
  <c r="Z86" i="23"/>
  <c r="Z88" i="23" s="1"/>
  <c r="AB82" i="23"/>
  <c r="AB85" i="23"/>
  <c r="AB88" i="23" s="1"/>
  <c r="AB232" i="23" s="1"/>
  <c r="AB179" i="23"/>
  <c r="T69" i="23"/>
  <c r="AB64" i="23"/>
  <c r="AB63" i="23"/>
  <c r="Z335" i="23" s="1"/>
  <c r="Z60" i="23"/>
  <c r="X60" i="23"/>
  <c r="V60" i="23"/>
  <c r="R60" i="23"/>
  <c r="R66" i="23" s="1"/>
  <c r="P60" i="23"/>
  <c r="P66" i="23" s="1"/>
  <c r="AB58" i="23"/>
  <c r="T60" i="23"/>
  <c r="X48" i="23"/>
  <c r="X47" i="23"/>
  <c r="AB41" i="23"/>
  <c r="L30" i="23"/>
  <c r="J30" i="23"/>
  <c r="H30" i="23"/>
  <c r="F30" i="23"/>
  <c r="D30" i="23"/>
  <c r="L29" i="23"/>
  <c r="J29" i="23"/>
  <c r="H29" i="23"/>
  <c r="F29" i="23"/>
  <c r="D29" i="23"/>
  <c r="AB28" i="23"/>
  <c r="Y218" i="23" s="1"/>
  <c r="Z268" i="23" l="1"/>
  <c r="AA316" i="23"/>
  <c r="AA320" i="23" s="1"/>
  <c r="N28" i="23"/>
  <c r="N30" i="23" s="1"/>
  <c r="Y306" i="23"/>
  <c r="Y302" i="23"/>
  <c r="AB30" i="23"/>
  <c r="AB29" i="23"/>
  <c r="AB34" i="23" s="1"/>
  <c r="Z251" i="23" s="1"/>
  <c r="Z252" i="23" s="1"/>
  <c r="AB172" i="23"/>
  <c r="AB174" i="23" s="1"/>
  <c r="AA299" i="23"/>
  <c r="AA301" i="23"/>
  <c r="AA303" i="23"/>
  <c r="AA305" i="23"/>
  <c r="Z334" i="23"/>
  <c r="Z336" i="23" s="1"/>
  <c r="Y301" i="23"/>
  <c r="X296" i="23"/>
  <c r="Y293" i="23" s="1"/>
  <c r="Y305" i="23"/>
  <c r="Y299" i="23"/>
  <c r="Y304" i="23"/>
  <c r="Y300" i="23"/>
  <c r="Y303" i="23"/>
  <c r="X334" i="23"/>
  <c r="AB238" i="23"/>
  <c r="Z253" i="23"/>
  <c r="AB132" i="23"/>
  <c r="AB236" i="23"/>
  <c r="AB234" i="23"/>
  <c r="AB240" i="23"/>
  <c r="N29" i="23"/>
  <c r="Y288" i="23"/>
  <c r="Y294" i="23"/>
  <c r="Y292" i="23"/>
  <c r="Y289" i="23"/>
  <c r="Y287" i="23"/>
  <c r="Z132" i="23"/>
  <c r="Z296" i="23"/>
  <c r="AA288" i="23" s="1"/>
  <c r="AB42" i="23"/>
  <c r="AA300" i="23"/>
  <c r="AA302" i="23"/>
  <c r="AA304" i="23"/>
  <c r="Z339" i="23"/>
  <c r="AB57" i="23"/>
  <c r="AB60" i="23" s="1"/>
  <c r="AB66" i="23" s="1"/>
  <c r="Z337" i="23" s="1"/>
  <c r="Y268" i="23"/>
  <c r="Y290" i="23" l="1"/>
  <c r="AA291" i="23"/>
  <c r="AA289" i="23"/>
  <c r="AA294" i="23"/>
  <c r="AA308" i="23"/>
  <c r="AA287" i="23"/>
  <c r="Y291" i="23"/>
  <c r="Y308" i="23"/>
  <c r="AA292" i="23"/>
  <c r="AA290" i="23"/>
  <c r="AA293" i="23"/>
  <c r="Y296" i="23"/>
  <c r="AB41" i="22"/>
  <c r="AA296" i="23" l="1"/>
  <c r="AB188" i="22" l="1"/>
  <c r="AB113" i="22"/>
  <c r="AB92" i="22"/>
  <c r="AB131" i="22" s="1"/>
  <c r="AB77" i="22"/>
  <c r="AB76" i="22"/>
  <c r="Z71" i="22"/>
  <c r="X57" i="22"/>
  <c r="T57" i="22"/>
  <c r="Z263" i="22" l="1"/>
  <c r="Z75" i="22"/>
  <c r="AA332" i="22"/>
  <c r="Z332" i="22"/>
  <c r="Z269" i="22" s="1"/>
  <c r="Y332" i="22"/>
  <c r="X332" i="22"/>
  <c r="Z320" i="22"/>
  <c r="Z268" i="22" s="1"/>
  <c r="X320" i="22"/>
  <c r="Y314" i="22" s="1"/>
  <c r="Y320" i="22" s="1"/>
  <c r="Z308" i="22"/>
  <c r="AA305" i="22" s="1"/>
  <c r="X308" i="22"/>
  <c r="Y305" i="22" s="1"/>
  <c r="Z294" i="22"/>
  <c r="X294" i="22"/>
  <c r="Z293" i="22"/>
  <c r="X293" i="22"/>
  <c r="Z292" i="22"/>
  <c r="X292" i="22"/>
  <c r="Z291" i="22"/>
  <c r="X291" i="22"/>
  <c r="Z290" i="22"/>
  <c r="X290" i="22"/>
  <c r="Z289" i="22"/>
  <c r="X289" i="22"/>
  <c r="Z288" i="22"/>
  <c r="X288" i="22"/>
  <c r="Z287" i="22"/>
  <c r="X287" i="22"/>
  <c r="X296" i="22" s="1"/>
  <c r="Z271" i="22"/>
  <c r="Z270" i="22"/>
  <c r="Y269" i="22"/>
  <c r="Y268" i="22"/>
  <c r="Z249" i="22"/>
  <c r="AB228" i="22"/>
  <c r="AB220" i="22"/>
  <c r="AB213" i="22"/>
  <c r="AB205" i="22"/>
  <c r="AB204" i="22"/>
  <c r="AB197" i="22"/>
  <c r="AB198" i="22" s="1"/>
  <c r="AB195" i="23" s="1"/>
  <c r="AB189" i="22"/>
  <c r="AB180" i="22"/>
  <c r="AB175" i="22"/>
  <c r="AB173" i="22"/>
  <c r="AB170" i="22"/>
  <c r="Z273" i="22" s="1"/>
  <c r="AB164" i="22"/>
  <c r="AB150" i="22"/>
  <c r="N28" i="22" s="1"/>
  <c r="N30" i="22" s="1"/>
  <c r="AB139" i="22"/>
  <c r="B135" i="22"/>
  <c r="B244" i="22" s="1"/>
  <c r="B347" i="22" s="1"/>
  <c r="Z131" i="22"/>
  <c r="Z101" i="22"/>
  <c r="Z86" i="22"/>
  <c r="AB82" i="22"/>
  <c r="Z73" i="22"/>
  <c r="Z74" i="22" s="1"/>
  <c r="AB179" i="22"/>
  <c r="T69" i="22"/>
  <c r="AB64" i="22"/>
  <c r="AB63" i="22"/>
  <c r="Z60" i="22"/>
  <c r="V60" i="22"/>
  <c r="R60" i="22"/>
  <c r="R66" i="22" s="1"/>
  <c r="P60" i="22"/>
  <c r="P66" i="22" s="1"/>
  <c r="AB58" i="22"/>
  <c r="X60" i="22"/>
  <c r="T60" i="22"/>
  <c r="X48" i="22"/>
  <c r="X47" i="22"/>
  <c r="L30" i="22"/>
  <c r="J30" i="22"/>
  <c r="H30" i="22"/>
  <c r="F30" i="22"/>
  <c r="D30" i="22"/>
  <c r="P29" i="22"/>
  <c r="L29" i="22"/>
  <c r="J29" i="22"/>
  <c r="H29" i="22"/>
  <c r="F29" i="22"/>
  <c r="AB29" i="22" s="1"/>
  <c r="AB34" i="22" s="1"/>
  <c r="Z251" i="22" s="1"/>
  <c r="Z252" i="22" s="1"/>
  <c r="D29" i="22"/>
  <c r="AB28" i="22"/>
  <c r="Y218" i="22" s="1"/>
  <c r="AB42" i="22" l="1"/>
  <c r="Z335" i="22"/>
  <c r="AA314" i="22"/>
  <c r="AA320" i="22" s="1"/>
  <c r="Y299" i="22"/>
  <c r="Y301" i="22"/>
  <c r="Y303" i="22"/>
  <c r="Y300" i="22"/>
  <c r="Y302" i="22"/>
  <c r="Y304" i="22"/>
  <c r="Y306" i="22"/>
  <c r="AB30" i="22"/>
  <c r="Z339" i="22" s="1"/>
  <c r="AA300" i="22"/>
  <c r="AA302" i="22"/>
  <c r="AA304" i="22"/>
  <c r="AA306" i="22"/>
  <c r="X334" i="22"/>
  <c r="AB85" i="22"/>
  <c r="AB88" i="22" s="1"/>
  <c r="AB236" i="22" s="1"/>
  <c r="AB172" i="22"/>
  <c r="AB174" i="22" s="1"/>
  <c r="AA299" i="22"/>
  <c r="AA301" i="22"/>
  <c r="AA303" i="22"/>
  <c r="Z334" i="22"/>
  <c r="Z336" i="22" s="1"/>
  <c r="Y292" i="22"/>
  <c r="Y290" i="22"/>
  <c r="Y293" i="22"/>
  <c r="Y289" i="22"/>
  <c r="Y288" i="22"/>
  <c r="Y294" i="22"/>
  <c r="Y291" i="22"/>
  <c r="Y287" i="22"/>
  <c r="Z85" i="22"/>
  <c r="Z88" i="22" s="1"/>
  <c r="Z132" i="22" s="1"/>
  <c r="Z296" i="22"/>
  <c r="AA292" i="22" s="1"/>
  <c r="N29" i="22"/>
  <c r="AB57" i="22"/>
  <c r="AB60" i="22" s="1"/>
  <c r="AB66" i="22" s="1"/>
  <c r="Z337" i="22" s="1"/>
  <c r="AB64" i="21"/>
  <c r="AB232" i="22" l="1"/>
  <c r="AB238" i="22"/>
  <c r="AB234" i="22"/>
  <c r="Z253" i="22"/>
  <c r="AB132" i="22"/>
  <c r="AB240" i="22"/>
  <c r="AA290" i="22"/>
  <c r="AA288" i="22"/>
  <c r="Y308" i="22"/>
  <c r="AA308" i="22"/>
  <c r="AA291" i="22"/>
  <c r="AA294" i="22"/>
  <c r="AA287" i="22"/>
  <c r="Y296" i="22"/>
  <c r="AA289" i="22"/>
  <c r="AA293" i="22"/>
  <c r="AB63" i="21"/>
  <c r="Z71" i="21"/>
  <c r="AA296" i="22" l="1"/>
  <c r="P29" i="21"/>
  <c r="P29" i="20"/>
  <c r="AB204" i="21" l="1"/>
  <c r="AB113" i="21"/>
  <c r="AB92" i="21"/>
  <c r="AB131" i="21" s="1"/>
  <c r="AB77" i="21" l="1"/>
  <c r="AB76" i="21"/>
  <c r="X57" i="21"/>
  <c r="T57" i="21"/>
  <c r="AB57" i="21" l="1"/>
  <c r="Z75" i="21"/>
  <c r="Z263" i="21"/>
  <c r="AA332" i="21"/>
  <c r="Z332" i="21"/>
  <c r="Z269" i="21" s="1"/>
  <c r="Y332" i="21"/>
  <c r="X332" i="21"/>
  <c r="Y269" i="21" s="1"/>
  <c r="Z320" i="21"/>
  <c r="AA314" i="21" s="1"/>
  <c r="AA320" i="21" s="1"/>
  <c r="X320" i="21"/>
  <c r="Y314" i="21" s="1"/>
  <c r="Y320" i="21" s="1"/>
  <c r="Z308" i="21"/>
  <c r="AA303" i="21" s="1"/>
  <c r="X308" i="21"/>
  <c r="Y301" i="21" s="1"/>
  <c r="Z294" i="21"/>
  <c r="X294" i="21"/>
  <c r="Z293" i="21"/>
  <c r="X293" i="21"/>
  <c r="Z292" i="21"/>
  <c r="X292" i="21"/>
  <c r="Z291" i="21"/>
  <c r="X291" i="21"/>
  <c r="Z290" i="21"/>
  <c r="X290" i="21"/>
  <c r="Z289" i="21"/>
  <c r="X289" i="21"/>
  <c r="Z288" i="21"/>
  <c r="X288" i="21"/>
  <c r="Z287" i="21"/>
  <c r="X287" i="21"/>
  <c r="Z271" i="21"/>
  <c r="Z270" i="21"/>
  <c r="Z249" i="21"/>
  <c r="AB228" i="21"/>
  <c r="AB220" i="21"/>
  <c r="AB213" i="21"/>
  <c r="AB205" i="21"/>
  <c r="AB197" i="21"/>
  <c r="AB198" i="21" s="1"/>
  <c r="AB195" i="22" s="1"/>
  <c r="AB189" i="21"/>
  <c r="AB188" i="21"/>
  <c r="AB180" i="21"/>
  <c r="AB175" i="21"/>
  <c r="AB173" i="21"/>
  <c r="AB170" i="21"/>
  <c r="Z273" i="21" s="1"/>
  <c r="Z274" i="22" s="1"/>
  <c r="Z274" i="23" s="1"/>
  <c r="Z274" i="24" s="1"/>
  <c r="Z274" i="25" s="1"/>
  <c r="Z274" i="26" s="1"/>
  <c r="AB164" i="21"/>
  <c r="AB150" i="21"/>
  <c r="AB139" i="21"/>
  <c r="N28" i="21" s="1"/>
  <c r="N30" i="21" s="1"/>
  <c r="B135" i="21"/>
  <c r="B244" i="21" s="1"/>
  <c r="B347" i="21" s="1"/>
  <c r="Z131" i="21"/>
  <c r="Z101" i="21"/>
  <c r="Z86" i="21"/>
  <c r="AB82" i="21"/>
  <c r="AB85" i="21" s="1"/>
  <c r="AB88" i="21" s="1"/>
  <c r="Z73" i="21"/>
  <c r="T69" i="21"/>
  <c r="Z335" i="21"/>
  <c r="Z60" i="21"/>
  <c r="X60" i="21"/>
  <c r="V60" i="21"/>
  <c r="T60" i="21"/>
  <c r="R60" i="21"/>
  <c r="R66" i="21" s="1"/>
  <c r="P60" i="21"/>
  <c r="P66" i="21" s="1"/>
  <c r="AB58" i="21"/>
  <c r="AB60" i="21"/>
  <c r="X48" i="21"/>
  <c r="X47" i="21"/>
  <c r="AB41" i="21"/>
  <c r="L30" i="21"/>
  <c r="J30" i="21"/>
  <c r="H30" i="21"/>
  <c r="F30" i="21"/>
  <c r="D30" i="21"/>
  <c r="AB42" i="21" s="1"/>
  <c r="L29" i="21"/>
  <c r="J29" i="21"/>
  <c r="H29" i="21"/>
  <c r="F29" i="21"/>
  <c r="D29" i="21"/>
  <c r="AB28" i="21"/>
  <c r="Y218" i="21" s="1"/>
  <c r="AB179" i="21"/>
  <c r="Z131" i="20"/>
  <c r="AB41" i="20"/>
  <c r="AB204" i="20"/>
  <c r="AB188" i="20"/>
  <c r="AB92" i="20"/>
  <c r="AB131" i="20" s="1"/>
  <c r="AB77" i="20"/>
  <c r="AB76" i="20"/>
  <c r="Z71" i="20"/>
  <c r="T57" i="20"/>
  <c r="Z263" i="20" s="1"/>
  <c r="AA332" i="20"/>
  <c r="Z332" i="20"/>
  <c r="Z269" i="20" s="1"/>
  <c r="Y332" i="20"/>
  <c r="X332" i="20"/>
  <c r="Y269" i="20" s="1"/>
  <c r="Z320" i="20"/>
  <c r="AA314" i="20" s="1"/>
  <c r="AA320" i="20" s="1"/>
  <c r="X320" i="20"/>
  <c r="Y314" i="20" s="1"/>
  <c r="Y320" i="20" s="1"/>
  <c r="Z308" i="20"/>
  <c r="AA306" i="20" s="1"/>
  <c r="X308" i="20"/>
  <c r="Y306" i="20" s="1"/>
  <c r="Z294" i="20"/>
  <c r="X294" i="20"/>
  <c r="Z293" i="20"/>
  <c r="X293" i="20"/>
  <c r="Z292" i="20"/>
  <c r="X292" i="20"/>
  <c r="Z291" i="20"/>
  <c r="X291" i="20"/>
  <c r="Z290" i="20"/>
  <c r="X290" i="20"/>
  <c r="Z289" i="20"/>
  <c r="X289" i="20"/>
  <c r="Z288" i="20"/>
  <c r="X288" i="20"/>
  <c r="X296" i="20" s="1"/>
  <c r="Y294" i="20" s="1"/>
  <c r="Z287" i="20"/>
  <c r="X287" i="20"/>
  <c r="Z271" i="20"/>
  <c r="Z270" i="20"/>
  <c r="Z249" i="20"/>
  <c r="AB228" i="20"/>
  <c r="AB220" i="20"/>
  <c r="AB213" i="20"/>
  <c r="AB205" i="20"/>
  <c r="AB197" i="20"/>
  <c r="AB198" i="20" s="1"/>
  <c r="AB195" i="21" s="1"/>
  <c r="AB189" i="20"/>
  <c r="AB180" i="20"/>
  <c r="AB175" i="20"/>
  <c r="AB173" i="20"/>
  <c r="AB170" i="20"/>
  <c r="Z273" i="20" s="1"/>
  <c r="AB164" i="20"/>
  <c r="AB150" i="20"/>
  <c r="AB139" i="20"/>
  <c r="B135" i="20"/>
  <c r="B244" i="20" s="1"/>
  <c r="B347" i="20" s="1"/>
  <c r="Z101" i="20"/>
  <c r="Z86" i="20"/>
  <c r="AB82" i="20"/>
  <c r="Z73" i="20"/>
  <c r="T69" i="20"/>
  <c r="AB64" i="20"/>
  <c r="AB63" i="20"/>
  <c r="Z335" i="20" s="1"/>
  <c r="Z60" i="20"/>
  <c r="V60" i="20"/>
  <c r="R60" i="20"/>
  <c r="R66" i="20" s="1"/>
  <c r="P60" i="20"/>
  <c r="P66" i="20" s="1"/>
  <c r="AB58" i="20"/>
  <c r="X60" i="20"/>
  <c r="X48" i="20"/>
  <c r="X47" i="20"/>
  <c r="L30" i="20"/>
  <c r="J30" i="20"/>
  <c r="H30" i="20"/>
  <c r="F30" i="20"/>
  <c r="D30" i="20"/>
  <c r="L29" i="20"/>
  <c r="J29" i="20"/>
  <c r="H29" i="20"/>
  <c r="F29" i="20"/>
  <c r="D29" i="20"/>
  <c r="AB28" i="20"/>
  <c r="Y218" i="20"/>
  <c r="Y268" i="20"/>
  <c r="AA302" i="20"/>
  <c r="AA300" i="20"/>
  <c r="AA304" i="20"/>
  <c r="AA299" i="20"/>
  <c r="AA301" i="20"/>
  <c r="AA303" i="20"/>
  <c r="AA305" i="20"/>
  <c r="Y302" i="20"/>
  <c r="AB179" i="20"/>
  <c r="AB180" i="19"/>
  <c r="Z270" i="19"/>
  <c r="Z268" i="18"/>
  <c r="Z71" i="19"/>
  <c r="AB179" i="19" s="1"/>
  <c r="AB41" i="19"/>
  <c r="AB213" i="19"/>
  <c r="AB197" i="19"/>
  <c r="AB198" i="19" s="1"/>
  <c r="AB195" i="20" s="1"/>
  <c r="AB202" i="18"/>
  <c r="F29" i="19"/>
  <c r="H29" i="19"/>
  <c r="J29" i="19"/>
  <c r="L29" i="19"/>
  <c r="AB28" i="18"/>
  <c r="Y216" i="18" s="1"/>
  <c r="AB170" i="19"/>
  <c r="AB172" i="19" s="1"/>
  <c r="P29" i="19"/>
  <c r="AB189" i="19"/>
  <c r="AB188" i="19"/>
  <c r="AB205" i="19"/>
  <c r="AB212" i="19"/>
  <c r="AB204" i="19" s="1"/>
  <c r="D29" i="19"/>
  <c r="AB92" i="19"/>
  <c r="AB131" i="19" s="1"/>
  <c r="AB77" i="19"/>
  <c r="AB76" i="19"/>
  <c r="Z131" i="19"/>
  <c r="Z101" i="19"/>
  <c r="AB63" i="19"/>
  <c r="X57" i="19"/>
  <c r="X60" i="19" s="1"/>
  <c r="T57" i="19"/>
  <c r="T60" i="19" s="1"/>
  <c r="X47" i="19"/>
  <c r="AA332" i="19"/>
  <c r="Z332" i="19"/>
  <c r="Z269" i="19" s="1"/>
  <c r="Y332" i="19"/>
  <c r="X332" i="19"/>
  <c r="AA320" i="19"/>
  <c r="Z320" i="19"/>
  <c r="Z268" i="19" s="1"/>
  <c r="Y320" i="19"/>
  <c r="X320" i="19"/>
  <c r="Z308" i="19"/>
  <c r="AA300" i="19" s="1"/>
  <c r="X308" i="19"/>
  <c r="Y306" i="19" s="1"/>
  <c r="Z294" i="19"/>
  <c r="X294" i="19"/>
  <c r="Z293" i="19"/>
  <c r="X293" i="19"/>
  <c r="Z292" i="19"/>
  <c r="X292" i="19"/>
  <c r="Z291" i="19"/>
  <c r="X291" i="19"/>
  <c r="Z290" i="19"/>
  <c r="X290" i="19"/>
  <c r="Z289" i="19"/>
  <c r="X289" i="19"/>
  <c r="Z288" i="19"/>
  <c r="X288" i="19"/>
  <c r="Z287" i="19"/>
  <c r="Z296" i="19" s="1"/>
  <c r="X287" i="19"/>
  <c r="Z271" i="19"/>
  <c r="Y269" i="19"/>
  <c r="AB228" i="19"/>
  <c r="AB220" i="19"/>
  <c r="AB175" i="19"/>
  <c r="AB173" i="19"/>
  <c r="AB164" i="19"/>
  <c r="AB150" i="19"/>
  <c r="N28" i="19" s="1"/>
  <c r="N29" i="19" s="1"/>
  <c r="AB139" i="19"/>
  <c r="B135" i="19"/>
  <c r="B244" i="19" s="1"/>
  <c r="B347" i="19" s="1"/>
  <c r="Z86" i="19"/>
  <c r="AB82" i="19"/>
  <c r="Z73" i="19"/>
  <c r="T69" i="19"/>
  <c r="AB64" i="19"/>
  <c r="Z335" i="19" s="1"/>
  <c r="Z60" i="19"/>
  <c r="V60" i="19"/>
  <c r="R60" i="19"/>
  <c r="R66" i="19"/>
  <c r="P60" i="19"/>
  <c r="P66" i="19" s="1"/>
  <c r="AB58" i="19"/>
  <c r="X48" i="19"/>
  <c r="L30" i="19"/>
  <c r="J30" i="19"/>
  <c r="H30" i="19"/>
  <c r="F30" i="19"/>
  <c r="D30" i="19"/>
  <c r="AB28" i="19"/>
  <c r="Y218" i="19" s="1"/>
  <c r="AB211" i="18"/>
  <c r="AB212" i="18" s="1"/>
  <c r="AB211" i="19" s="1"/>
  <c r="Z249" i="19"/>
  <c r="AB226" i="18"/>
  <c r="Z269" i="18"/>
  <c r="Z130" i="18"/>
  <c r="AB41" i="18"/>
  <c r="AB180" i="18"/>
  <c r="AB178" i="19" s="1"/>
  <c r="V57" i="18"/>
  <c r="T57" i="18"/>
  <c r="AB63" i="18"/>
  <c r="AB203" i="18"/>
  <c r="X57" i="18"/>
  <c r="X60" i="18" s="1"/>
  <c r="AB64" i="18"/>
  <c r="AB92" i="18"/>
  <c r="AB130" i="18" s="1"/>
  <c r="AB77" i="18"/>
  <c r="AB76" i="18"/>
  <c r="D30" i="18"/>
  <c r="L30" i="18"/>
  <c r="J30" i="18"/>
  <c r="H30" i="18"/>
  <c r="F30" i="18"/>
  <c r="AB196" i="18"/>
  <c r="AB195" i="19" s="1"/>
  <c r="AB171" i="18"/>
  <c r="AB163" i="18"/>
  <c r="AB165" i="18" s="1"/>
  <c r="AB163" i="19" s="1"/>
  <c r="Z285" i="18"/>
  <c r="AA318" i="18"/>
  <c r="Y330" i="18"/>
  <c r="AA330" i="18"/>
  <c r="Y318" i="18"/>
  <c r="AB150" i="18"/>
  <c r="AB159" i="18" s="1"/>
  <c r="AB151" i="19" s="1"/>
  <c r="AB160" i="19" s="1"/>
  <c r="AB151" i="20" s="1"/>
  <c r="AB160" i="20" s="1"/>
  <c r="AB151" i="21" s="1"/>
  <c r="AB160" i="21" s="1"/>
  <c r="AB151" i="22" s="1"/>
  <c r="AB160" i="22" s="1"/>
  <c r="AB151" i="23" s="1"/>
  <c r="AB160" i="23" s="1"/>
  <c r="AB151" i="24" s="1"/>
  <c r="AB160" i="24" s="1"/>
  <c r="AB151" i="25" s="1"/>
  <c r="AB160" i="25" s="1"/>
  <c r="AB151" i="26" s="1"/>
  <c r="AB160" i="26" s="1"/>
  <c r="AB139" i="18"/>
  <c r="AB146" i="18" s="1"/>
  <c r="AB149" i="18"/>
  <c r="AB138" i="18"/>
  <c r="Z219" i="18"/>
  <c r="Z219" i="19" s="1"/>
  <c r="Z221" i="19" s="1"/>
  <c r="Z219" i="20" s="1"/>
  <c r="Z221" i="20" s="1"/>
  <c r="Z219" i="21" s="1"/>
  <c r="Z221" i="21" s="1"/>
  <c r="Z219" i="22" s="1"/>
  <c r="Z221" i="22" s="1"/>
  <c r="Z219" i="23" s="1"/>
  <c r="Z221" i="23" s="1"/>
  <c r="Z219" i="24" s="1"/>
  <c r="Z221" i="24" s="1"/>
  <c r="Y219" i="18"/>
  <c r="Y219" i="19" s="1"/>
  <c r="Y221" i="19" s="1"/>
  <c r="AB217" i="18"/>
  <c r="AB218" i="18"/>
  <c r="Z86" i="18"/>
  <c r="AB186" i="18"/>
  <c r="AB188" i="18" s="1"/>
  <c r="AB187" i="19" s="1"/>
  <c r="AB82" i="18"/>
  <c r="AB174" i="18"/>
  <c r="X306" i="18"/>
  <c r="Y297" i="18" s="1"/>
  <c r="Z330" i="18"/>
  <c r="X330" i="18"/>
  <c r="Y267" i="18" s="1"/>
  <c r="Z318" i="18"/>
  <c r="Z266" i="18" s="1"/>
  <c r="X318" i="18"/>
  <c r="Y266" i="18" s="1"/>
  <c r="Z306" i="18"/>
  <c r="AA302" i="18" s="1"/>
  <c r="Z292" i="18"/>
  <c r="Z286" i="18"/>
  <c r="X290" i="18"/>
  <c r="X286" i="18"/>
  <c r="X285" i="18"/>
  <c r="Z271" i="18"/>
  <c r="Z272" i="18"/>
  <c r="Z73" i="18"/>
  <c r="Z74" i="18" s="1"/>
  <c r="AB172" i="18"/>
  <c r="AB173" i="18" s="1"/>
  <c r="Z101" i="18"/>
  <c r="X48" i="18"/>
  <c r="T69" i="18"/>
  <c r="P60" i="18"/>
  <c r="P66" i="18" s="1"/>
  <c r="R60" i="18"/>
  <c r="R66" i="18" s="1"/>
  <c r="T60" i="18"/>
  <c r="V60" i="18"/>
  <c r="Z267" i="18"/>
  <c r="X292" i="18"/>
  <c r="Z291" i="18"/>
  <c r="X291" i="18"/>
  <c r="Z290" i="18"/>
  <c r="Z289" i="18"/>
  <c r="X289" i="18"/>
  <c r="Z288" i="18"/>
  <c r="X288" i="18"/>
  <c r="Z287" i="18"/>
  <c r="X287" i="18"/>
  <c r="B134" i="18"/>
  <c r="B242" i="18" s="1"/>
  <c r="B345" i="18" s="1"/>
  <c r="AB58" i="18"/>
  <c r="AB29" i="18"/>
  <c r="Y302" i="18"/>
  <c r="Z60" i="18"/>
  <c r="Z75" i="18"/>
  <c r="Z263" i="19"/>
  <c r="Z74" i="19"/>
  <c r="Y268" i="19"/>
  <c r="Y303" i="19"/>
  <c r="AA300" i="18"/>
  <c r="X332" i="18"/>
  <c r="Z273" i="19"/>
  <c r="Y304" i="19"/>
  <c r="Y302" i="19"/>
  <c r="AA292" i="19" l="1"/>
  <c r="AA294" i="19"/>
  <c r="Z219" i="25"/>
  <c r="Z221" i="25" s="1"/>
  <c r="Z219" i="26" s="1"/>
  <c r="Z221" i="26" s="1"/>
  <c r="AA289" i="19"/>
  <c r="Y299" i="18"/>
  <c r="AB30" i="19"/>
  <c r="AB182" i="19"/>
  <c r="AB178" i="20" s="1"/>
  <c r="AB182" i="20" s="1"/>
  <c r="AB178" i="21" s="1"/>
  <c r="AB182" i="21" s="1"/>
  <c r="AB178" i="22" s="1"/>
  <c r="AB182" i="22" s="1"/>
  <c r="AB178" i="23" s="1"/>
  <c r="AB182" i="23" s="1"/>
  <c r="AB178" i="24" s="1"/>
  <c r="AB182" i="24" s="1"/>
  <c r="AB178" i="25" s="1"/>
  <c r="AB182" i="25" s="1"/>
  <c r="AB178" i="26" s="1"/>
  <c r="AB182" i="26" s="1"/>
  <c r="X334" i="20"/>
  <c r="AA303" i="18"/>
  <c r="AB214" i="19"/>
  <c r="AB211" i="20" s="1"/>
  <c r="AB214" i="20" s="1"/>
  <c r="AB211" i="21" s="1"/>
  <c r="AB219" i="18"/>
  <c r="Y300" i="18"/>
  <c r="Z332" i="18"/>
  <c r="Y298" i="18"/>
  <c r="Y303" i="18"/>
  <c r="AB190" i="19"/>
  <c r="AB187" i="20" s="1"/>
  <c r="AB190" i="20" s="1"/>
  <c r="AB187" i="21" s="1"/>
  <c r="AB166" i="19"/>
  <c r="AB163" i="20" s="1"/>
  <c r="AB57" i="18"/>
  <c r="AB60" i="18" s="1"/>
  <c r="AB66" i="18" s="1"/>
  <c r="Z335" i="18" s="1"/>
  <c r="Z334" i="20"/>
  <c r="Z296" i="20"/>
  <c r="AA288" i="20" s="1"/>
  <c r="AA292" i="20"/>
  <c r="AA290" i="20"/>
  <c r="AA308" i="20"/>
  <c r="Y300" i="19"/>
  <c r="X294" i="18"/>
  <c r="Y288" i="18" s="1"/>
  <c r="Z85" i="18"/>
  <c r="Z88" i="18" s="1"/>
  <c r="Z131" i="18" s="1"/>
  <c r="AA304" i="18"/>
  <c r="AB30" i="18"/>
  <c r="Y305" i="20"/>
  <c r="Y301" i="20"/>
  <c r="N28" i="20"/>
  <c r="Z268" i="21"/>
  <c r="Z336" i="20"/>
  <c r="Y301" i="19"/>
  <c r="X296" i="19"/>
  <c r="Y290" i="19" s="1"/>
  <c r="Y220" i="18"/>
  <c r="Y304" i="20"/>
  <c r="Y300" i="20"/>
  <c r="Z253" i="21"/>
  <c r="X334" i="19"/>
  <c r="Y305" i="19"/>
  <c r="Y299" i="19"/>
  <c r="N28" i="18"/>
  <c r="N30" i="18" s="1"/>
  <c r="Z333" i="18"/>
  <c r="Z334" i="18" s="1"/>
  <c r="AB85" i="19"/>
  <c r="AB88" i="19" s="1"/>
  <c r="AB234" i="19" s="1"/>
  <c r="Y303" i="20"/>
  <c r="Y299" i="20"/>
  <c r="Z268" i="20"/>
  <c r="Y289" i="20"/>
  <c r="AA290" i="19"/>
  <c r="AB34" i="18"/>
  <c r="Z249" i="18" s="1"/>
  <c r="Z250" i="18" s="1"/>
  <c r="AB29" i="19"/>
  <c r="AB34" i="19" s="1"/>
  <c r="Z251" i="19" s="1"/>
  <c r="Z252" i="19" s="1"/>
  <c r="AB204" i="18"/>
  <c r="AB203" i="19" s="1"/>
  <c r="AB206" i="19" s="1"/>
  <c r="AB203" i="20" s="1"/>
  <c r="AB206" i="20" s="1"/>
  <c r="AB203" i="21" s="1"/>
  <c r="AB206" i="21" s="1"/>
  <c r="AB203" i="22" s="1"/>
  <c r="AB206" i="22" s="1"/>
  <c r="AB203" i="23" s="1"/>
  <c r="AB206" i="23" s="1"/>
  <c r="AB203" i="24" s="1"/>
  <c r="AB206" i="24" s="1"/>
  <c r="AB203" i="25" s="1"/>
  <c r="AB206" i="25" s="1"/>
  <c r="AB203" i="26" s="1"/>
  <c r="AB206" i="26" s="1"/>
  <c r="AA291" i="20"/>
  <c r="T60" i="20"/>
  <c r="Y290" i="20"/>
  <c r="AB30" i="20"/>
  <c r="Z339" i="20" s="1"/>
  <c r="Y268" i="21"/>
  <c r="AB57" i="19"/>
  <c r="AB60" i="19" s="1"/>
  <c r="AB66" i="19" s="1"/>
  <c r="Z337" i="19" s="1"/>
  <c r="AB166" i="20"/>
  <c r="AB163" i="21" s="1"/>
  <c r="AB166" i="21" s="1"/>
  <c r="AB163" i="22" s="1"/>
  <c r="AB166" i="22" s="1"/>
  <c r="AB163" i="23" s="1"/>
  <c r="AB166" i="23" s="1"/>
  <c r="AB163" i="24" s="1"/>
  <c r="AB166" i="24" s="1"/>
  <c r="AB163" i="25" s="1"/>
  <c r="AB166" i="25" s="1"/>
  <c r="AB163" i="26" s="1"/>
  <c r="AB166" i="26" s="1"/>
  <c r="AA304" i="19"/>
  <c r="AA293" i="19"/>
  <c r="AA301" i="18"/>
  <c r="AA297" i="18"/>
  <c r="Y301" i="18"/>
  <c r="N30" i="19"/>
  <c r="AA298" i="18"/>
  <c r="Y304" i="18"/>
  <c r="AA287" i="20"/>
  <c r="AA289" i="20"/>
  <c r="AB85" i="20"/>
  <c r="AB88" i="20" s="1"/>
  <c r="AB236" i="20" s="1"/>
  <c r="Y287" i="20"/>
  <c r="Y291" i="20"/>
  <c r="Y293" i="20"/>
  <c r="AA303" i="19"/>
  <c r="AA288" i="19"/>
  <c r="AA287" i="19"/>
  <c r="AA291" i="19"/>
  <c r="Z274" i="19"/>
  <c r="Z274" i="20" s="1"/>
  <c r="Z274" i="21" s="1"/>
  <c r="AA299" i="18"/>
  <c r="Z75" i="19"/>
  <c r="Z85" i="19" s="1"/>
  <c r="Z88" i="19" s="1"/>
  <c r="Z132" i="19" s="1"/>
  <c r="AB85" i="18"/>
  <c r="AB88" i="18" s="1"/>
  <c r="AB234" i="18" s="1"/>
  <c r="Z261" i="18"/>
  <c r="AB174" i="19"/>
  <c r="AA294" i="20"/>
  <c r="AB57" i="20"/>
  <c r="AB60" i="20" s="1"/>
  <c r="AB66" i="20" s="1"/>
  <c r="Z337" i="20" s="1"/>
  <c r="AA293" i="20"/>
  <c r="AB29" i="20"/>
  <c r="AB34" i="20" s="1"/>
  <c r="Z251" i="20" s="1"/>
  <c r="Z252" i="20" s="1"/>
  <c r="Z75" i="20"/>
  <c r="AA302" i="21"/>
  <c r="AB29" i="21"/>
  <c r="AB34" i="21" s="1"/>
  <c r="Z251" i="21" s="1"/>
  <c r="Z252" i="21" s="1"/>
  <c r="X334" i="21"/>
  <c r="Y292" i="19"/>
  <c r="Y222" i="19"/>
  <c r="Z339" i="19"/>
  <c r="Y291" i="18"/>
  <c r="Y285" i="18"/>
  <c r="Y294" i="19"/>
  <c r="AB219" i="19"/>
  <c r="AB140" i="19"/>
  <c r="AB147" i="19" s="1"/>
  <c r="AB140" i="20"/>
  <c r="AB147" i="20" s="1"/>
  <c r="AB140" i="21" s="1"/>
  <c r="AB147" i="21" s="1"/>
  <c r="AB140" i="22" s="1"/>
  <c r="AB147" i="22" s="1"/>
  <c r="AB140" i="23" s="1"/>
  <c r="AB147" i="23" s="1"/>
  <c r="AB140" i="24" s="1"/>
  <c r="AB147" i="24" s="1"/>
  <c r="AB140" i="25" s="1"/>
  <c r="AB147" i="25" s="1"/>
  <c r="AB140" i="26" s="1"/>
  <c r="AB147" i="26" s="1"/>
  <c r="N29" i="20"/>
  <c r="N30" i="20"/>
  <c r="AB132" i="20"/>
  <c r="AB238" i="20"/>
  <c r="Y219" i="20"/>
  <c r="AB221" i="19"/>
  <c r="Y287" i="19"/>
  <c r="Y291" i="19"/>
  <c r="Y293" i="19"/>
  <c r="Y289" i="19"/>
  <c r="AB232" i="19"/>
  <c r="AB236" i="18"/>
  <c r="Z251" i="18"/>
  <c r="AB232" i="18"/>
  <c r="AB131" i="18"/>
  <c r="Z294" i="18"/>
  <c r="AA290" i="18" s="1"/>
  <c r="AA301" i="19"/>
  <c r="AB42" i="19"/>
  <c r="Z337" i="18"/>
  <c r="AB42" i="18"/>
  <c r="AB42" i="20"/>
  <c r="Y292" i="20"/>
  <c r="Z74" i="20"/>
  <c r="Z85" i="20" s="1"/>
  <c r="Z88" i="20" s="1"/>
  <c r="Z132" i="20" s="1"/>
  <c r="AB30" i="21"/>
  <c r="Z339" i="21" s="1"/>
  <c r="AB214" i="21"/>
  <c r="AB211" i="22" s="1"/>
  <c r="AB214" i="22" s="1"/>
  <c r="AB211" i="23" s="1"/>
  <c r="AB214" i="23" s="1"/>
  <c r="AB211" i="24" s="1"/>
  <c r="AB214" i="24" s="1"/>
  <c r="AB211" i="25" s="1"/>
  <c r="AB214" i="25" s="1"/>
  <c r="AB211" i="26" s="1"/>
  <c r="AB214" i="26" s="1"/>
  <c r="Y302" i="21"/>
  <c r="Y288" i="19"/>
  <c r="AA299" i="19"/>
  <c r="Z246" i="18"/>
  <c r="Z247" i="18" s="1"/>
  <c r="AB172" i="20"/>
  <c r="AB174" i="20" s="1"/>
  <c r="Y288" i="20"/>
  <c r="N29" i="21"/>
  <c r="AB66" i="21"/>
  <c r="Z337" i="21" s="1"/>
  <c r="Z74" i="21"/>
  <c r="Z85" i="21" s="1"/>
  <c r="Y304" i="21"/>
  <c r="AA306" i="19"/>
  <c r="AA305" i="19"/>
  <c r="AA302" i="19"/>
  <c r="Z334" i="19"/>
  <c r="Z336" i="19" s="1"/>
  <c r="Y299" i="21"/>
  <c r="Y305" i="21"/>
  <c r="AB190" i="21"/>
  <c r="AB187" i="22" s="1"/>
  <c r="AB190" i="22" s="1"/>
  <c r="AB187" i="23" s="1"/>
  <c r="AB190" i="23" s="1"/>
  <c r="AB187" i="24" s="1"/>
  <c r="AB190" i="24" s="1"/>
  <c r="AB187" i="25" s="1"/>
  <c r="AB190" i="25" s="1"/>
  <c r="AB187" i="26" s="1"/>
  <c r="AB190" i="26" s="1"/>
  <c r="AB234" i="21"/>
  <c r="AB238" i="21"/>
  <c r="AB240" i="21"/>
  <c r="AB236" i="21"/>
  <c r="AB232" i="21"/>
  <c r="AB132" i="21"/>
  <c r="AB172" i="21"/>
  <c r="AB174" i="21" s="1"/>
  <c r="AA301" i="21"/>
  <c r="Z296" i="21"/>
  <c r="AA291" i="21" s="1"/>
  <c r="AA300" i="21"/>
  <c r="AA306" i="21"/>
  <c r="AA304" i="21"/>
  <c r="AA305" i="21"/>
  <c r="Z334" i="21"/>
  <c r="Z336" i="21" s="1"/>
  <c r="AA299" i="21"/>
  <c r="X296" i="21"/>
  <c r="Y292" i="21" s="1"/>
  <c r="Y306" i="21"/>
  <c r="Y293" i="21"/>
  <c r="Y300" i="21"/>
  <c r="Y303" i="21"/>
  <c r="Y289" i="18" l="1"/>
  <c r="AB132" i="19"/>
  <c r="Y292" i="18"/>
  <c r="Y286" i="18"/>
  <c r="Y287" i="18"/>
  <c r="Y306" i="18"/>
  <c r="Y308" i="20"/>
  <c r="Y308" i="19"/>
  <c r="Z253" i="19"/>
  <c r="AB234" i="20"/>
  <c r="AB238" i="19"/>
  <c r="AB240" i="19"/>
  <c r="AA296" i="20"/>
  <c r="AB236" i="19"/>
  <c r="AB232" i="20"/>
  <c r="AB240" i="20"/>
  <c r="AA306" i="18"/>
  <c r="AA296" i="19"/>
  <c r="Y290" i="18"/>
  <c r="Y294" i="18" s="1"/>
  <c r="Y296" i="20"/>
  <c r="AB238" i="18"/>
  <c r="AB230" i="18"/>
  <c r="AA291" i="18"/>
  <c r="Z88" i="21"/>
  <c r="Z132" i="21" s="1"/>
  <c r="AA308" i="19"/>
  <c r="Y296" i="19"/>
  <c r="AA289" i="18"/>
  <c r="AA286" i="18"/>
  <c r="AA292" i="18"/>
  <c r="AA287" i="18"/>
  <c r="AA285" i="18"/>
  <c r="AA294" i="18" s="1"/>
  <c r="AA288" i="18"/>
  <c r="Y290" i="21"/>
  <c r="AB219" i="20"/>
  <c r="Y221" i="20"/>
  <c r="AA292" i="21"/>
  <c r="AA293" i="21"/>
  <c r="AA294" i="21"/>
  <c r="AA288" i="21"/>
  <c r="AA287" i="21"/>
  <c r="AA290" i="21"/>
  <c r="AA289" i="21"/>
  <c r="AA308" i="21"/>
  <c r="Y289" i="21"/>
  <c r="Y288" i="21"/>
  <c r="Y287" i="21"/>
  <c r="Y291" i="21"/>
  <c r="Y294" i="21"/>
  <c r="Y308" i="21"/>
  <c r="Y296" i="21" l="1"/>
  <c r="Y219" i="21"/>
  <c r="Y219" i="22" s="1"/>
  <c r="Y221" i="22" s="1"/>
  <c r="AB221" i="20"/>
  <c r="Y222" i="20"/>
  <c r="AA296" i="21"/>
  <c r="Y219" i="23" l="1"/>
  <c r="Y222" i="22"/>
  <c r="Y221" i="21"/>
  <c r="Y222" i="21" s="1"/>
  <c r="AB219" i="21"/>
  <c r="Y221" i="23" l="1"/>
  <c r="AB219" i="23"/>
  <c r="AB221" i="21"/>
  <c r="Y219" i="24" l="1"/>
  <c r="AB221" i="23"/>
  <c r="Y222" i="23"/>
  <c r="AB219" i="22"/>
  <c r="Y221" i="24" l="1"/>
  <c r="AB219" i="24"/>
  <c r="AB221" i="22"/>
  <c r="Y219" i="25" l="1"/>
  <c r="AB221" i="24"/>
  <c r="Y222" i="24"/>
  <c r="Y320" i="23"/>
  <c r="Y221" i="25" l="1"/>
  <c r="AB219" i="25"/>
  <c r="AB221" i="25" l="1"/>
  <c r="Y219" i="26"/>
  <c r="Y222" i="25"/>
  <c r="AB219" i="26" l="1"/>
  <c r="Y221" i="26"/>
  <c r="AB221" i="26" l="1"/>
  <c r="Y222" i="26"/>
</calcChain>
</file>

<file path=xl/sharedStrings.xml><?xml version="1.0" encoding="utf-8"?>
<sst xmlns="http://schemas.openxmlformats.org/spreadsheetml/2006/main" count="10133" uniqueCount="417">
  <si>
    <t>Summary Transaction  Features</t>
  </si>
  <si>
    <t>Name of Issuer</t>
  </si>
  <si>
    <t>Originator % at Closing</t>
  </si>
  <si>
    <t xml:space="preserve">Originator % at the Quarter End </t>
  </si>
  <si>
    <t>Date of Issue</t>
  </si>
  <si>
    <t>Date of Production</t>
  </si>
  <si>
    <t>Security Level Data</t>
  </si>
  <si>
    <t>ISIN</t>
  </si>
  <si>
    <t xml:space="preserve">Note Interest Margins: </t>
  </si>
  <si>
    <t>Current Note Interest Rates:</t>
  </si>
  <si>
    <t>Previous Note Interest Rates:</t>
  </si>
  <si>
    <t>Step-up Dates</t>
  </si>
  <si>
    <t>Record Date</t>
  </si>
  <si>
    <t>Asset Movements</t>
  </si>
  <si>
    <t>Mortgages</t>
  </si>
  <si>
    <t>Current Principal Balance (£'000)</t>
  </si>
  <si>
    <t>Accrued Arrears and Interest Sold to Issuer (£'000)</t>
  </si>
  <si>
    <t>Total (£'000)</t>
  </si>
  <si>
    <t>Credit Enhancement</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</si>
  <si>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</si>
  <si>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</si>
  <si>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</si>
  <si>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</si>
  <si>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</si>
  <si>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</si>
  <si>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</si>
  <si>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</si>
  <si>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</si>
  <si>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Third Party payments for Corporation Tax and VAT</t>
  </si>
  <si>
    <t>Principal payments made from Principal Income:</t>
  </si>
  <si>
    <t>Total payments to be made this quarter</t>
  </si>
  <si>
    <t>Total closing cash balance</t>
  </si>
  <si>
    <t>Available Credit Enhancement</t>
  </si>
  <si>
    <t>PDL Replenishment</t>
  </si>
  <si>
    <t>Principal Deficiency Ledger (PDL)</t>
  </si>
  <si>
    <t>Opening PDL Balance</t>
  </si>
  <si>
    <t>Losses this quarter</t>
  </si>
  <si>
    <t>Total PDL balance</t>
  </si>
  <si>
    <t>Closing PDL Balance</t>
  </si>
  <si>
    <t xml:space="preserve">Cash Flow Interest Coverage </t>
  </si>
  <si>
    <t>Cover Ratio for Class A Notes (at last Interest Payment Date)</t>
  </si>
  <si>
    <t xml:space="preserve">Cover Ratio for Class A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</si>
  <si>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</si>
  <si>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</si>
  <si>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</si>
  <si>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</si>
  <si>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</si>
  <si>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</si>
  <si>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</si>
  <si>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</si>
  <si>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</si>
  <si>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</si>
  <si>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</si>
  <si>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</si>
  <si>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</si>
  <si>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</si>
  <si>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</si>
  <si>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</si>
  <si>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</si>
  <si>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</si>
  <si>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</si>
  <si>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</si>
  <si>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</si>
  <si>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As at Closing</t>
  </si>
  <si>
    <t>PDD =</t>
  </si>
  <si>
    <t>Last Quarter Balance</t>
  </si>
  <si>
    <t>Tel.</t>
  </si>
  <si>
    <t>E-mail</t>
  </si>
  <si>
    <t>Additions this quarter</t>
  </si>
  <si>
    <t>No.</t>
  </si>
  <si>
    <t>%</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</si>
  <si>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</si>
  <si>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</si>
  <si>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</si>
  <si>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</si>
  <si>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</si>
  <si>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</si>
  <si>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</si>
  <si>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</si>
  <si>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</si>
  <si>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</si>
  <si>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</si>
  <si>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</si>
  <si>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</si>
  <si>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</si>
  <si>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</si>
  <si>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</si>
  <si>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Replenishments from excess Revenue cash</t>
  </si>
  <si>
    <t>Current Pool Factor</t>
  </si>
  <si>
    <t>Previous Pool Factor</t>
  </si>
  <si>
    <t xml:space="preserve">Previous Outstanding Note Principal </t>
  </si>
  <si>
    <t>Original Issue Amount ('000)</t>
  </si>
  <si>
    <t xml:space="preserve">Current Outstanding Note Principal </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</si>
  <si>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</si>
  <si>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</si>
  <si>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</si>
  <si>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</si>
  <si>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Appointment of a Receiver of Rent</t>
  </si>
  <si>
    <t>+44 (0) 121 712 2315</t>
  </si>
  <si>
    <t>ACTUAL/365</t>
  </si>
  <si>
    <t>&gt;3&lt;=4 Months</t>
  </si>
  <si>
    <t>&gt;4&lt;=5 Months</t>
  </si>
  <si>
    <t>&gt;5&lt;=6 Months</t>
  </si>
  <si>
    <t>&gt;6&lt;=12 Months</t>
  </si>
  <si>
    <t>&gt;12 Months</t>
  </si>
  <si>
    <t>Delinquency Summary (Excluding Receiver of Rent and Possession Cases)</t>
  </si>
  <si>
    <t>Delinquency Summary (For Possession Cases)</t>
  </si>
  <si>
    <t>Total Assets</t>
  </si>
  <si>
    <t xml:space="preserve">FOR FURTHER ASSISTANCE ON THE INVESTOR REPORTS, PLEASE REFER TO THE "INVESTOR TERMS" POSTED ON THE PARAGON WEBSITE   </t>
  </si>
  <si>
    <t xml:space="preserve">FOR ADDITIONAL INFORMATION ON THE UNDERLYING ASSETS, PLEASE REFER TO THE "POOL TABLES" AND "SUMMARY" SECTIONS POSTED ON THE PARAGON WEBSITE  </t>
  </si>
  <si>
    <t xml:space="preserve"> </t>
  </si>
  <si>
    <t>Quarterly Interest Payment Date</t>
  </si>
  <si>
    <t>Stated Maturity - Class A Notes</t>
  </si>
  <si>
    <t>Redemption Income</t>
  </si>
  <si>
    <t>Investment Income</t>
  </si>
  <si>
    <t>Quarterly Interest Income</t>
  </si>
  <si>
    <t>Receiver of Rent Properties Sold</t>
  </si>
  <si>
    <t>Average Number of months in Arrears @ Sale date</t>
  </si>
  <si>
    <t>Termination Fees to the Swap Providers</t>
  </si>
  <si>
    <t>Total Income as a % of the Total Assets</t>
  </si>
  <si>
    <t>Swap Receipts</t>
  </si>
  <si>
    <t>Delinquency Summary (For Receiver of Rent Cases)</t>
  </si>
  <si>
    <t>+44 (0) 121 712 3896</t>
  </si>
  <si>
    <t>N/A: Sequential Paydown</t>
  </si>
  <si>
    <t>Accrual from Revenue for potential Losses</t>
  </si>
  <si>
    <t>Possession Properties Sold</t>
  </si>
  <si>
    <t>Delinquency Summary</t>
  </si>
  <si>
    <t>Unrated</t>
  </si>
  <si>
    <t>PM (2010) Ltd</t>
  </si>
  <si>
    <t>Class A Note Interest</t>
  </si>
  <si>
    <t>Issuer Profit Amount</t>
  </si>
  <si>
    <t>Swap Retention fund</t>
  </si>
  <si>
    <t>Original Weighted Average Note Coupon</t>
  </si>
  <si>
    <t>Current Weighted Average Note Coupon</t>
  </si>
  <si>
    <t>Properties Sold by Mortgagee - Outstanding Principal Balance</t>
  </si>
  <si>
    <t>This Quarter's Scheduled Repayments</t>
  </si>
  <si>
    <t>This Quarter's Unscheduled / Redemptions</t>
  </si>
  <si>
    <t>Issuer Services Provider Fee</t>
  </si>
  <si>
    <t>Accrued Arrears and Interest not Sold to Issuer</t>
  </si>
  <si>
    <t>Total Mortgage Assets</t>
  </si>
  <si>
    <t>Class B Notes</t>
  </si>
  <si>
    <t>Class C Notes</t>
  </si>
  <si>
    <t>Class B Note repayment</t>
  </si>
  <si>
    <t>Class C Note repayment</t>
  </si>
  <si>
    <t>Cover Ratio for Class B Notes (at last Interest Payment Date)</t>
  </si>
  <si>
    <t xml:space="preserve">Cover Ratio for Class B Notes (cumulative) </t>
  </si>
  <si>
    <t>Cover Ratio for Class C Notes (at last Interest Payment Date)</t>
  </si>
  <si>
    <t xml:space="preserve">Cover Ratio for Class C Notes (cumulative) </t>
  </si>
  <si>
    <t>Stated Maturity - Class B Notes</t>
  </si>
  <si>
    <t>Stated Maturity - Class C Notes</t>
  </si>
  <si>
    <t>Class B Note Interest</t>
  </si>
  <si>
    <t>Class C Note Interest</t>
  </si>
  <si>
    <t>Andrew Kitching, 51 Homer Road, Solihull, West Midlands, B91 3QJ</t>
  </si>
  <si>
    <t>Jimmy Giles, 51 Homer Road, Solihull, West Midlands, B91 3QJ</t>
  </si>
  <si>
    <t>Moody's Rating at Closing</t>
  </si>
  <si>
    <t>Current Moody's Rating</t>
  </si>
  <si>
    <t>PM (2010) Mandatory Further Advances</t>
  </si>
  <si>
    <t>PM (2010) Discretionary Further Advances</t>
  </si>
  <si>
    <t>Fitch Rating at Closing</t>
  </si>
  <si>
    <t>Current Fitch Rating</t>
  </si>
  <si>
    <t>Optional Redemption (Call)  Dates</t>
  </si>
  <si>
    <t>GBP Step-Up Margins</t>
  </si>
  <si>
    <t>Class Z Notes</t>
  </si>
  <si>
    <t>Class Z Note Interest and Deferred Interest</t>
  </si>
  <si>
    <t>Class Z Note repayment</t>
  </si>
  <si>
    <t>Cover Ratio for Class Z Notes (at last Interest Payment Date)</t>
  </si>
  <si>
    <t xml:space="preserve">Cover Ratio for Class Z Notes (cumulative) </t>
  </si>
  <si>
    <t>Stated Maturity - Class Z Notes</t>
  </si>
  <si>
    <t>Aggregate Principal Balance of Repurchased Loans (during related Collection Period)</t>
  </si>
  <si>
    <t>http://www.paragonbankinggroup.co.uk</t>
  </si>
  <si>
    <t>andrew.kitching@paragonbank.co.uk</t>
  </si>
  <si>
    <t>jimmy.giles@paragonbank.co.uk</t>
  </si>
  <si>
    <t>Paragon Mortgages (No.25) PLC</t>
  </si>
  <si>
    <t>This performance report is issued by Paragon Mortgages (2010) Limited for and on behalf of Paragon Mortgages (No.25) PLC</t>
  </si>
  <si>
    <t>PM25 PLC</t>
  </si>
  <si>
    <t>Class A Notes</t>
  </si>
  <si>
    <t>Class D Notes</t>
  </si>
  <si>
    <t>PM25 INVESTOR REPORT QUARTER ENDING JULY 2018</t>
  </si>
  <si>
    <t>Mandatory Further Advance Pre Funding Reserve</t>
  </si>
  <si>
    <t>Class A Note repayment</t>
  </si>
  <si>
    <t>Class D Note repayment</t>
  </si>
  <si>
    <t>Mandatory Further Advance Pre Funding Reserve Ledger (MFAPFRL)</t>
  </si>
  <si>
    <t>Mandatory Further Advance Pre Funding Reserve utilised this quarter</t>
  </si>
  <si>
    <t xml:space="preserve">Closing Mandatory Further Advance Pre Funding Reserve </t>
  </si>
  <si>
    <t>Cover Ratio for Class D Notes (at last Interest Payment Date)</t>
  </si>
  <si>
    <t xml:space="preserve">Cover Ratio for Class D Notes (cumulative) </t>
  </si>
  <si>
    <t>Stated Maturity - Class D Notes</t>
  </si>
  <si>
    <t>Class D Note Interest</t>
  </si>
  <si>
    <t>XS1785818649</t>
  </si>
  <si>
    <t>XS1785821437</t>
  </si>
  <si>
    <t>XS1785821940</t>
  </si>
  <si>
    <t>XS1785822088</t>
  </si>
  <si>
    <t>XS1785822245</t>
  </si>
  <si>
    <t>Class S Notes</t>
  </si>
  <si>
    <t>Class S VFN Notes</t>
  </si>
  <si>
    <t>XS1785822328</t>
  </si>
  <si>
    <t>XS1786079878</t>
  </si>
  <si>
    <t>XS1786082740</t>
  </si>
  <si>
    <t>XS1786082823</t>
  </si>
  <si>
    <t>XS1786083128</t>
  </si>
  <si>
    <t>Class A, B, C, D, Z, S and SVFN Interest Calculated on</t>
  </si>
  <si>
    <t>Trustee Fee/Costs and Expenses claimed by the Substitute Administrator &amp; Intertrust Corporate Services Provider</t>
  </si>
  <si>
    <t>Surplus Income diverted to Principal (On or after the Step Up Date)</t>
  </si>
  <si>
    <t>Class S Note repayment</t>
  </si>
  <si>
    <t>General Reserve Fund</t>
  </si>
  <si>
    <t>General Reserve Fund at Closing</t>
  </si>
  <si>
    <t>Class A and Class B Liquidity Reserve Fund</t>
  </si>
  <si>
    <t xml:space="preserve">Mortgage Margin Reserve Fund </t>
  </si>
  <si>
    <t>Stated Maturity - Class S Notes</t>
  </si>
  <si>
    <t>Stated Maturity - Class S VFN Notes</t>
  </si>
  <si>
    <t>Class A, B, C, D, Z, S and SVFN Interest Payment Cycle</t>
  </si>
  <si>
    <t>Determination Event for Paying Class B, C, D, Z, S and SVFN Notes</t>
  </si>
  <si>
    <t xml:space="preserve">Class A Note Interest </t>
  </si>
  <si>
    <t xml:space="preserve">Class A and Class B Liquidity Reserve Fund at Closing </t>
  </si>
  <si>
    <t>General Reserve Fund replenishment to the General Reserve Fund Required Amount</t>
  </si>
  <si>
    <t>Class A and B Liquidity Reserve Fund replenishment to the Class A and B Liquidity Reserve Fund Required Amount</t>
  </si>
  <si>
    <t>Closing General Reserve Fund Balance</t>
  </si>
  <si>
    <t>Closing Class A and Class B Liquidity Reserve Fund Balance</t>
  </si>
  <si>
    <t>Last Quarter closing Class A and B Liquidity Reserve Fund Balance (1.50% of the Class A and B Notes outstanding)</t>
  </si>
  <si>
    <t>Last Quarter closing General Reserve Fund Balance (1.50% of the Class C and D Notes outstanding)</t>
  </si>
  <si>
    <t xml:space="preserve">Mortgage Margin Reserve Fund Discretionary Fund </t>
  </si>
  <si>
    <t>Closing Mortgage Margin Reserve Fund Balance</t>
  </si>
  <si>
    <t>Mortgage Margin Reserve Fund Discretionary Amount at Closing</t>
  </si>
  <si>
    <t>Closing Mortgage Margin Reserve Fund Discretionary Amount Balance</t>
  </si>
  <si>
    <t>Last Quarter Mortgage Margin Reserve Fund Balance</t>
  </si>
  <si>
    <t>Mortgage MRF Discretionary Amount/Conversion MRF Discretionary Amount (prior to the Step Up Date)</t>
  </si>
  <si>
    <t>Last Quarter Mortgage Margin Reserve Fund Discretionary Amount balance</t>
  </si>
  <si>
    <t xml:space="preserve">Conversion Margin Reserve Fund </t>
  </si>
  <si>
    <t>Last Quarter Conversion Margin Reserve Fund Balance</t>
  </si>
  <si>
    <t>Conversion Margin Reserve Fund Discretionary Amount at Closing</t>
  </si>
  <si>
    <t xml:space="preserve">Last quarter Conversion Margin Reserve Fund Discretionary Amount balance </t>
  </si>
  <si>
    <t>Closing Conversion Margin Reserve Fund Discretionary Amount Balance</t>
  </si>
  <si>
    <t xml:space="preserve">Funding of the PM(2010) Mandatory Further Advances </t>
  </si>
  <si>
    <t>PM(2010) Mandatory Further Advance Pre Funding Reserve diverted to Principal</t>
  </si>
  <si>
    <t>Retention Requirement under Article 405 (1) (a) of Regulation (EU) No.575/2013 (as amended) (the "Capital Requirements Regulation")</t>
  </si>
  <si>
    <t>Retained Principal Ledger (RPL)</t>
  </si>
  <si>
    <t>Retained Principal Release Amount</t>
  </si>
  <si>
    <t>Opening Retained Principal Ledger Balance</t>
  </si>
  <si>
    <t>Closing Retained Principal Ledger Balance</t>
  </si>
  <si>
    <t>Principal Receipts to Revenue to fund Senior Expenses Deficit</t>
  </si>
  <si>
    <t>AAA</t>
  </si>
  <si>
    <t>AA</t>
  </si>
  <si>
    <t>Aaa</t>
  </si>
  <si>
    <t>A-</t>
  </si>
  <si>
    <t>BBB-</t>
  </si>
  <si>
    <t>Aa1</t>
  </si>
  <si>
    <t>A1</t>
  </si>
  <si>
    <t>Baa1</t>
  </si>
  <si>
    <t>Retained Principal Receipts in the period</t>
  </si>
  <si>
    <t>Retained Principal Ledger / Available Redemption Funds</t>
  </si>
  <si>
    <t>Class A and B Liquidity Reserve Fund Release Amount / Excess Amount</t>
  </si>
  <si>
    <t>General Reserve Fund Release Amount / Excess Amount</t>
  </si>
  <si>
    <t>Residual Certificates Payments (prior to but excluding the Step Up Date)</t>
  </si>
  <si>
    <t>Retained Principal Ledger</t>
  </si>
  <si>
    <t>Principal to meet Senior Expenses Deficit</t>
  </si>
  <si>
    <t>Amounts credited to the Mortgage Margin Reserve Fund during the period</t>
  </si>
  <si>
    <t>Amounts credited to the Mortgage MRF Discretionary Fund from Revenue during the period</t>
  </si>
  <si>
    <t xml:space="preserve">Scheduled Conversion Margin Reserve Fund Release Amount to the Revenue Ledger </t>
  </si>
  <si>
    <t>Amounts credited to the Conversion MRF Discretionary Fund from Revenue during the period</t>
  </si>
  <si>
    <t xml:space="preserve">Retained Principal Ledger and MFAPFRL </t>
  </si>
  <si>
    <t>Principal to meet Senior Expenses / Note Interest</t>
  </si>
  <si>
    <t>Interest Rate Converted Mortgage Release Amount and any excess</t>
  </si>
  <si>
    <t>Amounts credited to the Mortgage MRF from the Mortgage MRF Discretionary Fund during the period</t>
  </si>
  <si>
    <t>Amounts credited to the Conversion MRF from the Conversion MRF Discretionary Fund during the period</t>
  </si>
  <si>
    <t>Cash debited to Retained Principal / Principal Ledger to purchase Mortgages</t>
  </si>
  <si>
    <t xml:space="preserve">Scheduled Mortgage Margin Reserve Fund Release Amount to the Revenue Ledger </t>
  </si>
  <si>
    <t>Mandatory and Discretionary Further Advances (FA's)</t>
  </si>
  <si>
    <t>Total FA's permitted</t>
  </si>
  <si>
    <t>FA's made to last quarter</t>
  </si>
  <si>
    <t>FA's made this quarter</t>
  </si>
  <si>
    <t>Total FA's made to date</t>
  </si>
  <si>
    <t>Remaining permitted FA's</t>
  </si>
  <si>
    <t>DFA's</t>
  </si>
  <si>
    <t>MFA's</t>
  </si>
  <si>
    <t>Mortgages Purchased during the period</t>
  </si>
  <si>
    <t>Total Class A , B, C , D and Z Note Principal</t>
  </si>
  <si>
    <t>Scheduled Mortgage Margin Reserve Fund Release Amount and any excess</t>
  </si>
  <si>
    <t xml:space="preserve">Senior Administration Fee to PM (2010)/ PB / Substitute Administrator Facilitator / Out of pocket expenses / Senior Expenses </t>
  </si>
  <si>
    <t xml:space="preserve">Drawings this quarter to fund: </t>
  </si>
  <si>
    <t>Mandatory Further Advance Pre Funding Reserve Diverted to the Principal Ledger</t>
  </si>
  <si>
    <t>Senior Expenses</t>
  </si>
  <si>
    <t>Excess amount released to the Revenue Ledger</t>
  </si>
  <si>
    <t>Current Outstanding Class B, C, D and Z Notes as a percentage of the Current Outstanding Class A Notes</t>
  </si>
  <si>
    <t xml:space="preserve">Class B, C, D and Z Notes as a percentage of the Class A Notes at issue </t>
  </si>
  <si>
    <t>65bp</t>
  </si>
  <si>
    <t>95bp</t>
  </si>
  <si>
    <t>130bp</t>
  </si>
  <si>
    <t>160bp</t>
  </si>
  <si>
    <t>260bp</t>
  </si>
  <si>
    <t>400bp</t>
  </si>
  <si>
    <t>97.5bp</t>
  </si>
  <si>
    <t>240bp</t>
  </si>
  <si>
    <t>195bp</t>
  </si>
  <si>
    <t>142.5bp</t>
  </si>
  <si>
    <t>Amounts due to Administrators and Paragon Corporate Services Provider</t>
  </si>
  <si>
    <t>Mandatory Further Advance Pre Funding Reserve at Closing</t>
  </si>
  <si>
    <t>Amounts credited to the Conversion Margin Reserve Fund during the period</t>
  </si>
  <si>
    <t xml:space="preserve">Retained Principal Release Amount to form part of the Available Redemption Funds </t>
  </si>
  <si>
    <t xml:space="preserve">Class S Note Interest </t>
  </si>
  <si>
    <t>Class S Note Principal</t>
  </si>
  <si>
    <t xml:space="preserve">Class S VFN Note Interest </t>
  </si>
  <si>
    <t>Class S VFN Note Principal</t>
  </si>
  <si>
    <t>Aggregate Balance of Substituted Loans</t>
  </si>
  <si>
    <t>Paragon Bank Mandatory Further Advances</t>
  </si>
  <si>
    <t>Paragon Bank Discretionary Further Advances</t>
  </si>
  <si>
    <t>Paragon Bank</t>
  </si>
  <si>
    <t>Total Hedge Amount</t>
  </si>
  <si>
    <t>Total Current Balance of Fixed Rate Assets</t>
  </si>
  <si>
    <t>Over (+) / Under (-) Hedging</t>
  </si>
  <si>
    <t>Hedging Corridor</t>
  </si>
  <si>
    <t>PM25 INVESTOR REPORT QUARTER ENDING OCTOBER 2018</t>
  </si>
  <si>
    <t>Mandatory Further Advance Pre Funding Reserve at last quarter end</t>
  </si>
  <si>
    <t>Mortgage MRF Discretionary Amount (prior to the Step Up Date)</t>
  </si>
  <si>
    <t>Conversion MRF Discretionary Amount (prior to the Step Up Date)</t>
  </si>
  <si>
    <t>Brought forward Retained Principal to purchase Mortgages</t>
  </si>
  <si>
    <t>Retained Principal used to purchase Mortgages in the period</t>
  </si>
  <si>
    <t>PM25 INVESTOR REPORT QUARTER ENDING JANUARY 2019</t>
  </si>
  <si>
    <t>PDL replenishment (-) from Revenue income / Recovery (+) to Revenue income</t>
  </si>
  <si>
    <t>Retention Requirement under Article 405 (1) (a) of Regulation (EU) No.575/2013 (as amended) (the "Capital Requirements Regulation") / Article 6 of the Securitisation Regulation</t>
  </si>
  <si>
    <t>PM25 INVESTOR REPORT QUARTER ENDING APRIL 2019</t>
  </si>
  <si>
    <t>PM25 INVESTOR REPORT QUARTER ENDING JULY 2019</t>
  </si>
  <si>
    <t>PM25 INVESTOR REPORT QUARTER ENDING OCTOBER 2019</t>
  </si>
  <si>
    <t>PM25 INVESTOR REPORT QUARTER ENDING JANUARY 2020</t>
  </si>
  <si>
    <t>PM25 INVESTOR REPORT QUARTER ENDING APRIL 2020</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</si>
  <si>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</si>
  <si>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</si>
  <si>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</si>
  <si>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</si>
  <si>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</si>
  <si>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</si>
  <si>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</si>
  <si>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</si>
  <si>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</si>
  <si>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</si>
  <si>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</si>
  <si>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</si>
  <si>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</si>
  <si>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 For transparency, a table has been included where customers have elected to take a payment holiday, caused by COVID19. Rows 334 - 344 Delinquency Summary (For COVID19 Payment Holiday Cases) are included in the Overall Delinquency Summary in rows 310 - 320.</t>
  </si>
  <si>
    <t>Receiver of Rent Cases by Current Status, as at the PDD</t>
  </si>
  <si>
    <t>Rented</t>
  </si>
  <si>
    <t>Vacant - to be let</t>
  </si>
  <si>
    <t>Vacant - to be sold</t>
  </si>
  <si>
    <t>Property Rented/For Sale</t>
  </si>
  <si>
    <t>% by Number of Accounts/Balance</t>
  </si>
  <si>
    <t xml:space="preserve">Strategic review </t>
  </si>
  <si>
    <t>Offer Issued/Offer Accepted/Contracts Issued/Contracts Exchanged</t>
  </si>
  <si>
    <t>PM25 INVESTOR REPORT QUARTER ENDING JULY 2020</t>
  </si>
  <si>
    <t>Original Payment Holiday Borrowers</t>
  </si>
  <si>
    <t>Extended Payment Holiday Borrowers</t>
  </si>
  <si>
    <t>WA PH Remaining Term (months)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</si>
  <si>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</si>
  <si>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</si>
  <si>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</si>
  <si>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</si>
  <si>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Property Rented: For Sale</t>
  </si>
  <si>
    <t>Brought forward Retained Principal to purchase Mortgages / credited to the Principal Ledger</t>
  </si>
  <si>
    <t>PM25 INVESTOR REPORT QUARTER ENDING OCTOBER 2020</t>
  </si>
  <si>
    <t xml:space="preserve">Retained Principal used to purchase Mortgages in the period / transferred to the Principal Ledger </t>
  </si>
  <si>
    <t>Payment holidays were extended in June 2020 and November 2020 for Buy to Let landlords who may be experiencing, or continue to experience, difficulties in meeting their buy to let mortgage payments caused by the impact of the COVID19 virus.</t>
  </si>
  <si>
    <t>PM25 INVESTOR REPORT QUARTER ENDING JANUARY 2021</t>
  </si>
  <si>
    <t>PM25 INVESTOR REPORT QUARTER ENDING APRIL 2021</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</si>
  <si>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</si>
  <si>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 xml:space="preserve">including taking into account the interests of our customers, market consultations and the expectations of our regulators (the PRA and FCA). </t>
  </si>
  <si>
    <t xml:space="preserve">PM25 contains the standard 10% negative consent proposal language in the PM25 Terms and Conditions to replace Libor with an alternative reference rate (expected to be daily compounded SONIA) in respect of the PM25 Notes and the PM25 Swaps. It is expected that Paragon will submit a proposal to the PM25 noteholders </t>
  </si>
  <si>
    <t>PM25 INVESTOR REPORT QUARTER ENDING JULY 2021</t>
  </si>
  <si>
    <t>LIBOR transition on the PM25 Libor Linked Assets</t>
  </si>
  <si>
    <t xml:space="preserve">https://www.londonstockexchange.com/news-article/41YH/notice-of-base-rate-modification/15064143 </t>
  </si>
  <si>
    <t>libor-mortgages-transition-july-19 (paragonbankinggroup.co.uk)</t>
  </si>
  <si>
    <t xml:space="preserve">The Paragon Mortgages (2010) Limited originated mortgages transitioned to a term SONIA basis on 1st July 2021. Please see the below link for further details. </t>
  </si>
  <si>
    <t xml:space="preserve">The same principles as outlined above for the "original" payment holiday customers also applies to the "extended" payment holiday customers. </t>
  </si>
  <si>
    <t>All payment holidays expired on 31st July 2021.</t>
  </si>
  <si>
    <t>Closing Conversion Mortgage Margin Reserve Fund Balance</t>
  </si>
  <si>
    <t>Mortgage Margin Reserve Fund Required Amount at Closing</t>
  </si>
  <si>
    <t>Conversion Margin Reserve Fund Amount at Closing</t>
  </si>
  <si>
    <t>Conversion Margin Reserve Fund Discretionary Fund</t>
  </si>
  <si>
    <t xml:space="preserve">before the end of the calendar year to approve the replacement of Libor on the PM25 Notes and the PM25 Swaps (and the associated PM25 document changes and the relevant margin adjustment) with an alternative reference rate, expected to be a daily compounded SONIA rate, similar to that  contained in the PM26-PM28 securitisations. </t>
  </si>
  <si>
    <t xml:space="preserve">There is a deadline of 31st January 2021 for customers who have yet to apply for a payment holiday with their lenders. The same principles as outlined above for the "original" payment holiday customers will also apply to the "extended" payment holiday customers. </t>
  </si>
  <si>
    <t>https://www.londonstockexchange.com/news-article/41YH/notice-of-base-rate-modification/15106330</t>
  </si>
  <si>
    <t xml:space="preserve">The results of the PM25 Base Rate Modicaftion process were released on 20th August 2021. For further details, please see the link  below in respect of the PM25 RNS and the PM25 Notice to Noteholders.   </t>
  </si>
  <si>
    <t xml:space="preserve">A Base Rate Modification process took place with the PM25 Class A Noteholders for the period 19th July 2021 to 19th August 2021. For further details, please see the link below in respect of the PM25 RNS and the PM25 Notice to Noteholders that were released on 19th July 2021. </t>
  </si>
  <si>
    <t>PM25 INVESTOR REPORT QUARTER ENDING OCTOBER 2021</t>
  </si>
  <si>
    <t>AA-</t>
  </si>
  <si>
    <t>BBB+</t>
  </si>
  <si>
    <t>A3</t>
  </si>
  <si>
    <t>PM25 INVESTOR REPORT QUARTER ENDING JANUARY 2022</t>
  </si>
  <si>
    <t xml:space="preserve">The first SONIA refernce rate on the PM25 Notes falls on the May 2022 Interest Payment Date. </t>
  </si>
  <si>
    <t>PM25 INVESTOR REPORT QUARTER ENDING APRIL 2022</t>
  </si>
  <si>
    <t xml:space="preserve">The first SONIA reference rate on the PM25 Notes fell on the May 2022 Interest Payment Date. </t>
  </si>
  <si>
    <t>Closing Retained Principal Ledger Balance as a % of the assets</t>
  </si>
  <si>
    <t>PM25 INVESTOR REPORT QUARTER ENDING JULY 2022</t>
  </si>
  <si>
    <t>RC1a Residual Certificates</t>
  </si>
  <si>
    <t>RC1b Residual Certificates</t>
  </si>
  <si>
    <t>RC2a Residual  Certificates</t>
  </si>
  <si>
    <t>RC2b Residual Certificates</t>
  </si>
  <si>
    <t>77bp</t>
  </si>
  <si>
    <t>107bp</t>
  </si>
  <si>
    <t>142bp</t>
  </si>
  <si>
    <t>172bp</t>
  </si>
  <si>
    <t>272bp</t>
  </si>
  <si>
    <t>412bp</t>
  </si>
  <si>
    <t>109bp</t>
  </si>
  <si>
    <t>154bp</t>
  </si>
  <si>
    <t>207bp</t>
  </si>
  <si>
    <t>252bp</t>
  </si>
  <si>
    <t xml:space="preserve">Note Interest Margins (Amended, with effect from the May 2022 Interest Payment Date) : </t>
  </si>
  <si>
    <t>Note Step-Up Margins (Amended, with effect from the May 2022 Interest Payment Date):</t>
  </si>
  <si>
    <t xml:space="preserve">GBP Step -Up Margins (Amended, with effect from the May 2022 Interest Payment Date): </t>
  </si>
  <si>
    <t>A+</t>
  </si>
  <si>
    <t>PM25 INVESTOR REPORT QUARTER ENDING OCTOBER 2022</t>
  </si>
  <si>
    <t>Amounts credited to the Mortgage MRF from the Conversion Margin Reserve Fund Release Amount during the period</t>
  </si>
  <si>
    <t>Amount Released to the Mortgage Margin Reserve Fund during the period</t>
  </si>
  <si>
    <t>Retained Principal Ledger / Available Redemption Funds carried forward</t>
  </si>
  <si>
    <t>Mortgage Margin Reserve Fund Release Amount</t>
  </si>
  <si>
    <t xml:space="preserve">Mortgage Margin Reserve Fund Release Amount to the Revenue Ledger </t>
  </si>
  <si>
    <t>PM25 INVESTOR REPORT QUARTER ENDING JANUARY 2023</t>
  </si>
  <si>
    <t>Amounts credited to the Mortgage MRF from the Conversion Margin Reserve Fund Release Amount/Mortgage MRF Disc Fund during the period</t>
  </si>
  <si>
    <t>PM25 INVESTOR REPORT QUARTER ENDING 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</si>
</sst>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809]#,##0"/>
    <numFmt numFmtId="165" formatCode="0.00000%"/>
    <numFmt numFmtId="166" formatCode="0.0%"/>
    <numFmt numFmtId="167" formatCode="d\-mmm\-yy"/>
    <numFmt numFmtId="168" formatCode="[$€-2]\ #,##0"/>
    <numFmt numFmtId="169" formatCode="&quot;£&quot;#,##0"/>
    <numFmt numFmtId="170" formatCode="0.0000000"/>
    <numFmt numFmtId="171" formatCode="&quot;£&quot;#,##0.00"/>
    <numFmt numFmtId="172" formatCode="_-* #,##0_-;\-* #,##0_-;_-* &quot;-&quot;??_-;_-@_-"/>
  </numFmts>
  <fonts count="34" x14ac:knownFonts="1">
    <font>
      <sz val="12"/>
      <name val="Arial"/>
    </font>
    <font>
      <u/>
      <sz val="8.4"/>
      <color indexed="12"/>
      <name val="Arial"/>
      <family val="2"/>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4"/>
      <color indexed="53"/>
      <name val="Calibri"/>
      <family val="2"/>
      <scheme val="minor"/>
    </font>
    <font>
      <b/>
      <u/>
      <sz val="12"/>
      <color rgb="FF89CB31"/>
      <name val="Calibri"/>
      <family val="2"/>
      <scheme val="minor"/>
    </font>
    <font>
      <b/>
      <sz val="12"/>
      <name val="Calibri"/>
      <family val="2"/>
      <scheme val="minor"/>
    </font>
    <font>
      <sz val="12"/>
      <color rgb="FF2D2926"/>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sz val="12"/>
      <color rgb="FF89CB31"/>
      <name val="Calibri"/>
      <family val="2"/>
      <scheme val="minor"/>
    </font>
    <font>
      <b/>
      <sz val="14"/>
      <color rgb="FF2D2926"/>
      <name val="Calibri"/>
      <family val="2"/>
      <scheme val="minor"/>
    </font>
    <font>
      <b/>
      <u/>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sz val="12"/>
      <color indexed="18"/>
      <name val="Calibri"/>
      <family val="2"/>
      <scheme val="minor"/>
    </font>
    <font>
      <sz val="12"/>
      <color rgb="FFFF0000"/>
      <name val="Calibri"/>
      <family val="2"/>
      <scheme val="minor"/>
    </font>
    <font>
      <sz val="12"/>
      <name val="Arial"/>
      <family val="2"/>
    </font>
    <font>
      <sz val="12"/>
      <name val="Calibri"/>
      <family val="2"/>
    </font>
    <font>
      <u/>
      <sz val="12"/>
      <color indexed="12"/>
      <name val="Calibri"/>
      <family val="2"/>
      <scheme val="minor"/>
    </font>
    <font>
      <sz val="11"/>
      <name val="Calibri"/>
      <family val="2"/>
      <scheme val="minor"/>
    </font>
  </fonts>
  <fills count="5">
    <fill>
      <patternFill patternType="none"/>
    </fill>
    <fill>
      <patternFill patternType="gray125"/>
    </fill>
    <fill>
      <patternFill patternType="solid">
        <fgColor indexed="38"/>
        <bgColor indexed="64"/>
      </patternFill>
    </fill>
    <fill>
      <patternFill patternType="solid">
        <fgColor rgb="FF89CB31"/>
        <bgColor indexed="64"/>
      </patternFill>
    </fill>
    <fill>
      <patternFill patternType="solid">
        <fgColor rgb="FFF4F4F4"/>
        <bgColor indexed="64"/>
      </patternFill>
    </fill>
  </fills>
  <borders count="30">
    <border>
      <left/>
      <right/>
      <top/>
      <bottom/>
      <diagonal/>
    </border>
    <border>
      <left style="medium">
        <color indexed="8"/>
      </left>
      <right/>
      <top/>
      <bottom/>
      <diagonal/>
    </border>
    <border>
      <left/>
      <right/>
      <top style="medium">
        <color indexed="8"/>
      </top>
      <bottom/>
      <diagonal/>
    </border>
    <border>
      <left/>
      <right/>
      <top style="thin">
        <color indexed="64"/>
      </top>
      <bottom style="thin">
        <color indexed="64"/>
      </bottom>
      <diagonal/>
    </border>
    <border>
      <left/>
      <right/>
      <top style="thin">
        <color indexed="64"/>
      </top>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style="medium">
        <color indexed="8"/>
      </right>
      <top style="medium">
        <color indexed="8"/>
      </top>
      <bottom/>
      <diagonal/>
    </border>
    <border>
      <left/>
      <right style="medium">
        <color indexed="8"/>
      </right>
      <top/>
      <bottom/>
      <diagonal/>
    </border>
    <border>
      <left style="medium">
        <color indexed="8"/>
      </left>
      <right/>
      <top style="thin">
        <color rgb="FF969696"/>
      </top>
      <bottom style="thin">
        <color rgb="FF969696"/>
      </bottom>
      <diagonal/>
    </border>
    <border>
      <left/>
      <right/>
      <top style="thin">
        <color rgb="FF969696"/>
      </top>
      <bottom style="thin">
        <color rgb="FF969696"/>
      </bottom>
      <diagonal/>
    </border>
    <border>
      <left/>
      <right style="medium">
        <color indexed="8"/>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rgb="FF969696"/>
      </bottom>
      <diagonal/>
    </border>
    <border>
      <left/>
      <right/>
      <top/>
      <bottom style="thin">
        <color indexed="55"/>
      </bottom>
      <diagonal/>
    </border>
    <border>
      <left/>
      <right/>
      <top style="thin">
        <color theme="0" tint="-0.499984740745262"/>
      </top>
      <bottom style="thin">
        <color theme="0" tint="-0.499984740745262"/>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4">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xf numFmtId="43" fontId="30" fillId="0" borderId="0" applyFont="0" applyFill="0" applyBorder="0" applyAlignment="0" applyProtection="0"/>
  </cellStyleXfs>
  <cellXfs count="311">
    <xf numFmtId="0" fontId="0" fillId="0" borderId="0" xfId="0"/>
    <xf numFmtId="0" fontId="3" fillId="2" borderId="5" xfId="0" applyNumberFormat="1" applyFont="1" applyFill="1" applyBorder="1" applyAlignment="1"/>
    <xf numFmtId="0" fontId="4" fillId="2" borderId="2" xfId="0" applyNumberFormat="1" applyFont="1" applyFill="1" applyBorder="1" applyAlignment="1"/>
    <xf numFmtId="0" fontId="3" fillId="2" borderId="2" xfId="0" applyNumberFormat="1" applyFont="1" applyFill="1" applyBorder="1" applyAlignment="1"/>
    <xf numFmtId="0" fontId="3" fillId="2" borderId="12" xfId="0" applyNumberFormat="1" applyFont="1" applyFill="1" applyBorder="1" applyAlignment="1"/>
    <xf numFmtId="0" fontId="3" fillId="0" borderId="1" xfId="0" applyNumberFormat="1" applyFont="1" applyBorder="1"/>
    <xf numFmtId="0" fontId="3" fillId="0" borderId="0" xfId="0" applyNumberFormat="1" applyFont="1" applyAlignment="1"/>
    <xf numFmtId="0" fontId="3" fillId="2" borderId="1" xfId="0" applyNumberFormat="1" applyFont="1" applyFill="1" applyBorder="1" applyAlignment="1"/>
    <xf numFmtId="0" fontId="5" fillId="2" borderId="0" xfId="0" applyNumberFormat="1" applyFont="1" applyFill="1" applyAlignment="1"/>
    <xf numFmtId="0" fontId="3" fillId="2" borderId="0" xfId="0" applyNumberFormat="1" applyFont="1" applyFill="1" applyAlignment="1"/>
    <xf numFmtId="0" fontId="3" fillId="2" borderId="13" xfId="0" applyNumberFormat="1" applyFont="1" applyFill="1" applyBorder="1" applyAlignment="1"/>
    <xf numFmtId="0" fontId="3" fillId="2" borderId="1"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1" applyNumberFormat="1" applyFont="1" applyFill="1" applyAlignment="1" applyProtection="1"/>
    <xf numFmtId="0" fontId="10" fillId="2" borderId="0" xfId="1" applyNumberFormat="1" applyFont="1" applyFill="1" applyAlignment="1" applyProtection="1"/>
    <xf numFmtId="0" fontId="11" fillId="2" borderId="0" xfId="0" applyNumberFormat="1" applyFont="1" applyFill="1" applyAlignment="1"/>
    <xf numFmtId="0" fontId="12" fillId="2" borderId="1" xfId="0" applyNumberFormat="1" applyFont="1" applyFill="1" applyBorder="1" applyAlignment="1"/>
    <xf numFmtId="0" fontId="13" fillId="2" borderId="0" xfId="0" applyNumberFormat="1" applyFont="1" applyFill="1" applyAlignment="1"/>
    <xf numFmtId="0" fontId="12" fillId="2" borderId="0" xfId="0" applyNumberFormat="1" applyFont="1" applyFill="1" applyAlignment="1"/>
    <xf numFmtId="0" fontId="12" fillId="2" borderId="13" xfId="0" applyNumberFormat="1" applyFont="1" applyFill="1" applyBorder="1" applyAlignment="1"/>
    <xf numFmtId="0" fontId="12" fillId="0" borderId="1" xfId="0" applyNumberFormat="1" applyFont="1" applyBorder="1"/>
    <xf numFmtId="0" fontId="12" fillId="0" borderId="0" xfId="0" applyNumberFormat="1" applyFont="1" applyAlignment="1"/>
    <xf numFmtId="0" fontId="12" fillId="2" borderId="5" xfId="0" applyNumberFormat="1" applyFont="1" applyFill="1" applyBorder="1" applyAlignment="1"/>
    <xf numFmtId="0" fontId="12" fillId="2" borderId="2" xfId="0" applyNumberFormat="1" applyFont="1" applyFill="1" applyBorder="1" applyAlignment="1"/>
    <xf numFmtId="0" fontId="12" fillId="2" borderId="12" xfId="0" applyNumberFormat="1" applyFont="1" applyFill="1" applyBorder="1" applyAlignment="1"/>
    <xf numFmtId="0" fontId="14" fillId="2" borderId="0" xfId="0" applyNumberFormat="1" applyFont="1" applyFill="1" applyAlignment="1">
      <alignment horizontal="center" wrapText="1"/>
    </xf>
    <xf numFmtId="9" fontId="13" fillId="2" borderId="0" xfId="0" applyNumberFormat="1" applyFont="1" applyFill="1" applyAlignment="1">
      <alignment horizontal="center"/>
    </xf>
    <xf numFmtId="10" fontId="13" fillId="2" borderId="0" xfId="0" applyNumberFormat="1" applyFont="1" applyFill="1" applyAlignment="1">
      <alignment horizontal="center"/>
    </xf>
    <xf numFmtId="0" fontId="12" fillId="2" borderId="0" xfId="0" applyNumberFormat="1" applyFont="1" applyFill="1" applyAlignment="1">
      <alignment horizontal="center"/>
    </xf>
    <xf numFmtId="0" fontId="14" fillId="2" borderId="0" xfId="0" applyNumberFormat="1" applyFont="1" applyFill="1" applyAlignment="1"/>
    <xf numFmtId="0" fontId="3" fillId="2" borderId="0" xfId="0" applyNumberFormat="1" applyFont="1" applyFill="1" applyAlignment="1">
      <alignment horizontal="right"/>
    </xf>
    <xf numFmtId="0" fontId="15" fillId="3" borderId="1" xfId="0" applyNumberFormat="1" applyFont="1" applyFill="1" applyBorder="1" applyAlignment="1"/>
    <xf numFmtId="0" fontId="15" fillId="3" borderId="0" xfId="0" applyNumberFormat="1" applyFont="1" applyFill="1" applyBorder="1" applyAlignment="1"/>
    <xf numFmtId="0" fontId="16" fillId="3" borderId="0" xfId="0" applyNumberFormat="1" applyFont="1" applyFill="1" applyBorder="1" applyAlignment="1">
      <alignment horizontal="center" wrapText="1"/>
    </xf>
    <xf numFmtId="0" fontId="15" fillId="3" borderId="0" xfId="0" applyNumberFormat="1" applyFont="1" applyFill="1" applyBorder="1" applyAlignment="1">
      <alignment horizontal="center" wrapText="1"/>
    </xf>
    <xf numFmtId="0" fontId="15" fillId="3" borderId="13" xfId="0" applyNumberFormat="1" applyFont="1" applyFill="1" applyBorder="1" applyAlignment="1"/>
    <xf numFmtId="0" fontId="12" fillId="2" borderId="0" xfId="0" applyNumberFormat="1" applyFont="1" applyFill="1" applyBorder="1" applyAlignment="1"/>
    <xf numFmtId="0" fontId="12" fillId="2" borderId="0" xfId="0" applyNumberFormat="1" applyFont="1" applyFill="1" applyBorder="1" applyAlignment="1">
      <alignment horizontal="center" wrapText="1"/>
    </xf>
    <xf numFmtId="0" fontId="13" fillId="2" borderId="9" xfId="0" applyNumberFormat="1" applyFont="1" applyFill="1" applyBorder="1" applyAlignment="1"/>
    <xf numFmtId="0" fontId="12" fillId="2" borderId="10" xfId="0" applyNumberFormat="1" applyFont="1" applyFill="1" applyBorder="1" applyAlignment="1"/>
    <xf numFmtId="0" fontId="13" fillId="2" borderId="10" xfId="0" applyNumberFormat="1" applyFont="1" applyFill="1" applyBorder="1" applyAlignment="1">
      <alignment horizontal="center" wrapText="1"/>
    </xf>
    <xf numFmtId="0" fontId="12" fillId="2" borderId="10" xfId="0" applyNumberFormat="1" applyFont="1" applyFill="1" applyBorder="1" applyAlignment="1">
      <alignment horizontal="center" wrapText="1"/>
    </xf>
    <xf numFmtId="0" fontId="12" fillId="2" borderId="11" xfId="0" applyNumberFormat="1" applyFont="1" applyFill="1" applyBorder="1" applyAlignment="1"/>
    <xf numFmtId="0" fontId="13" fillId="2" borderId="10" xfId="0" applyNumberFormat="1" applyFont="1" applyFill="1" applyBorder="1" applyAlignment="1"/>
    <xf numFmtId="169" fontId="12" fillId="0" borderId="0" xfId="0" applyNumberFormat="1" applyFont="1" applyAlignment="1"/>
    <xf numFmtId="171" fontId="12" fillId="0" borderId="0" xfId="0" applyNumberFormat="1" applyFont="1" applyAlignment="1"/>
    <xf numFmtId="0" fontId="12" fillId="2" borderId="9" xfId="0" applyNumberFormat="1" applyFont="1" applyFill="1" applyBorder="1" applyAlignment="1"/>
    <xf numFmtId="0" fontId="12" fillId="2" borderId="10" xfId="0" applyNumberFormat="1" applyFont="1" applyFill="1" applyBorder="1" applyAlignment="1">
      <alignment horizontal="center"/>
    </xf>
    <xf numFmtId="164" fontId="12" fillId="2" borderId="10" xfId="0" applyNumberFormat="1" applyFont="1" applyFill="1" applyBorder="1" applyAlignment="1"/>
    <xf numFmtId="164" fontId="12" fillId="2" borderId="10" xfId="0" applyNumberFormat="1" applyFont="1" applyFill="1" applyBorder="1" applyAlignment="1">
      <alignment horizontal="center"/>
    </xf>
    <xf numFmtId="3" fontId="12" fillId="2" borderId="11" xfId="0" applyNumberFormat="1" applyFont="1" applyFill="1" applyBorder="1" applyAlignment="1"/>
    <xf numFmtId="164" fontId="13" fillId="2" borderId="10" xfId="0" applyNumberFormat="1" applyFont="1" applyFill="1" applyBorder="1" applyAlignment="1"/>
    <xf numFmtId="168" fontId="12" fillId="2" borderId="10" xfId="0" applyNumberFormat="1" applyFont="1" applyFill="1" applyBorder="1" applyAlignment="1">
      <alignment horizontal="center"/>
    </xf>
    <xf numFmtId="169" fontId="12" fillId="2" borderId="10" xfId="0" applyNumberFormat="1" applyFont="1" applyFill="1" applyBorder="1" applyAlignment="1">
      <alignment horizontal="center"/>
    </xf>
    <xf numFmtId="171" fontId="12" fillId="2" borderId="10" xfId="0" applyNumberFormat="1" applyFont="1" applyFill="1" applyBorder="1" applyAlignment="1">
      <alignment horizontal="center"/>
    </xf>
    <xf numFmtId="164" fontId="13" fillId="2" borderId="10" xfId="0" applyNumberFormat="1" applyFont="1" applyFill="1" applyBorder="1" applyAlignment="1">
      <alignment horizontal="center"/>
    </xf>
    <xf numFmtId="169" fontId="13" fillId="2" borderId="10" xfId="0" applyNumberFormat="1" applyFont="1" applyFill="1" applyBorder="1" applyAlignment="1">
      <alignment horizontal="center"/>
    </xf>
    <xf numFmtId="0" fontId="17" fillId="2" borderId="9" xfId="0" applyNumberFormat="1" applyFont="1" applyFill="1" applyBorder="1" applyAlignment="1"/>
    <xf numFmtId="0" fontId="3" fillId="2" borderId="10" xfId="0" applyNumberFormat="1" applyFont="1" applyFill="1" applyBorder="1" applyAlignment="1"/>
    <xf numFmtId="170" fontId="6" fillId="2" borderId="10" xfId="0" applyNumberFormat="1" applyFont="1" applyFill="1" applyBorder="1" applyAlignment="1">
      <alignment horizontal="center"/>
    </xf>
    <xf numFmtId="0" fontId="17" fillId="2" borderId="10" xfId="0" applyNumberFormat="1" applyFont="1" applyFill="1" applyBorder="1" applyAlignment="1">
      <alignment horizontal="center"/>
    </xf>
    <xf numFmtId="0" fontId="17" fillId="2" borderId="10" xfId="0" applyNumberFormat="1" applyFont="1" applyFill="1" applyBorder="1" applyAlignment="1"/>
    <xf numFmtId="164" fontId="17" fillId="2" borderId="10" xfId="0" applyNumberFormat="1" applyFont="1" applyFill="1" applyBorder="1" applyAlignment="1"/>
    <xf numFmtId="0" fontId="17" fillId="2" borderId="11" xfId="0" applyNumberFormat="1" applyFont="1" applyFill="1" applyBorder="1" applyAlignment="1"/>
    <xf numFmtId="0" fontId="17" fillId="0" borderId="1" xfId="0" applyNumberFormat="1" applyFont="1" applyBorder="1"/>
    <xf numFmtId="0" fontId="17" fillId="0" borderId="0" xfId="0" applyNumberFormat="1" applyFont="1" applyAlignment="1"/>
    <xf numFmtId="10" fontId="17" fillId="2" borderId="10" xfId="0" applyNumberFormat="1" applyFont="1" applyFill="1" applyBorder="1" applyAlignment="1">
      <alignment horizontal="center"/>
    </xf>
    <xf numFmtId="165" fontId="17" fillId="2" borderId="10" xfId="0" applyNumberFormat="1" applyFont="1" applyFill="1" applyBorder="1" applyAlignment="1">
      <alignment horizontal="center"/>
    </xf>
    <xf numFmtId="10" fontId="12" fillId="2" borderId="10" xfId="0" applyNumberFormat="1" applyFont="1" applyFill="1" applyBorder="1" applyAlignment="1">
      <alignment horizontal="center"/>
    </xf>
    <xf numFmtId="165" fontId="12" fillId="2" borderId="10" xfId="0" applyNumberFormat="1" applyFont="1" applyFill="1" applyBorder="1" applyAlignment="1">
      <alignment horizontal="center"/>
    </xf>
    <xf numFmtId="167" fontId="12" fillId="2" borderId="10" xfId="0" applyNumberFormat="1" applyFont="1" applyFill="1" applyBorder="1" applyAlignment="1">
      <alignment horizontal="center"/>
    </xf>
    <xf numFmtId="0" fontId="12" fillId="2" borderId="10" xfId="0" applyNumberFormat="1" applyFont="1" applyFill="1" applyBorder="1" applyAlignment="1">
      <alignment horizontal="right"/>
    </xf>
    <xf numFmtId="4" fontId="12" fillId="2" borderId="10" xfId="0" applyNumberFormat="1" applyFont="1" applyFill="1" applyBorder="1" applyAlignment="1">
      <alignment horizontal="center"/>
    </xf>
    <xf numFmtId="0" fontId="13" fillId="2" borderId="10" xfId="0" applyNumberFormat="1" applyFont="1" applyFill="1" applyBorder="1" applyAlignment="1">
      <alignment horizontal="center"/>
    </xf>
    <xf numFmtId="15" fontId="13" fillId="2" borderId="10" xfId="0" applyNumberFormat="1" applyFont="1" applyFill="1" applyBorder="1" applyAlignment="1">
      <alignment horizontal="center"/>
    </xf>
    <xf numFmtId="15" fontId="13"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xf numFmtId="15" fontId="12"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alignment horizontal="center"/>
    </xf>
    <xf numFmtId="0" fontId="12" fillId="0" borderId="0" xfId="0" applyNumberFormat="1" applyFont="1" applyFill="1" applyBorder="1" applyAlignment="1"/>
    <xf numFmtId="15" fontId="12" fillId="2" borderId="0" xfId="0" applyNumberFormat="1" applyFont="1" applyFill="1" applyBorder="1" applyAlignment="1" applyProtection="1">
      <alignment horizontal="center"/>
      <protection locked="0"/>
    </xf>
    <xf numFmtId="15" fontId="12" fillId="2" borderId="0" xfId="0" applyNumberFormat="1" applyFont="1" applyFill="1" applyBorder="1" applyAlignment="1">
      <alignment horizontal="center"/>
    </xf>
    <xf numFmtId="15" fontId="12" fillId="2" borderId="0" xfId="0" applyNumberFormat="1" applyFont="1" applyFill="1" applyAlignment="1" applyProtection="1">
      <alignment horizontal="center"/>
      <protection locked="0"/>
    </xf>
    <xf numFmtId="15" fontId="12" fillId="2" borderId="0" xfId="0" applyNumberFormat="1" applyFont="1" applyFill="1" applyAlignment="1">
      <alignment horizontal="center"/>
    </xf>
    <xf numFmtId="0" fontId="12" fillId="2" borderId="6" xfId="0" applyNumberFormat="1" applyFont="1" applyFill="1" applyBorder="1" applyAlignment="1"/>
    <xf numFmtId="0" fontId="18" fillId="2" borderId="7" xfId="0" applyNumberFormat="1" applyFont="1" applyFill="1" applyBorder="1" applyAlignment="1"/>
    <xf numFmtId="0" fontId="12" fillId="2" borderId="7" xfId="0" applyNumberFormat="1" applyFont="1" applyFill="1" applyBorder="1" applyAlignment="1"/>
    <xf numFmtId="0" fontId="12" fillId="2" borderId="7" xfId="0" applyNumberFormat="1" applyFont="1" applyFill="1" applyBorder="1" applyAlignment="1" applyProtection="1">
      <alignment horizontal="right"/>
      <protection locked="0"/>
    </xf>
    <xf numFmtId="0" fontId="12" fillId="2" borderId="8" xfId="0" applyNumberFormat="1" applyFont="1" applyFill="1" applyBorder="1" applyAlignment="1"/>
    <xf numFmtId="0" fontId="19" fillId="3" borderId="0" xfId="0" applyNumberFormat="1" applyFont="1" applyFill="1" applyAlignment="1"/>
    <xf numFmtId="0" fontId="15" fillId="3" borderId="0" xfId="0" applyNumberFormat="1" applyFont="1" applyFill="1" applyAlignment="1"/>
    <xf numFmtId="4" fontId="15" fillId="3" borderId="0" xfId="0" applyNumberFormat="1" applyFont="1" applyFill="1" applyAlignment="1" applyProtection="1">
      <alignment horizontal="right"/>
      <protection locked="0"/>
    </xf>
    <xf numFmtId="4" fontId="3" fillId="2" borderId="0" xfId="0" applyNumberFormat="1" applyFont="1" applyFill="1" applyAlignment="1" applyProtection="1">
      <alignment horizontal="right"/>
      <protection locked="0"/>
    </xf>
    <xf numFmtId="0" fontId="17" fillId="2" borderId="1" xfId="0" applyNumberFormat="1" applyFont="1" applyFill="1" applyBorder="1" applyAlignment="1"/>
    <xf numFmtId="0" fontId="6" fillId="2" borderId="0" xfId="0" applyNumberFormat="1" applyFont="1" applyFill="1" applyAlignment="1">
      <alignment horizontal="left" vertical="top" wrapText="1"/>
    </xf>
    <xf numFmtId="0" fontId="6" fillId="2" borderId="0" xfId="0" applyNumberFormat="1" applyFont="1" applyFill="1" applyAlignment="1">
      <alignment horizontal="center" vertical="top" wrapText="1"/>
    </xf>
    <xf numFmtId="4" fontId="6" fillId="2" borderId="0" xfId="0" applyNumberFormat="1" applyFont="1" applyFill="1" applyAlignment="1" applyProtection="1">
      <alignment horizontal="center" vertical="top" wrapText="1"/>
      <protection locked="0"/>
    </xf>
    <xf numFmtId="0" fontId="17" fillId="2" borderId="13" xfId="0" applyNumberFormat="1" applyFont="1" applyFill="1" applyBorder="1" applyAlignment="1"/>
    <xf numFmtId="3" fontId="12" fillId="2" borderId="10" xfId="0" applyNumberFormat="1" applyFont="1" applyFill="1" applyBorder="1" applyAlignment="1"/>
    <xf numFmtId="3" fontId="12" fillId="2" borderId="10" xfId="0" applyNumberFormat="1" applyFont="1" applyFill="1" applyBorder="1" applyAlignment="1" applyProtection="1">
      <alignment horizontal="right"/>
      <protection locked="0"/>
    </xf>
    <xf numFmtId="0" fontId="3" fillId="2" borderId="0" xfId="0" applyNumberFormat="1" applyFont="1" applyFill="1" applyBorder="1" applyAlignment="1"/>
    <xf numFmtId="3" fontId="3" fillId="2" borderId="0" xfId="0" applyNumberFormat="1" applyFont="1" applyFill="1" applyBorder="1" applyAlignment="1"/>
    <xf numFmtId="3" fontId="20" fillId="2" borderId="0" xfId="0" applyNumberFormat="1" applyFont="1" applyFill="1" applyBorder="1" applyAlignment="1"/>
    <xf numFmtId="0" fontId="16" fillId="3" borderId="0" xfId="0" applyNumberFormat="1" applyFont="1" applyFill="1" applyBorder="1" applyAlignment="1"/>
    <xf numFmtId="0" fontId="16" fillId="3" borderId="0" xfId="0" applyNumberFormat="1" applyFont="1" applyFill="1" applyBorder="1" applyAlignment="1">
      <alignment horizontal="center"/>
    </xf>
    <xf numFmtId="0" fontId="16" fillId="3" borderId="0" xfId="0" applyNumberFormat="1" applyFont="1" applyFill="1" applyBorder="1" applyAlignment="1">
      <alignment horizontal="right"/>
    </xf>
    <xf numFmtId="15" fontId="16" fillId="3" borderId="0" xfId="0" applyNumberFormat="1" applyFont="1" applyFill="1" applyBorder="1" applyAlignment="1">
      <alignment horizontal="right"/>
    </xf>
    <xf numFmtId="3" fontId="12" fillId="2" borderId="0" xfId="0" applyNumberFormat="1" applyFont="1" applyFill="1" applyBorder="1" applyAlignment="1"/>
    <xf numFmtId="3" fontId="12" fillId="2" borderId="0" xfId="0" applyNumberFormat="1" applyFont="1" applyFill="1" applyBorder="1" applyAlignment="1" applyProtection="1">
      <alignment horizontal="right"/>
      <protection locked="0"/>
    </xf>
    <xf numFmtId="14" fontId="12" fillId="2" borderId="10" xfId="0" applyNumberFormat="1" applyFont="1" applyFill="1" applyBorder="1" applyAlignment="1">
      <alignment horizontal="right"/>
    </xf>
    <xf numFmtId="167" fontId="12" fillId="2" borderId="10" xfId="0" applyNumberFormat="1" applyFont="1" applyFill="1" applyBorder="1" applyAlignment="1">
      <alignment horizontal="right"/>
    </xf>
    <xf numFmtId="0" fontId="3" fillId="2" borderId="9" xfId="0" applyNumberFormat="1" applyFont="1" applyFill="1" applyBorder="1" applyAlignment="1"/>
    <xf numFmtId="0" fontId="10" fillId="2" borderId="10" xfId="0" applyNumberFormat="1" applyFont="1" applyFill="1" applyBorder="1" applyAlignment="1"/>
    <xf numFmtId="0" fontId="21" fillId="2" borderId="10" xfId="0" applyNumberFormat="1" applyFont="1" applyFill="1" applyBorder="1" applyAlignment="1"/>
    <xf numFmtId="3" fontId="21" fillId="2" borderId="10" xfId="0" applyNumberFormat="1" applyFont="1" applyFill="1" applyBorder="1" applyAlignment="1" applyProtection="1">
      <alignment horizontal="right"/>
      <protection locked="0"/>
    </xf>
    <xf numFmtId="0" fontId="3" fillId="2" borderId="11" xfId="0" applyNumberFormat="1" applyFont="1" applyFill="1" applyBorder="1" applyAlignment="1"/>
    <xf numFmtId="3" fontId="12" fillId="0" borderId="0" xfId="0" applyNumberFormat="1" applyFont="1" applyAlignment="1"/>
    <xf numFmtId="4" fontId="21" fillId="2" borderId="10" xfId="0" applyNumberFormat="1" applyFont="1" applyFill="1" applyBorder="1" applyAlignment="1" applyProtection="1">
      <alignment horizontal="right"/>
      <protection locked="0"/>
    </xf>
    <xf numFmtId="4" fontId="12" fillId="2" borderId="0" xfId="0" applyNumberFormat="1" applyFont="1" applyFill="1" applyAlignment="1" applyProtection="1">
      <alignment horizontal="right"/>
      <protection locked="0"/>
    </xf>
    <xf numFmtId="4" fontId="12" fillId="2" borderId="7" xfId="0" applyNumberFormat="1" applyFont="1" applyFill="1" applyBorder="1" applyAlignment="1" applyProtection="1">
      <alignment horizontal="right"/>
      <protection locked="0"/>
    </xf>
    <xf numFmtId="0" fontId="15" fillId="3" borderId="5" xfId="0" applyNumberFormat="1" applyFont="1" applyFill="1" applyBorder="1" applyAlignment="1"/>
    <xf numFmtId="0" fontId="16" fillId="3" borderId="2" xfId="0" applyNumberFormat="1" applyFont="1" applyFill="1" applyBorder="1" applyAlignment="1"/>
    <xf numFmtId="0" fontId="15" fillId="3" borderId="2" xfId="0" applyNumberFormat="1" applyFont="1" applyFill="1" applyBorder="1" applyAlignment="1"/>
    <xf numFmtId="4" fontId="15" fillId="3" borderId="2" xfId="0" applyNumberFormat="1" applyFont="1" applyFill="1" applyBorder="1" applyAlignment="1" applyProtection="1">
      <alignment horizontal="right"/>
      <protection locked="0"/>
    </xf>
    <xf numFmtId="0" fontId="15" fillId="3" borderId="12" xfId="0" applyNumberFormat="1" applyFont="1" applyFill="1" applyBorder="1" applyAlignment="1"/>
    <xf numFmtId="0" fontId="22" fillId="2" borderId="0" xfId="0" applyNumberFormat="1" applyFont="1" applyFill="1" applyAlignment="1"/>
    <xf numFmtId="0" fontId="10" fillId="2" borderId="0" xfId="0" applyNumberFormat="1" applyFont="1" applyFill="1" applyAlignment="1"/>
    <xf numFmtId="4" fontId="3" fillId="2" borderId="0" xfId="0" applyNumberFormat="1" applyFont="1" applyFill="1" applyBorder="1" applyAlignment="1" applyProtection="1">
      <alignment horizontal="right"/>
      <protection locked="0"/>
    </xf>
    <xf numFmtId="0" fontId="21" fillId="2" borderId="0" xfId="0" applyNumberFormat="1" applyFont="1" applyFill="1" applyBorder="1" applyAlignment="1"/>
    <xf numFmtId="3" fontId="21" fillId="2" borderId="0" xfId="0" applyNumberFormat="1" applyFont="1" applyFill="1" applyBorder="1" applyAlignment="1" applyProtection="1">
      <alignment horizontal="right"/>
      <protection locked="0"/>
    </xf>
    <xf numFmtId="0" fontId="12" fillId="2" borderId="14" xfId="0" applyNumberFormat="1" applyFont="1" applyFill="1" applyBorder="1" applyAlignment="1"/>
    <xf numFmtId="0" fontId="12" fillId="2" borderId="15" xfId="0" applyNumberFormat="1" applyFont="1" applyFill="1" applyBorder="1" applyAlignment="1"/>
    <xf numFmtId="3" fontId="12" fillId="2" borderId="15" xfId="0" applyNumberFormat="1" applyFont="1" applyFill="1" applyBorder="1" applyAlignment="1" applyProtection="1">
      <alignment horizontal="right"/>
      <protection locked="0"/>
    </xf>
    <xf numFmtId="0" fontId="12" fillId="2" borderId="16" xfId="0" applyNumberFormat="1" applyFont="1" applyFill="1" applyBorder="1" applyAlignment="1"/>
    <xf numFmtId="4" fontId="20" fillId="2" borderId="0" xfId="0" applyNumberFormat="1" applyFont="1" applyFill="1" applyAlignment="1" applyProtection="1">
      <alignment horizontal="right"/>
      <protection locked="0"/>
    </xf>
    <xf numFmtId="4" fontId="3" fillId="2" borderId="2" xfId="0" applyNumberFormat="1" applyFont="1" applyFill="1" applyBorder="1" applyAlignment="1" applyProtection="1">
      <alignment horizontal="right"/>
      <protection locked="0"/>
    </xf>
    <xf numFmtId="3" fontId="3" fillId="2" borderId="0" xfId="0" applyNumberFormat="1" applyFont="1" applyFill="1" applyBorder="1" applyAlignment="1" applyProtection="1">
      <alignment horizontal="right"/>
      <protection locked="0"/>
    </xf>
    <xf numFmtId="0" fontId="3" fillId="0" borderId="0" xfId="0" applyNumberFormat="1" applyFont="1" applyBorder="1" applyAlignment="1"/>
    <xf numFmtId="0" fontId="12" fillId="0" borderId="3" xfId="0" applyNumberFormat="1" applyFont="1" applyBorder="1" applyAlignment="1"/>
    <xf numFmtId="0" fontId="3" fillId="2" borderId="6" xfId="0" applyNumberFormat="1" applyFont="1" applyFill="1" applyBorder="1" applyAlignment="1"/>
    <xf numFmtId="0" fontId="3" fillId="0" borderId="4" xfId="0" applyNumberFormat="1" applyFont="1" applyBorder="1" applyAlignment="1"/>
    <xf numFmtId="0" fontId="3" fillId="2" borderId="0" xfId="0" applyNumberFormat="1" applyFont="1" applyFill="1" applyAlignment="1" applyProtection="1">
      <protection locked="0"/>
    </xf>
    <xf numFmtId="4" fontId="12" fillId="2" borderId="10" xfId="0" applyNumberFormat="1" applyFont="1" applyFill="1" applyBorder="1" applyAlignment="1" applyProtection="1">
      <alignment horizontal="right"/>
      <protection locked="0"/>
    </xf>
    <xf numFmtId="2" fontId="12" fillId="2" borderId="10" xfId="0" applyNumberFormat="1" applyFont="1" applyFill="1" applyBorder="1" applyAlignment="1" applyProtection="1">
      <alignment horizontal="right"/>
      <protection locked="0"/>
    </xf>
    <xf numFmtId="15" fontId="16" fillId="3" borderId="2" xfId="0" applyNumberFormat="1" applyFont="1" applyFill="1" applyBorder="1" applyAlignment="1">
      <alignment horizontal="centerContinuous"/>
    </xf>
    <xf numFmtId="15" fontId="16" fillId="3" borderId="2" xfId="0" applyNumberFormat="1" applyFont="1" applyFill="1" applyBorder="1" applyAlignment="1">
      <alignment horizontal="center"/>
    </xf>
    <xf numFmtId="0" fontId="20" fillId="2" borderId="1" xfId="0" applyNumberFormat="1" applyFont="1" applyFill="1" applyBorder="1" applyAlignment="1"/>
    <xf numFmtId="0" fontId="23" fillId="2" borderId="0" xfId="0" applyNumberFormat="1" applyFont="1" applyFill="1" applyAlignment="1"/>
    <xf numFmtId="15" fontId="24" fillId="2" borderId="0" xfId="0" applyNumberFormat="1" applyFont="1" applyFill="1" applyAlignment="1">
      <alignment horizontal="centerContinuous"/>
    </xf>
    <xf numFmtId="15" fontId="24" fillId="2" borderId="0" xfId="0" applyNumberFormat="1" applyFont="1" applyFill="1" applyAlignment="1">
      <alignment horizontal="center"/>
    </xf>
    <xf numFmtId="15" fontId="13" fillId="2" borderId="10" xfId="0" applyNumberFormat="1" applyFont="1" applyFill="1" applyBorder="1" applyAlignment="1">
      <alignment horizontal="centerContinuous"/>
    </xf>
    <xf numFmtId="17" fontId="12" fillId="2" borderId="10" xfId="0" applyNumberFormat="1" applyFont="1" applyFill="1" applyBorder="1" applyAlignment="1">
      <alignment horizontal="center"/>
    </xf>
    <xf numFmtId="0" fontId="20" fillId="2" borderId="0" xfId="0" applyNumberFormat="1" applyFont="1" applyFill="1" applyBorder="1" applyAlignment="1"/>
    <xf numFmtId="0" fontId="3" fillId="2" borderId="0" xfId="0" applyNumberFormat="1" applyFont="1" applyFill="1" applyBorder="1" applyAlignment="1" applyProtection="1">
      <protection locked="0"/>
    </xf>
    <xf numFmtId="0" fontId="15" fillId="3" borderId="1" xfId="0" applyNumberFormat="1" applyFont="1" applyFill="1" applyBorder="1" applyAlignment="1">
      <alignment horizontal="right"/>
    </xf>
    <xf numFmtId="3" fontId="16" fillId="3" borderId="0" xfId="0" applyNumberFormat="1" applyFont="1" applyFill="1" applyBorder="1" applyAlignment="1">
      <alignment horizontal="center"/>
    </xf>
    <xf numFmtId="0" fontId="12" fillId="2" borderId="1" xfId="0" applyNumberFormat="1" applyFont="1" applyFill="1" applyBorder="1" applyAlignment="1">
      <alignment horizontal="right"/>
    </xf>
    <xf numFmtId="0" fontId="12" fillId="2" borderId="0" xfId="0" applyNumberFormat="1" applyFont="1" applyFill="1" applyBorder="1" applyAlignment="1">
      <alignment horizontal="center"/>
    </xf>
    <xf numFmtId="3" fontId="12"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protection locked="0"/>
    </xf>
    <xf numFmtId="3" fontId="13" fillId="2" borderId="13" xfId="0" applyNumberFormat="1" applyFont="1" applyFill="1" applyBorder="1" applyAlignment="1"/>
    <xf numFmtId="0" fontId="12" fillId="2" borderId="9" xfId="0" applyNumberFormat="1" applyFont="1" applyFill="1" applyBorder="1" applyAlignment="1">
      <alignment horizontal="right"/>
    </xf>
    <xf numFmtId="3" fontId="12" fillId="2" borderId="10" xfId="0" applyNumberFormat="1" applyFont="1" applyFill="1" applyBorder="1" applyAlignment="1">
      <alignment horizontal="center"/>
    </xf>
    <xf numFmtId="3" fontId="12" fillId="2" borderId="10" xfId="0" applyNumberFormat="1" applyFont="1" applyFill="1" applyBorder="1" applyAlignment="1" applyProtection="1">
      <alignment horizontal="center"/>
      <protection locked="0"/>
    </xf>
    <xf numFmtId="0" fontId="12" fillId="2" borderId="10" xfId="0" applyNumberFormat="1" applyFont="1" applyFill="1" applyBorder="1" applyAlignment="1" applyProtection="1">
      <protection locked="0"/>
    </xf>
    <xf numFmtId="3" fontId="13" fillId="2" borderId="11" xfId="0" applyNumberFormat="1" applyFont="1" applyFill="1" applyBorder="1" applyAlignment="1"/>
    <xf numFmtId="0" fontId="20" fillId="2" borderId="9" xfId="0" applyNumberFormat="1" applyFont="1" applyFill="1" applyBorder="1" applyAlignment="1">
      <alignment horizontal="right"/>
    </xf>
    <xf numFmtId="0" fontId="6" fillId="2" borderId="10" xfId="0" applyNumberFormat="1" applyFont="1" applyFill="1" applyBorder="1" applyAlignment="1"/>
    <xf numFmtId="3" fontId="20" fillId="2" borderId="10" xfId="0" applyNumberFormat="1" applyFont="1" applyFill="1" applyBorder="1" applyAlignment="1"/>
    <xf numFmtId="0" fontId="3" fillId="2" borderId="10" xfId="0" applyNumberFormat="1" applyFont="1" applyFill="1" applyBorder="1" applyAlignment="1" applyProtection="1">
      <protection locked="0"/>
    </xf>
    <xf numFmtId="3" fontId="24" fillId="2" borderId="11" xfId="0" applyNumberFormat="1" applyFont="1" applyFill="1" applyBorder="1" applyAlignment="1"/>
    <xf numFmtId="0" fontId="20" fillId="2" borderId="9" xfId="0" applyNumberFormat="1" applyFont="1" applyFill="1" applyBorder="1" applyAlignment="1">
      <alignment horizontal="center"/>
    </xf>
    <xf numFmtId="0" fontId="20" fillId="2" borderId="10" xfId="0" applyNumberFormat="1" applyFont="1" applyFill="1" applyBorder="1" applyAlignment="1"/>
    <xf numFmtId="3" fontId="21" fillId="2" borderId="10" xfId="0" applyNumberFormat="1" applyFont="1" applyFill="1" applyBorder="1" applyAlignment="1" applyProtection="1">
      <alignment horizontal="center"/>
      <protection locked="0"/>
    </xf>
    <xf numFmtId="0" fontId="24" fillId="2" borderId="11" xfId="0" applyNumberFormat="1" applyFont="1" applyFill="1" applyBorder="1" applyAlignment="1"/>
    <xf numFmtId="0" fontId="12" fillId="2" borderId="9" xfId="0" applyNumberFormat="1" applyFont="1" applyFill="1" applyBorder="1" applyAlignment="1">
      <alignment horizontal="center"/>
    </xf>
    <xf numFmtId="0" fontId="13" fillId="2" borderId="11" xfId="0" applyNumberFormat="1" applyFont="1" applyFill="1" applyBorder="1" applyAlignment="1"/>
    <xf numFmtId="0" fontId="21" fillId="2" borderId="10" xfId="0" applyNumberFormat="1" applyFont="1" applyFill="1" applyBorder="1" applyAlignment="1">
      <alignment horizontal="center"/>
    </xf>
    <xf numFmtId="4" fontId="12" fillId="2" borderId="10" xfId="0" applyNumberFormat="1" applyFont="1" applyFill="1" applyBorder="1" applyAlignment="1" applyProtection="1">
      <alignment horizontal="center"/>
      <protection locked="0"/>
    </xf>
    <xf numFmtId="0" fontId="20" fillId="2" borderId="10" xfId="0" applyNumberFormat="1" applyFont="1" applyFill="1" applyBorder="1" applyAlignment="1">
      <alignment horizontal="right"/>
    </xf>
    <xf numFmtId="10" fontId="21" fillId="2" borderId="10" xfId="0" applyNumberFormat="1" applyFont="1" applyFill="1" applyBorder="1" applyAlignment="1" applyProtection="1">
      <alignment horizontal="center"/>
      <protection locked="0"/>
    </xf>
    <xf numFmtId="10" fontId="20" fillId="2" borderId="10" xfId="0" applyNumberFormat="1" applyFont="1" applyFill="1" applyBorder="1" applyAlignment="1" applyProtection="1">
      <alignment horizontal="center"/>
      <protection locked="0"/>
    </xf>
    <xf numFmtId="0" fontId="25" fillId="2" borderId="10" xfId="0" applyNumberFormat="1" applyFont="1" applyFill="1" applyBorder="1" applyAlignment="1"/>
    <xf numFmtId="10" fontId="9" fillId="2" borderId="10" xfId="1" applyNumberFormat="1" applyFont="1" applyFill="1" applyBorder="1" applyAlignment="1">
      <alignment horizontal="left"/>
      <protection locked="0"/>
    </xf>
    <xf numFmtId="10" fontId="26" fillId="2" borderId="10" xfId="1" applyNumberFormat="1" applyFont="1" applyFill="1" applyBorder="1" applyAlignment="1">
      <alignment horizontal="left"/>
      <protection locked="0"/>
    </xf>
    <xf numFmtId="0" fontId="20" fillId="2" borderId="1" xfId="0" applyNumberFormat="1" applyFont="1" applyFill="1" applyBorder="1" applyAlignment="1">
      <alignment horizontal="right"/>
    </xf>
    <xf numFmtId="0" fontId="27" fillId="2" borderId="0" xfId="0" applyNumberFormat="1" applyFont="1" applyFill="1" applyBorder="1" applyAlignment="1"/>
    <xf numFmtId="0" fontId="20" fillId="2" borderId="0" xfId="0" applyNumberFormat="1" applyFont="1" applyFill="1" applyBorder="1" applyAlignment="1">
      <alignment horizontal="right"/>
    </xf>
    <xf numFmtId="10" fontId="9" fillId="2" borderId="0" xfId="1" applyNumberFormat="1" applyFont="1" applyFill="1" applyBorder="1" applyAlignment="1">
      <alignment horizontal="left"/>
      <protection locked="0"/>
    </xf>
    <xf numFmtId="10" fontId="20" fillId="2" borderId="0" xfId="0" applyNumberFormat="1" applyFont="1" applyFill="1" applyBorder="1" applyAlignment="1" applyProtection="1">
      <alignment horizontal="center"/>
      <protection locked="0"/>
    </xf>
    <xf numFmtId="0" fontId="24" fillId="2" borderId="13" xfId="0" applyNumberFormat="1" applyFont="1" applyFill="1" applyBorder="1" applyAlignment="1"/>
    <xf numFmtId="0" fontId="16" fillId="3" borderId="13" xfId="0" applyNumberFormat="1" applyFont="1" applyFill="1" applyBorder="1" applyAlignment="1"/>
    <xf numFmtId="166" fontId="12" fillId="2" borderId="0" xfId="0" applyNumberFormat="1" applyFont="1" applyFill="1" applyBorder="1" applyAlignment="1"/>
    <xf numFmtId="10" fontId="12" fillId="2" borderId="0" xfId="0" applyNumberFormat="1" applyFont="1" applyFill="1" applyBorder="1" applyAlignment="1"/>
    <xf numFmtId="0" fontId="13" fillId="2" borderId="13" xfId="0" applyNumberFormat="1" applyFont="1" applyFill="1" applyBorder="1" applyAlignment="1"/>
    <xf numFmtId="166" fontId="12" fillId="2" borderId="10" xfId="0" applyNumberFormat="1" applyFont="1" applyFill="1" applyBorder="1" applyAlignment="1"/>
    <xf numFmtId="3" fontId="12" fillId="2" borderId="17" xfId="0" applyNumberFormat="1" applyFont="1" applyFill="1" applyBorder="1" applyAlignment="1"/>
    <xf numFmtId="10" fontId="12" fillId="2" borderId="18" xfId="0" applyNumberFormat="1" applyFont="1" applyFill="1" applyBorder="1" applyAlignment="1"/>
    <xf numFmtId="3" fontId="12" fillId="2" borderId="17" xfId="0" applyNumberFormat="1" applyFont="1" applyFill="1" applyBorder="1" applyAlignment="1" applyProtection="1">
      <alignment horizontal="right"/>
      <protection locked="0"/>
    </xf>
    <xf numFmtId="10" fontId="12" fillId="2" borderId="10" xfId="0" applyNumberFormat="1" applyFont="1" applyFill="1" applyBorder="1" applyAlignment="1"/>
    <xf numFmtId="3" fontId="12" fillId="2" borderId="15" xfId="0" applyNumberFormat="1" applyFont="1" applyFill="1" applyBorder="1" applyAlignment="1"/>
    <xf numFmtId="10" fontId="12" fillId="2" borderId="15" xfId="0" applyNumberFormat="1" applyFont="1" applyFill="1" applyBorder="1" applyAlignment="1"/>
    <xf numFmtId="3" fontId="12" fillId="2" borderId="19" xfId="0" applyNumberFormat="1" applyFont="1" applyFill="1" applyBorder="1" applyAlignment="1"/>
    <xf numFmtId="10" fontId="12" fillId="2" borderId="20" xfId="0" applyNumberFormat="1" applyFont="1" applyFill="1" applyBorder="1" applyAlignment="1"/>
    <xf numFmtId="3" fontId="12" fillId="2" borderId="19" xfId="0" applyNumberFormat="1" applyFont="1" applyFill="1" applyBorder="1" applyAlignment="1" applyProtection="1">
      <alignment horizontal="right"/>
      <protection locked="0"/>
    </xf>
    <xf numFmtId="9" fontId="12" fillId="2" borderId="10" xfId="0" applyNumberFormat="1" applyFont="1" applyFill="1" applyBorder="1" applyAlignment="1"/>
    <xf numFmtId="9" fontId="3" fillId="2" borderId="0" xfId="0" applyNumberFormat="1" applyFont="1" applyFill="1" applyBorder="1" applyAlignment="1"/>
    <xf numFmtId="10" fontId="3" fillId="2" borderId="0" xfId="0" applyNumberFormat="1" applyFont="1" applyFill="1" applyBorder="1" applyAlignment="1"/>
    <xf numFmtId="3" fontId="20" fillId="2" borderId="0" xfId="0" applyNumberFormat="1" applyFont="1" applyFill="1" applyBorder="1" applyAlignment="1" applyProtection="1">
      <alignment horizontal="right"/>
      <protection locked="0"/>
    </xf>
    <xf numFmtId="9" fontId="15" fillId="3" borderId="0" xfId="0" applyNumberFormat="1" applyFont="1" applyFill="1" applyBorder="1" applyAlignment="1"/>
    <xf numFmtId="9" fontId="12" fillId="2" borderId="0" xfId="0" applyNumberFormat="1" applyFont="1" applyFill="1" applyBorder="1" applyAlignment="1"/>
    <xf numFmtId="3" fontId="13" fillId="2" borderId="10" xfId="0" applyNumberFormat="1" applyFont="1" applyFill="1" applyBorder="1" applyAlignment="1"/>
    <xf numFmtId="3" fontId="13" fillId="2" borderId="10" xfId="0" applyNumberFormat="1" applyFont="1" applyFill="1" applyBorder="1" applyAlignment="1" applyProtection="1">
      <alignment horizontal="right"/>
      <protection locked="0"/>
    </xf>
    <xf numFmtId="9" fontId="13" fillId="2" borderId="10" xfId="0" applyNumberFormat="1" applyFont="1" applyFill="1" applyBorder="1" applyAlignment="1"/>
    <xf numFmtId="10" fontId="13" fillId="2" borderId="10" xfId="0" applyNumberFormat="1" applyFont="1" applyFill="1" applyBorder="1" applyAlignment="1"/>
    <xf numFmtId="9" fontId="12" fillId="2" borderId="0" xfId="0" applyNumberFormat="1" applyFont="1" applyFill="1" applyAlignment="1"/>
    <xf numFmtId="3" fontId="12" fillId="2" borderId="0" xfId="0" applyNumberFormat="1" applyFont="1" applyFill="1" applyAlignment="1" applyProtection="1">
      <alignment horizontal="right"/>
      <protection locked="0"/>
    </xf>
    <xf numFmtId="0" fontId="13" fillId="2" borderId="0" xfId="0" applyNumberFormat="1" applyFont="1" applyFill="1" applyAlignment="1">
      <alignment horizontal="center"/>
    </xf>
    <xf numFmtId="0" fontId="13" fillId="2" borderId="0" xfId="0" quotePrefix="1" applyNumberFormat="1" applyFont="1" applyFill="1" applyAlignment="1">
      <alignment horizontal="center"/>
    </xf>
    <xf numFmtId="0" fontId="21" fillId="2" borderId="1" xfId="0" applyNumberFormat="1" applyFont="1" applyFill="1" applyBorder="1" applyAlignment="1"/>
    <xf numFmtId="0" fontId="28" fillId="2" borderId="0" xfId="0" applyNumberFormat="1" applyFont="1" applyFill="1" applyAlignment="1"/>
    <xf numFmtId="0" fontId="21" fillId="2" borderId="0" xfId="0" applyNumberFormat="1" applyFont="1" applyFill="1" applyAlignment="1"/>
    <xf numFmtId="0" fontId="21" fillId="2" borderId="13" xfId="0" applyNumberFormat="1" applyFont="1" applyFill="1" applyBorder="1" applyAlignment="1"/>
    <xf numFmtId="0" fontId="18" fillId="2" borderId="0" xfId="0" applyNumberFormat="1" applyFont="1" applyFill="1" applyAlignment="1"/>
    <xf numFmtId="0" fontId="21" fillId="2" borderId="8" xfId="0" applyNumberFormat="1" applyFont="1" applyFill="1" applyBorder="1" applyAlignment="1"/>
    <xf numFmtId="0" fontId="3" fillId="0" borderId="2" xfId="0" applyNumberFormat="1" applyFont="1" applyBorder="1"/>
    <xf numFmtId="170" fontId="17" fillId="2" borderId="10" xfId="0" applyNumberFormat="1" applyFont="1" applyFill="1" applyBorder="1" applyAlignment="1">
      <alignment horizontal="center"/>
    </xf>
    <xf numFmtId="15" fontId="11" fillId="2" borderId="0" xfId="0" applyNumberFormat="1" applyFont="1" applyFill="1" applyAlignment="1">
      <alignment horizontal="center"/>
    </xf>
    <xf numFmtId="0" fontId="3" fillId="2" borderId="10" xfId="0" applyNumberFormat="1" applyFont="1" applyFill="1" applyBorder="1" applyAlignment="1">
      <alignment horizontal="center" wrapText="1"/>
    </xf>
    <xf numFmtId="0" fontId="3" fillId="2" borderId="0" xfId="0" applyNumberFormat="1" applyFont="1" applyFill="1" applyBorder="1" applyAlignment="1">
      <alignment horizontal="center" wrapText="1"/>
    </xf>
    <xf numFmtId="0" fontId="11" fillId="2" borderId="10" xfId="0" applyNumberFormat="1" applyFont="1" applyFill="1" applyBorder="1" applyAlignment="1">
      <alignment horizontal="center" wrapText="1"/>
    </xf>
    <xf numFmtId="0" fontId="3" fillId="2" borderId="15" xfId="0" applyNumberFormat="1" applyFont="1" applyFill="1" applyBorder="1" applyAlignment="1"/>
    <xf numFmtId="169" fontId="3" fillId="2" borderId="10" xfId="0" applyNumberFormat="1" applyFont="1" applyFill="1" applyBorder="1" applyAlignment="1">
      <alignment horizontal="center"/>
    </xf>
    <xf numFmtId="10" fontId="12" fillId="2" borderId="10" xfId="2" applyNumberFormat="1" applyFont="1" applyFill="1" applyBorder="1" applyAlignment="1">
      <alignment horizontal="center"/>
    </xf>
    <xf numFmtId="0" fontId="6" fillId="2" borderId="0" xfId="0" applyNumberFormat="1" applyFont="1" applyFill="1" applyAlignment="1">
      <alignment horizontal="right"/>
    </xf>
    <xf numFmtId="4" fontId="6" fillId="2" borderId="0" xfId="0" applyNumberFormat="1" applyFont="1" applyFill="1" applyAlignment="1" applyProtection="1">
      <alignment horizontal="right"/>
      <protection locked="0"/>
    </xf>
    <xf numFmtId="164" fontId="12" fillId="0" borderId="0" xfId="0" applyNumberFormat="1" applyFont="1" applyAlignment="1"/>
    <xf numFmtId="10" fontId="13" fillId="2" borderId="10" xfId="0" applyNumberFormat="1" applyFont="1" applyFill="1" applyBorder="1" applyAlignment="1" applyProtection="1">
      <alignment horizontal="right"/>
      <protection locked="0"/>
    </xf>
    <xf numFmtId="3" fontId="3" fillId="2" borderId="10" xfId="0" applyNumberFormat="1" applyFont="1" applyFill="1" applyBorder="1" applyAlignment="1" applyProtection="1">
      <alignment horizontal="right"/>
      <protection locked="0"/>
    </xf>
    <xf numFmtId="3" fontId="3" fillId="2" borderId="10" xfId="0" applyNumberFormat="1" applyFont="1" applyFill="1" applyBorder="1" applyAlignment="1"/>
    <xf numFmtId="169" fontId="29" fillId="2" borderId="10" xfId="0" applyNumberFormat="1" applyFont="1" applyFill="1" applyBorder="1" applyAlignment="1">
      <alignment horizontal="center"/>
    </xf>
    <xf numFmtId="0" fontId="15" fillId="3" borderId="1" xfId="0" applyFont="1" applyFill="1" applyBorder="1"/>
    <xf numFmtId="0" fontId="16" fillId="3" borderId="0" xfId="0" applyFont="1" applyFill="1"/>
    <xf numFmtId="0" fontId="15" fillId="3" borderId="0" xfId="0" applyFont="1" applyFill="1"/>
    <xf numFmtId="9" fontId="15" fillId="3" borderId="0" xfId="0" applyNumberFormat="1" applyFont="1" applyFill="1"/>
    <xf numFmtId="0" fontId="12" fillId="4" borderId="1" xfId="0" applyFont="1" applyFill="1" applyBorder="1"/>
    <xf numFmtId="3" fontId="12" fillId="4" borderId="0" xfId="0" applyNumberFormat="1" applyFont="1" applyFill="1"/>
    <xf numFmtId="0" fontId="12" fillId="4" borderId="0" xfId="0" applyFont="1" applyFill="1"/>
    <xf numFmtId="9" fontId="12" fillId="4" borderId="0" xfId="0" applyNumberFormat="1" applyFont="1" applyFill="1"/>
    <xf numFmtId="0" fontId="12" fillId="4" borderId="9" xfId="0" applyFont="1" applyFill="1" applyBorder="1"/>
    <xf numFmtId="3" fontId="12" fillId="4" borderId="10" xfId="0" applyNumberFormat="1" applyFont="1" applyFill="1" applyBorder="1"/>
    <xf numFmtId="0" fontId="12" fillId="4" borderId="10" xfId="0" applyFont="1" applyFill="1" applyBorder="1"/>
    <xf numFmtId="9" fontId="12" fillId="4" borderId="10" xfId="0" applyNumberFormat="1" applyFont="1" applyFill="1" applyBorder="1"/>
    <xf numFmtId="0" fontId="12" fillId="2" borderId="0" xfId="0" applyFont="1" applyFill="1"/>
    <xf numFmtId="0" fontId="13" fillId="2" borderId="0" xfId="0" applyFont="1" applyFill="1"/>
    <xf numFmtId="0" fontId="13" fillId="2" borderId="0" xfId="0" quotePrefix="1" applyFont="1" applyFill="1" applyAlignment="1">
      <alignment horizontal="center"/>
    </xf>
    <xf numFmtId="0" fontId="13" fillId="4" borderId="0" xfId="0" applyFont="1" applyFill="1"/>
    <xf numFmtId="0" fontId="25" fillId="2" borderId="0" xfId="0" applyFont="1" applyFill="1"/>
    <xf numFmtId="0" fontId="10" fillId="4" borderId="0" xfId="1" applyFont="1" applyFill="1" applyAlignment="1" applyProtection="1"/>
    <xf numFmtId="9" fontId="12" fillId="2" borderId="20" xfId="0" applyNumberFormat="1" applyFont="1" applyFill="1" applyBorder="1" applyAlignment="1"/>
    <xf numFmtId="9" fontId="15" fillId="3" borderId="18" xfId="0" applyNumberFormat="1" applyFont="1" applyFill="1" applyBorder="1"/>
    <xf numFmtId="10" fontId="12" fillId="2" borderId="21" xfId="0" applyNumberFormat="1" applyFont="1" applyFill="1" applyBorder="1" applyAlignment="1"/>
    <xf numFmtId="0" fontId="3" fillId="0" borderId="0" xfId="0" applyFont="1"/>
    <xf numFmtId="3" fontId="16" fillId="3" borderId="0" xfId="0" applyNumberFormat="1" applyFont="1" applyFill="1" applyAlignment="1">
      <alignment horizontal="center"/>
    </xf>
    <xf numFmtId="0" fontId="16" fillId="3" borderId="0" xfId="0" applyFont="1" applyFill="1" applyAlignment="1">
      <alignment horizontal="center"/>
    </xf>
    <xf numFmtId="0" fontId="12" fillId="0" borderId="1" xfId="0" applyFont="1" applyBorder="1"/>
    <xf numFmtId="0" fontId="12" fillId="0" borderId="0" xfId="0" applyFont="1"/>
    <xf numFmtId="0" fontId="12" fillId="2" borderId="22" xfId="0" applyFont="1" applyFill="1" applyBorder="1"/>
    <xf numFmtId="0" fontId="12" fillId="2" borderId="23" xfId="0" applyFont="1" applyFill="1" applyBorder="1"/>
    <xf numFmtId="0" fontId="12" fillId="2" borderId="10" xfId="0" applyFont="1" applyFill="1" applyBorder="1"/>
    <xf numFmtId="9" fontId="12" fillId="2" borderId="10" xfId="0" applyNumberFormat="1" applyFont="1" applyFill="1" applyBorder="1"/>
    <xf numFmtId="3" fontId="12" fillId="2" borderId="23" xfId="0" applyNumberFormat="1" applyFont="1" applyFill="1" applyBorder="1"/>
    <xf numFmtId="10" fontId="12" fillId="2" borderId="23" xfId="0" applyNumberFormat="1" applyFont="1" applyFill="1" applyBorder="1"/>
    <xf numFmtId="3" fontId="12" fillId="2" borderId="23" xfId="0" applyNumberFormat="1" applyFont="1" applyFill="1" applyBorder="1" applyAlignment="1" applyProtection="1">
      <alignment horizontal="right"/>
      <protection locked="0"/>
    </xf>
    <xf numFmtId="0" fontId="12" fillId="2" borderId="11" xfId="0" applyFont="1" applyFill="1" applyBorder="1"/>
    <xf numFmtId="0" fontId="3" fillId="2" borderId="23" xfId="0" applyFont="1" applyFill="1" applyBorder="1"/>
    <xf numFmtId="10" fontId="13" fillId="2" borderId="10" xfId="0" applyNumberFormat="1" applyFont="1" applyFill="1" applyBorder="1"/>
    <xf numFmtId="10" fontId="12" fillId="2" borderId="10" xfId="0" applyNumberFormat="1" applyFont="1" applyFill="1" applyBorder="1"/>
    <xf numFmtId="0" fontId="10" fillId="0" borderId="0" xfId="0" applyFont="1"/>
    <xf numFmtId="3" fontId="3" fillId="2" borderId="23" xfId="0" applyNumberFormat="1" applyFont="1" applyFill="1" applyBorder="1"/>
    <xf numFmtId="10" fontId="3" fillId="2" borderId="23" xfId="0" applyNumberFormat="1" applyFont="1" applyFill="1" applyBorder="1"/>
    <xf numFmtId="3" fontId="3" fillId="2" borderId="23" xfId="0" applyNumberFormat="1" applyFont="1" applyFill="1" applyBorder="1" applyAlignment="1" applyProtection="1">
      <alignment horizontal="right"/>
      <protection locked="0"/>
    </xf>
    <xf numFmtId="3" fontId="12" fillId="2" borderId="20" xfId="0" applyNumberFormat="1" applyFont="1" applyFill="1" applyBorder="1" applyAlignment="1"/>
    <xf numFmtId="3" fontId="12" fillId="2" borderId="20" xfId="0" applyNumberFormat="1" applyFont="1" applyFill="1" applyBorder="1" applyAlignment="1" applyProtection="1">
      <alignment horizontal="right"/>
      <protection locked="0"/>
    </xf>
    <xf numFmtId="0" fontId="12" fillId="2" borderId="20" xfId="0" applyNumberFormat="1" applyFont="1" applyFill="1" applyBorder="1" applyAlignment="1"/>
    <xf numFmtId="1" fontId="12" fillId="2" borderId="27" xfId="0" applyNumberFormat="1" applyFont="1" applyFill="1" applyBorder="1"/>
    <xf numFmtId="10" fontId="12" fillId="2" borderId="28" xfId="0" applyNumberFormat="1" applyFont="1" applyFill="1" applyBorder="1"/>
    <xf numFmtId="172" fontId="12" fillId="2" borderId="28" xfId="3" applyNumberFormat="1" applyFont="1" applyFill="1" applyBorder="1" applyAlignment="1" applyProtection="1">
      <alignment horizontal="right"/>
      <protection locked="0"/>
    </xf>
    <xf numFmtId="2" fontId="12" fillId="2" borderId="29" xfId="0" applyNumberFormat="1" applyFont="1" applyFill="1" applyBorder="1"/>
    <xf numFmtId="10" fontId="13" fillId="2" borderId="18" xfId="0" applyNumberFormat="1" applyFont="1" applyFill="1" applyBorder="1"/>
    <xf numFmtId="10" fontId="13" fillId="2" borderId="18" xfId="0" applyNumberFormat="1" applyFont="1" applyFill="1" applyBorder="1" applyAlignment="1" applyProtection="1">
      <alignment horizontal="right"/>
      <protection locked="0"/>
    </xf>
    <xf numFmtId="0" fontId="12" fillId="2" borderId="18" xfId="0" applyFont="1" applyFill="1" applyBorder="1"/>
    <xf numFmtId="1" fontId="12" fillId="2" borderId="24" xfId="0" applyNumberFormat="1" applyFont="1" applyFill="1" applyBorder="1"/>
    <xf numFmtId="10" fontId="12" fillId="2" borderId="25" xfId="0" applyNumberFormat="1" applyFont="1" applyFill="1" applyBorder="1"/>
    <xf numFmtId="172" fontId="12" fillId="2" borderId="25" xfId="3" applyNumberFormat="1" applyFont="1" applyFill="1" applyBorder="1" applyAlignment="1" applyProtection="1">
      <alignment horizontal="right"/>
      <protection locked="0"/>
    </xf>
    <xf numFmtId="2" fontId="12" fillId="2" borderId="26" xfId="0" applyNumberFormat="1" applyFont="1" applyFill="1" applyBorder="1"/>
    <xf numFmtId="0" fontId="3" fillId="2" borderId="10" xfId="0" applyNumberFormat="1" applyFont="1" applyFill="1" applyBorder="1" applyAlignment="1">
      <alignment horizontal="right"/>
    </xf>
    <xf numFmtId="0" fontId="29" fillId="0" borderId="0" xfId="0" applyFont="1"/>
    <xf numFmtId="3" fontId="3" fillId="0" borderId="0" xfId="0" applyNumberFormat="1" applyFont="1" applyAlignment="1"/>
    <xf numFmtId="0" fontId="31" fillId="0" borderId="0" xfId="0" applyFont="1" applyAlignment="1">
      <alignment vertical="center"/>
    </xf>
    <xf numFmtId="0" fontId="32" fillId="0" borderId="0" xfId="1" applyFont="1" applyAlignment="1" applyProtection="1">
      <alignment vertical="center"/>
    </xf>
    <xf numFmtId="0" fontId="33" fillId="0" borderId="0" xfId="0" applyFont="1" applyAlignment="1">
      <alignment vertical="center"/>
    </xf>
    <xf numFmtId="0" fontId="3" fillId="0" borderId="0" xfId="1" applyFont="1" applyAlignment="1" applyProtection="1">
      <alignment vertical="center"/>
    </xf>
    <xf numFmtId="10" fontId="3" fillId="2" borderId="10" xfId="0" applyNumberFormat="1" applyFont="1" applyFill="1" applyBorder="1" applyAlignment="1"/>
    <xf numFmtId="10" fontId="3" fillId="2" borderId="0" xfId="0" applyNumberFormat="1" applyFont="1" applyFill="1" applyBorder="1" applyAlignment="1" applyProtection="1">
      <alignment horizontal="right"/>
      <protection locked="0"/>
    </xf>
    <xf numFmtId="3" fontId="12" fillId="0" borderId="1" xfId="0" applyNumberFormat="1" applyFont="1" applyBorder="1"/>
    <xf numFmtId="169" fontId="12" fillId="2" borderId="0" xfId="0" applyNumberFormat="1" applyFont="1" applyFill="1" applyAlignment="1"/>
    <xf numFmtId="10" fontId="12" fillId="2" borderId="0" xfId="0" applyNumberFormat="1" applyFont="1" applyFill="1" applyAlignment="1"/>
    <xf numFmtId="0" fontId="29" fillId="2" borderId="11" xfId="0" applyNumberFormat="1" applyFont="1" applyFill="1" applyBorder="1" applyAlignment="1"/>
  </cellXfs>
  <cellStyles count="4">
    <cellStyle name="Comma" xfId="3" builtinId="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96969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1095375</xdr:colOff>
      <xdr:row>343</xdr:row>
      <xdr:rowOff>123825</xdr:rowOff>
    </xdr:from>
    <xdr:to>
      <xdr:col>28</xdr:col>
      <xdr:colOff>1895475</xdr:colOff>
      <xdr:row>344</xdr:row>
      <xdr:rowOff>152400</xdr:rowOff>
    </xdr:to>
    <xdr:pic>
      <xdr:nvPicPr>
        <xdr:cNvPr id="2" name="Picture 1" descr="C:\WINDOWS\TEMP\~0003946.gif">
          <a:extLst>
            <a:ext uri="{FF2B5EF4-FFF2-40B4-BE49-F238E27FC236}">
              <a16:creationId xmlns:a16="http://schemas.microsoft.com/office/drawing/2014/main" id="{CDFDEABE-43C7-4B7A-AEAD-7BDE82A8DA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61702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240</xdr:row>
      <xdr:rowOff>152400</xdr:rowOff>
    </xdr:from>
    <xdr:to>
      <xdr:col>28</xdr:col>
      <xdr:colOff>1924050</xdr:colOff>
      <xdr:row>241</xdr:row>
      <xdr:rowOff>180975</xdr:rowOff>
    </xdr:to>
    <xdr:pic>
      <xdr:nvPicPr>
        <xdr:cNvPr id="3" name="Picture 2" descr="C:\WINDOWS\TEMP\~0003946.gif">
          <a:extLst>
            <a:ext uri="{FF2B5EF4-FFF2-40B4-BE49-F238E27FC236}">
              <a16:creationId xmlns:a16="http://schemas.microsoft.com/office/drawing/2014/main" id="{414B9979-325A-46F5-9301-0EB08FAF75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4140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0A9168F7-B77F-4A98-8C77-6C27A078657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26727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3C13B0F-E5E9-4C80-9FCC-3078DBF695D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1187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310403</xdr:colOff>
      <xdr:row>52</xdr:row>
      <xdr:rowOff>142768</xdr:rowOff>
    </xdr:to>
    <xdr:pic>
      <xdr:nvPicPr>
        <xdr:cNvPr id="6" name="Picture 5">
          <a:extLst>
            <a:ext uri="{FF2B5EF4-FFF2-40B4-BE49-F238E27FC236}">
              <a16:creationId xmlns:a16="http://schemas.microsoft.com/office/drawing/2014/main" id="{DCF80780-3B00-475B-BAB4-2782763A5D24}"/>
            </a:ext>
          </a:extLst>
        </xdr:cNvPr>
        <xdr:cNvPicPr>
          <a:picLocks noChangeAspect="1"/>
        </xdr:cNvPicPr>
      </xdr:nvPicPr>
      <xdr:blipFill>
        <a:blip xmlns:r="http://schemas.openxmlformats.org/officeDocument/2006/relationships" r:embed="rId3"/>
        <a:stretch>
          <a:fillRect/>
        </a:stretch>
      </xdr:blipFill>
      <xdr:spPr>
        <a:xfrm>
          <a:off x="139700" y="11830050"/>
          <a:ext cx="170703" cy="22849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206268</xdr:rowOff>
    </xdr:to>
    <xdr:pic>
      <xdr:nvPicPr>
        <xdr:cNvPr id="7" name="Picture 6">
          <a:extLst>
            <a:ext uri="{FF2B5EF4-FFF2-40B4-BE49-F238E27FC236}">
              <a16:creationId xmlns:a16="http://schemas.microsoft.com/office/drawing/2014/main" id="{1624254C-9783-4E4D-9CEC-C1B5ED6D4CB5}"/>
            </a:ext>
          </a:extLst>
        </xdr:cNvPr>
        <xdr:cNvPicPr>
          <a:picLocks noChangeAspect="1"/>
        </xdr:cNvPicPr>
      </xdr:nvPicPr>
      <xdr:blipFill>
        <a:blip xmlns:r="http://schemas.openxmlformats.org/officeDocument/2006/relationships" r:embed="rId3"/>
        <a:stretch>
          <a:fillRect/>
        </a:stretch>
      </xdr:blipFill>
      <xdr:spPr>
        <a:xfrm>
          <a:off x="165100" y="26743025"/>
          <a:ext cx="178323" cy="228493"/>
        </a:xfrm>
        <a:prstGeom prst="rect">
          <a:avLst/>
        </a:prstGeom>
      </xdr:spPr>
    </xdr:pic>
    <xdr:clientData/>
  </xdr:twoCellAnchor>
  <xdr:twoCellAnchor editAs="oneCell">
    <xdr:from>
      <xdr:col>0</xdr:col>
      <xdr:colOff>139700</xdr:colOff>
      <xdr:row>240</xdr:row>
      <xdr:rowOff>152400</xdr:rowOff>
    </xdr:from>
    <xdr:to>
      <xdr:col>0</xdr:col>
      <xdr:colOff>310403</xdr:colOff>
      <xdr:row>241</xdr:row>
      <xdr:rowOff>180868</xdr:rowOff>
    </xdr:to>
    <xdr:pic>
      <xdr:nvPicPr>
        <xdr:cNvPr id="8" name="Picture 7">
          <a:extLst>
            <a:ext uri="{FF2B5EF4-FFF2-40B4-BE49-F238E27FC236}">
              <a16:creationId xmlns:a16="http://schemas.microsoft.com/office/drawing/2014/main" id="{5F66F260-D8ED-449E-B76C-77B135D512E4}"/>
            </a:ext>
          </a:extLst>
        </xdr:cNvPr>
        <xdr:cNvPicPr>
          <a:picLocks noChangeAspect="1"/>
        </xdr:cNvPicPr>
      </xdr:nvPicPr>
      <xdr:blipFill>
        <a:blip xmlns:r="http://schemas.openxmlformats.org/officeDocument/2006/relationships" r:embed="rId3"/>
        <a:stretch>
          <a:fillRect/>
        </a:stretch>
      </xdr:blipFill>
      <xdr:spPr>
        <a:xfrm>
          <a:off x="139700" y="41405175"/>
          <a:ext cx="170703" cy="228493"/>
        </a:xfrm>
        <a:prstGeom prst="rect">
          <a:avLst/>
        </a:prstGeom>
      </xdr:spPr>
    </xdr:pic>
    <xdr:clientData/>
  </xdr:twoCellAnchor>
  <xdr:twoCellAnchor editAs="oneCell">
    <xdr:from>
      <xdr:col>0</xdr:col>
      <xdr:colOff>139700</xdr:colOff>
      <xdr:row>343</xdr:row>
      <xdr:rowOff>127000</xdr:rowOff>
    </xdr:from>
    <xdr:to>
      <xdr:col>0</xdr:col>
      <xdr:colOff>310403</xdr:colOff>
      <xdr:row>344</xdr:row>
      <xdr:rowOff>155468</xdr:rowOff>
    </xdr:to>
    <xdr:pic>
      <xdr:nvPicPr>
        <xdr:cNvPr id="9" name="Picture 8">
          <a:extLst>
            <a:ext uri="{FF2B5EF4-FFF2-40B4-BE49-F238E27FC236}">
              <a16:creationId xmlns:a16="http://schemas.microsoft.com/office/drawing/2014/main" id="{BBC97F04-49EF-419D-8AF0-B29FC6D0C395}"/>
            </a:ext>
          </a:extLst>
        </xdr:cNvPr>
        <xdr:cNvPicPr>
          <a:picLocks noChangeAspect="1"/>
        </xdr:cNvPicPr>
      </xdr:nvPicPr>
      <xdr:blipFill>
        <a:blip xmlns:r="http://schemas.openxmlformats.org/officeDocument/2006/relationships" r:embed="rId3"/>
        <a:stretch>
          <a:fillRect/>
        </a:stretch>
      </xdr:blipFill>
      <xdr:spPr>
        <a:xfrm>
          <a:off x="139700" y="61706125"/>
          <a:ext cx="170703" cy="228493"/>
        </a:xfrm>
        <a:prstGeom prst="rect">
          <a:avLst/>
        </a:prstGeom>
      </xdr:spPr>
    </xdr:pic>
    <xdr:clientData/>
  </xdr:twoCellAnchor>
  <xdr:twoCellAnchor editAs="oneCell">
    <xdr:from>
      <xdr:col>28</xdr:col>
      <xdr:colOff>0</xdr:colOff>
      <xdr:row>343</xdr:row>
      <xdr:rowOff>0</xdr:rowOff>
    </xdr:from>
    <xdr:to>
      <xdr:col>28</xdr:col>
      <xdr:colOff>829128</xdr:colOff>
      <xdr:row>344</xdr:row>
      <xdr:rowOff>89433</xdr:rowOff>
    </xdr:to>
    <xdr:pic>
      <xdr:nvPicPr>
        <xdr:cNvPr id="10" name="Picture 9">
          <a:extLst>
            <a:ext uri="{FF2B5EF4-FFF2-40B4-BE49-F238E27FC236}">
              <a16:creationId xmlns:a16="http://schemas.microsoft.com/office/drawing/2014/main" id="{367DE2CD-08AA-4361-9598-FA6F0CA53046}"/>
            </a:ext>
          </a:extLst>
        </xdr:cNvPr>
        <xdr:cNvPicPr>
          <a:picLocks noChangeAspect="1"/>
        </xdr:cNvPicPr>
      </xdr:nvPicPr>
      <xdr:blipFill>
        <a:blip xmlns:r="http://schemas.openxmlformats.org/officeDocument/2006/relationships" r:embed="rId4"/>
        <a:stretch>
          <a:fillRect/>
        </a:stretch>
      </xdr:blipFill>
      <xdr:spPr>
        <a:xfrm>
          <a:off x="20021550" y="61579125"/>
          <a:ext cx="829128" cy="289458"/>
        </a:xfrm>
        <a:prstGeom prst="rect">
          <a:avLst/>
        </a:prstGeom>
      </xdr:spPr>
    </xdr:pic>
    <xdr:clientData/>
  </xdr:twoCellAnchor>
  <xdr:twoCellAnchor editAs="oneCell">
    <xdr:from>
      <xdr:col>28</xdr:col>
      <xdr:colOff>63500</xdr:colOff>
      <xdr:row>240</xdr:row>
      <xdr:rowOff>88900</xdr:rowOff>
    </xdr:from>
    <xdr:to>
      <xdr:col>28</xdr:col>
      <xdr:colOff>892628</xdr:colOff>
      <xdr:row>241</xdr:row>
      <xdr:rowOff>178333</xdr:rowOff>
    </xdr:to>
    <xdr:pic>
      <xdr:nvPicPr>
        <xdr:cNvPr id="11" name="Picture 10">
          <a:extLst>
            <a:ext uri="{FF2B5EF4-FFF2-40B4-BE49-F238E27FC236}">
              <a16:creationId xmlns:a16="http://schemas.microsoft.com/office/drawing/2014/main" id="{2A884562-C74A-4858-8C2B-6C68333354DC}"/>
            </a:ext>
          </a:extLst>
        </xdr:cNvPr>
        <xdr:cNvPicPr>
          <a:picLocks noChangeAspect="1"/>
        </xdr:cNvPicPr>
      </xdr:nvPicPr>
      <xdr:blipFill>
        <a:blip xmlns:r="http://schemas.openxmlformats.org/officeDocument/2006/relationships" r:embed="rId4"/>
        <a:stretch>
          <a:fillRect/>
        </a:stretch>
      </xdr:blipFill>
      <xdr:spPr>
        <a:xfrm>
          <a:off x="20085050" y="41341675"/>
          <a:ext cx="829128" cy="28945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165633</xdr:rowOff>
    </xdr:to>
    <xdr:pic>
      <xdr:nvPicPr>
        <xdr:cNvPr id="12" name="Picture 11">
          <a:extLst>
            <a:ext uri="{FF2B5EF4-FFF2-40B4-BE49-F238E27FC236}">
              <a16:creationId xmlns:a16="http://schemas.microsoft.com/office/drawing/2014/main" id="{B24BF43B-2EBD-42E7-A83A-E8091FDB6367}"/>
            </a:ext>
          </a:extLst>
        </xdr:cNvPr>
        <xdr:cNvPicPr>
          <a:picLocks noChangeAspect="1"/>
        </xdr:cNvPicPr>
      </xdr:nvPicPr>
      <xdr:blipFill>
        <a:blip xmlns:r="http://schemas.openxmlformats.org/officeDocument/2006/relationships" r:embed="rId4"/>
        <a:stretch>
          <a:fillRect/>
        </a:stretch>
      </xdr:blipFill>
      <xdr:spPr>
        <a:xfrm>
          <a:off x="20046950" y="26641425"/>
          <a:ext cx="829128" cy="289458"/>
        </a:xfrm>
        <a:prstGeom prst="rect">
          <a:avLst/>
        </a:prstGeom>
      </xdr:spPr>
    </xdr:pic>
    <xdr:clientData/>
  </xdr:twoCellAnchor>
  <xdr:twoCellAnchor editAs="oneCell">
    <xdr:from>
      <xdr:col>28</xdr:col>
      <xdr:colOff>0</xdr:colOff>
      <xdr:row>51</xdr:row>
      <xdr:rowOff>0</xdr:rowOff>
    </xdr:from>
    <xdr:to>
      <xdr:col>28</xdr:col>
      <xdr:colOff>829128</xdr:colOff>
      <xdr:row>52</xdr:row>
      <xdr:rowOff>89433</xdr:rowOff>
    </xdr:to>
    <xdr:pic>
      <xdr:nvPicPr>
        <xdr:cNvPr id="13" name="Picture 12">
          <a:extLst>
            <a:ext uri="{FF2B5EF4-FFF2-40B4-BE49-F238E27FC236}">
              <a16:creationId xmlns:a16="http://schemas.microsoft.com/office/drawing/2014/main" id="{EEE9F4D2-2830-47B0-83E5-6DA763D298B2}"/>
            </a:ext>
          </a:extLst>
        </xdr:cNvPr>
        <xdr:cNvPicPr>
          <a:picLocks noChangeAspect="1"/>
        </xdr:cNvPicPr>
      </xdr:nvPicPr>
      <xdr:blipFill>
        <a:blip xmlns:r="http://schemas.openxmlformats.org/officeDocument/2006/relationships" r:embed="rId4"/>
        <a:stretch>
          <a:fillRect/>
        </a:stretch>
      </xdr:blipFill>
      <xdr:spPr>
        <a:xfrm>
          <a:off x="20021550" y="11715750"/>
          <a:ext cx="829128" cy="2894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89CAF24A-69CB-40C0-948C-C54C8ED005C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432125" y="49872900"/>
          <a:ext cx="80010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0152B9C0-B98C-4F8B-8A4A-EC10B6177B3A}"/>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457525" y="28038425"/>
          <a:ext cx="80010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DDD41AE8-EEFF-48DE-BF22-95E12F6E424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457525" y="10655300"/>
          <a:ext cx="80010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307863</xdr:colOff>
      <xdr:row>52</xdr:row>
      <xdr:rowOff>146578</xdr:rowOff>
    </xdr:to>
    <xdr:pic>
      <xdr:nvPicPr>
        <xdr:cNvPr id="6" name="Picture 5">
          <a:extLst>
            <a:ext uri="{FF2B5EF4-FFF2-40B4-BE49-F238E27FC236}">
              <a16:creationId xmlns:a16="http://schemas.microsoft.com/office/drawing/2014/main" id="{0C9999CC-C31C-4E98-9886-8BAD63CDE3D1}"/>
            </a:ext>
          </a:extLst>
        </xdr:cNvPr>
        <xdr:cNvPicPr>
          <a:picLocks noChangeAspect="1"/>
        </xdr:cNvPicPr>
      </xdr:nvPicPr>
      <xdr:blipFill>
        <a:blip xmlns:r="http://schemas.openxmlformats.org/officeDocument/2006/relationships" r:embed="rId3"/>
        <a:stretch>
          <a:fillRect/>
        </a:stretch>
      </xdr:blipFill>
      <xdr:spPr>
        <a:xfrm>
          <a:off x="142875" y="10610850"/>
          <a:ext cx="171338"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220873</xdr:rowOff>
    </xdr:to>
    <xdr:pic>
      <xdr:nvPicPr>
        <xdr:cNvPr id="7" name="Picture 6">
          <a:extLst>
            <a:ext uri="{FF2B5EF4-FFF2-40B4-BE49-F238E27FC236}">
              <a16:creationId xmlns:a16="http://schemas.microsoft.com/office/drawing/2014/main" id="{855693DD-7D7D-49D1-AA8F-B7860F0C9ECF}"/>
            </a:ext>
          </a:extLst>
        </xdr:cNvPr>
        <xdr:cNvPicPr>
          <a:picLocks noChangeAspect="1"/>
        </xdr:cNvPicPr>
      </xdr:nvPicPr>
      <xdr:blipFill>
        <a:blip xmlns:r="http://schemas.openxmlformats.org/officeDocument/2006/relationships" r:embed="rId3"/>
        <a:stretch>
          <a:fillRect/>
        </a:stretch>
      </xdr:blipFill>
      <xdr:spPr>
        <a:xfrm>
          <a:off x="161925" y="28060650"/>
          <a:ext cx="171973" cy="226588"/>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184678</xdr:rowOff>
    </xdr:to>
    <xdr:pic>
      <xdr:nvPicPr>
        <xdr:cNvPr id="8" name="Picture 7">
          <a:extLst>
            <a:ext uri="{FF2B5EF4-FFF2-40B4-BE49-F238E27FC236}">
              <a16:creationId xmlns:a16="http://schemas.microsoft.com/office/drawing/2014/main" id="{7EE55E6B-4B42-4CF5-BED7-BF817EC91292}"/>
            </a:ext>
          </a:extLst>
        </xdr:cNvPr>
        <xdr:cNvPicPr>
          <a:picLocks noChangeAspect="1"/>
        </xdr:cNvPicPr>
      </xdr:nvPicPr>
      <xdr:blipFill>
        <a:blip xmlns:r="http://schemas.openxmlformats.org/officeDocument/2006/relationships" r:embed="rId3"/>
        <a:stretch>
          <a:fillRect/>
        </a:stretch>
      </xdr:blipFill>
      <xdr:spPr>
        <a:xfrm>
          <a:off x="142875" y="49872900"/>
          <a:ext cx="171338" cy="218968"/>
        </a:xfrm>
        <a:prstGeom prst="rect">
          <a:avLst/>
        </a:prstGeom>
      </xdr:spPr>
    </xdr:pic>
    <xdr:clientData/>
  </xdr:twoCellAnchor>
  <xdr:twoCellAnchor editAs="oneCell">
    <xdr:from>
      <xdr:col>0</xdr:col>
      <xdr:colOff>139700</xdr:colOff>
      <xdr:row>374</xdr:row>
      <xdr:rowOff>127000</xdr:rowOff>
    </xdr:from>
    <xdr:to>
      <xdr:col>0</xdr:col>
      <xdr:colOff>307863</xdr:colOff>
      <xdr:row>375</xdr:row>
      <xdr:rowOff>155468</xdr:rowOff>
    </xdr:to>
    <xdr:pic>
      <xdr:nvPicPr>
        <xdr:cNvPr id="9" name="Picture 8">
          <a:extLst>
            <a:ext uri="{FF2B5EF4-FFF2-40B4-BE49-F238E27FC236}">
              <a16:creationId xmlns:a16="http://schemas.microsoft.com/office/drawing/2014/main" id="{EC8C19C4-2826-4064-9F85-AD07DEAE1FCD}"/>
            </a:ext>
          </a:extLst>
        </xdr:cNvPr>
        <xdr:cNvPicPr>
          <a:picLocks noChangeAspect="1"/>
        </xdr:cNvPicPr>
      </xdr:nvPicPr>
      <xdr:blipFill>
        <a:blip xmlns:r="http://schemas.openxmlformats.org/officeDocument/2006/relationships" r:embed="rId3"/>
        <a:stretch>
          <a:fillRect/>
        </a:stretch>
      </xdr:blipFill>
      <xdr:spPr>
        <a:xfrm>
          <a:off x="142875" y="76400025"/>
          <a:ext cx="171338" cy="231668"/>
        </a:xfrm>
        <a:prstGeom prst="rect">
          <a:avLst/>
        </a:prstGeom>
      </xdr:spPr>
    </xdr:pic>
    <xdr:clientData/>
  </xdr:twoCellAnchor>
  <xdr:twoCellAnchor editAs="oneCell">
    <xdr:from>
      <xdr:col>28</xdr:col>
      <xdr:colOff>0</xdr:colOff>
      <xdr:row>374</xdr:row>
      <xdr:rowOff>0</xdr:rowOff>
    </xdr:from>
    <xdr:to>
      <xdr:col>28</xdr:col>
      <xdr:colOff>832938</xdr:colOff>
      <xdr:row>375</xdr:row>
      <xdr:rowOff>107848</xdr:rowOff>
    </xdr:to>
    <xdr:pic>
      <xdr:nvPicPr>
        <xdr:cNvPr id="10" name="Picture 9">
          <a:extLst>
            <a:ext uri="{FF2B5EF4-FFF2-40B4-BE49-F238E27FC236}">
              <a16:creationId xmlns:a16="http://schemas.microsoft.com/office/drawing/2014/main" id="{B86F8F83-1DFD-40D5-B631-A71EDF813C6D}"/>
            </a:ext>
          </a:extLst>
        </xdr:cNvPr>
        <xdr:cNvPicPr>
          <a:picLocks noChangeAspect="1"/>
        </xdr:cNvPicPr>
      </xdr:nvPicPr>
      <xdr:blipFill>
        <a:blip xmlns:r="http://schemas.openxmlformats.org/officeDocument/2006/relationships" r:embed="rId4"/>
        <a:stretch>
          <a:fillRect/>
        </a:stretch>
      </xdr:blipFill>
      <xdr:spPr>
        <a:xfrm>
          <a:off x="27308175" y="76276200"/>
          <a:ext cx="821508" cy="296443"/>
        </a:xfrm>
        <a:prstGeom prst="rect">
          <a:avLst/>
        </a:prstGeom>
      </xdr:spPr>
    </xdr:pic>
    <xdr:clientData/>
  </xdr:twoCellAnchor>
  <xdr:twoCellAnchor editAs="oneCell">
    <xdr:from>
      <xdr:col>28</xdr:col>
      <xdr:colOff>63500</xdr:colOff>
      <xdr:row>242</xdr:row>
      <xdr:rowOff>88900</xdr:rowOff>
    </xdr:from>
    <xdr:to>
      <xdr:col>28</xdr:col>
      <xdr:colOff>907868</xdr:colOff>
      <xdr:row>243</xdr:row>
      <xdr:rowOff>185953</xdr:rowOff>
    </xdr:to>
    <xdr:pic>
      <xdr:nvPicPr>
        <xdr:cNvPr id="11" name="Picture 10">
          <a:extLst>
            <a:ext uri="{FF2B5EF4-FFF2-40B4-BE49-F238E27FC236}">
              <a16:creationId xmlns:a16="http://schemas.microsoft.com/office/drawing/2014/main" id="{073413CE-B9E4-495A-8578-F51AA3E74EC3}"/>
            </a:ext>
          </a:extLst>
        </xdr:cNvPr>
        <xdr:cNvPicPr>
          <a:picLocks noChangeAspect="1"/>
        </xdr:cNvPicPr>
      </xdr:nvPicPr>
      <xdr:blipFill>
        <a:blip xmlns:r="http://schemas.openxmlformats.org/officeDocument/2006/relationships" r:embed="rId4"/>
        <a:stretch>
          <a:fillRect/>
        </a:stretch>
      </xdr:blipFill>
      <xdr:spPr>
        <a:xfrm>
          <a:off x="27374850" y="49806225"/>
          <a:ext cx="829763" cy="288823"/>
        </a:xfrm>
        <a:prstGeom prst="rect">
          <a:avLst/>
        </a:prstGeom>
      </xdr:spPr>
    </xdr:pic>
    <xdr:clientData/>
  </xdr:twoCellAnchor>
  <xdr:twoCellAnchor editAs="oneCell">
    <xdr:from>
      <xdr:col>28</xdr:col>
      <xdr:colOff>25400</xdr:colOff>
      <xdr:row>133</xdr:row>
      <xdr:rowOff>76200</xdr:rowOff>
    </xdr:from>
    <xdr:to>
      <xdr:col>28</xdr:col>
      <xdr:colOff>869768</xdr:colOff>
      <xdr:row>134</xdr:row>
      <xdr:rowOff>184048</xdr:rowOff>
    </xdr:to>
    <xdr:pic>
      <xdr:nvPicPr>
        <xdr:cNvPr id="12" name="Picture 11">
          <a:extLst>
            <a:ext uri="{FF2B5EF4-FFF2-40B4-BE49-F238E27FC236}">
              <a16:creationId xmlns:a16="http://schemas.microsoft.com/office/drawing/2014/main" id="{A8489057-0126-488A-9E26-0F3C4B2EDC8A}"/>
            </a:ext>
          </a:extLst>
        </xdr:cNvPr>
        <xdr:cNvPicPr>
          <a:picLocks noChangeAspect="1"/>
        </xdr:cNvPicPr>
      </xdr:nvPicPr>
      <xdr:blipFill>
        <a:blip xmlns:r="http://schemas.openxmlformats.org/officeDocument/2006/relationships" r:embed="rId4"/>
        <a:stretch>
          <a:fillRect/>
        </a:stretch>
      </xdr:blipFill>
      <xdr:spPr>
        <a:xfrm>
          <a:off x="27336750" y="27955875"/>
          <a:ext cx="829763" cy="296443"/>
        </a:xfrm>
        <a:prstGeom prst="rect">
          <a:avLst/>
        </a:prstGeom>
      </xdr:spPr>
    </xdr:pic>
    <xdr:clientData/>
  </xdr:twoCellAnchor>
  <xdr:twoCellAnchor editAs="oneCell">
    <xdr:from>
      <xdr:col>28</xdr:col>
      <xdr:colOff>0</xdr:colOff>
      <xdr:row>51</xdr:row>
      <xdr:rowOff>0</xdr:rowOff>
    </xdr:from>
    <xdr:to>
      <xdr:col>28</xdr:col>
      <xdr:colOff>832938</xdr:colOff>
      <xdr:row>52</xdr:row>
      <xdr:rowOff>107848</xdr:rowOff>
    </xdr:to>
    <xdr:pic>
      <xdr:nvPicPr>
        <xdr:cNvPr id="13" name="Picture 12">
          <a:extLst>
            <a:ext uri="{FF2B5EF4-FFF2-40B4-BE49-F238E27FC236}">
              <a16:creationId xmlns:a16="http://schemas.microsoft.com/office/drawing/2014/main" id="{3F6F061F-9DCB-4661-8374-045C2E0B6B55}"/>
            </a:ext>
          </a:extLst>
        </xdr:cNvPr>
        <xdr:cNvPicPr>
          <a:picLocks noChangeAspect="1"/>
        </xdr:cNvPicPr>
      </xdr:nvPicPr>
      <xdr:blipFill>
        <a:blip xmlns:r="http://schemas.openxmlformats.org/officeDocument/2006/relationships" r:embed="rId4"/>
        <a:stretch>
          <a:fillRect/>
        </a:stretch>
      </xdr:blipFill>
      <xdr:spPr>
        <a:xfrm>
          <a:off x="27308175" y="10496550"/>
          <a:ext cx="821508" cy="2964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308498</xdr:colOff>
      <xdr:row>52</xdr:row>
      <xdr:rowOff>146578</xdr:rowOff>
    </xdr:to>
    <xdr:pic>
      <xdr:nvPicPr>
        <xdr:cNvPr id="5" name="Picture 4">
          <a:extLst>
            <a:ext uri="{FF2B5EF4-FFF2-40B4-BE49-F238E27FC236}">
              <a16:creationId xmlns:a16="http://schemas.microsoft.com/office/drawing/2014/main" id="{29298C53-BA26-4711-9957-C0D3F3CFF9A1}"/>
            </a:ext>
          </a:extLst>
        </xdr:cNvPr>
        <xdr:cNvPicPr>
          <a:picLocks noChangeAspect="1"/>
        </xdr:cNvPicPr>
      </xdr:nvPicPr>
      <xdr:blipFill>
        <a:blip xmlns:r="http://schemas.openxmlformats.org/officeDocument/2006/relationships" r:embed="rId1"/>
        <a:stretch>
          <a:fillRect/>
        </a:stretch>
      </xdr:blipFill>
      <xdr:spPr>
        <a:xfrm>
          <a:off x="142875" y="10610850"/>
          <a:ext cx="171338"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220873</xdr:rowOff>
    </xdr:to>
    <xdr:pic>
      <xdr:nvPicPr>
        <xdr:cNvPr id="6" name="Picture 5">
          <a:extLst>
            <a:ext uri="{FF2B5EF4-FFF2-40B4-BE49-F238E27FC236}">
              <a16:creationId xmlns:a16="http://schemas.microsoft.com/office/drawing/2014/main" id="{47B87EE9-7812-47C6-8ED7-F4A29C55FEE0}"/>
            </a:ext>
          </a:extLst>
        </xdr:cNvPr>
        <xdr:cNvPicPr>
          <a:picLocks noChangeAspect="1"/>
        </xdr:cNvPicPr>
      </xdr:nvPicPr>
      <xdr:blipFill>
        <a:blip xmlns:r="http://schemas.openxmlformats.org/officeDocument/2006/relationships" r:embed="rId1"/>
        <a:stretch>
          <a:fillRect/>
        </a:stretch>
      </xdr:blipFill>
      <xdr:spPr>
        <a:xfrm>
          <a:off x="161925" y="28051125"/>
          <a:ext cx="171973" cy="226588"/>
        </a:xfrm>
        <a:prstGeom prst="rect">
          <a:avLst/>
        </a:prstGeom>
      </xdr:spPr>
    </xdr:pic>
    <xdr:clientData/>
  </xdr:twoCellAnchor>
  <xdr:twoCellAnchor editAs="oneCell">
    <xdr:from>
      <xdr:col>0</xdr:col>
      <xdr:colOff>139700</xdr:colOff>
      <xdr:row>242</xdr:row>
      <xdr:rowOff>152400</xdr:rowOff>
    </xdr:from>
    <xdr:to>
      <xdr:col>0</xdr:col>
      <xdr:colOff>308498</xdr:colOff>
      <xdr:row>243</xdr:row>
      <xdr:rowOff>184678</xdr:rowOff>
    </xdr:to>
    <xdr:pic>
      <xdr:nvPicPr>
        <xdr:cNvPr id="7" name="Picture 6">
          <a:extLst>
            <a:ext uri="{FF2B5EF4-FFF2-40B4-BE49-F238E27FC236}">
              <a16:creationId xmlns:a16="http://schemas.microsoft.com/office/drawing/2014/main" id="{A2ED2C74-D7A2-4360-A8DB-D1D528B3ACDF}"/>
            </a:ext>
          </a:extLst>
        </xdr:cNvPr>
        <xdr:cNvPicPr>
          <a:picLocks noChangeAspect="1"/>
        </xdr:cNvPicPr>
      </xdr:nvPicPr>
      <xdr:blipFill>
        <a:blip xmlns:r="http://schemas.openxmlformats.org/officeDocument/2006/relationships" r:embed="rId1"/>
        <a:stretch>
          <a:fillRect/>
        </a:stretch>
      </xdr:blipFill>
      <xdr:spPr>
        <a:xfrm>
          <a:off x="142875" y="49863375"/>
          <a:ext cx="171338" cy="218968"/>
        </a:xfrm>
        <a:prstGeom prst="rect">
          <a:avLst/>
        </a:prstGeom>
      </xdr:spPr>
    </xdr:pic>
    <xdr:clientData/>
  </xdr:twoCellAnchor>
  <xdr:twoCellAnchor editAs="oneCell">
    <xdr:from>
      <xdr:col>0</xdr:col>
      <xdr:colOff>139700</xdr:colOff>
      <xdr:row>374</xdr:row>
      <xdr:rowOff>127000</xdr:rowOff>
    </xdr:from>
    <xdr:to>
      <xdr:col>0</xdr:col>
      <xdr:colOff>308498</xdr:colOff>
      <xdr:row>375</xdr:row>
      <xdr:rowOff>155468</xdr:rowOff>
    </xdr:to>
    <xdr:pic>
      <xdr:nvPicPr>
        <xdr:cNvPr id="8" name="Picture 7">
          <a:extLst>
            <a:ext uri="{FF2B5EF4-FFF2-40B4-BE49-F238E27FC236}">
              <a16:creationId xmlns:a16="http://schemas.microsoft.com/office/drawing/2014/main" id="{44BA84C0-7B16-4BE0-9B32-1C145218ECC6}"/>
            </a:ext>
          </a:extLst>
        </xdr:cNvPr>
        <xdr:cNvPicPr>
          <a:picLocks noChangeAspect="1"/>
        </xdr:cNvPicPr>
      </xdr:nvPicPr>
      <xdr:blipFill>
        <a:blip xmlns:r="http://schemas.openxmlformats.org/officeDocument/2006/relationships" r:embed="rId1"/>
        <a:stretch>
          <a:fillRect/>
        </a:stretch>
      </xdr:blipFill>
      <xdr:spPr>
        <a:xfrm>
          <a:off x="142875" y="76390500"/>
          <a:ext cx="171338" cy="231668"/>
        </a:xfrm>
        <a:prstGeom prst="rect">
          <a:avLst/>
        </a:prstGeom>
      </xdr:spPr>
    </xdr:pic>
    <xdr:clientData/>
  </xdr:twoCellAnchor>
  <xdr:twoCellAnchor editAs="oneCell">
    <xdr:from>
      <xdr:col>28</xdr:col>
      <xdr:colOff>0</xdr:colOff>
      <xdr:row>374</xdr:row>
      <xdr:rowOff>0</xdr:rowOff>
    </xdr:from>
    <xdr:to>
      <xdr:col>28</xdr:col>
      <xdr:colOff>832938</xdr:colOff>
      <xdr:row>375</xdr:row>
      <xdr:rowOff>107848</xdr:rowOff>
    </xdr:to>
    <xdr:pic>
      <xdr:nvPicPr>
        <xdr:cNvPr id="9" name="Picture 8">
          <a:extLst>
            <a:ext uri="{FF2B5EF4-FFF2-40B4-BE49-F238E27FC236}">
              <a16:creationId xmlns:a16="http://schemas.microsoft.com/office/drawing/2014/main" id="{80CD61DF-FA92-4E03-9E75-78D91C058CAA}"/>
            </a:ext>
          </a:extLst>
        </xdr:cNvPr>
        <xdr:cNvPicPr>
          <a:picLocks noChangeAspect="1"/>
        </xdr:cNvPicPr>
      </xdr:nvPicPr>
      <xdr:blipFill>
        <a:blip xmlns:r="http://schemas.openxmlformats.org/officeDocument/2006/relationships" r:embed="rId2"/>
        <a:stretch>
          <a:fillRect/>
        </a:stretch>
      </xdr:blipFill>
      <xdr:spPr>
        <a:xfrm>
          <a:off x="27298650" y="76266675"/>
          <a:ext cx="821508" cy="296443"/>
        </a:xfrm>
        <a:prstGeom prst="rect">
          <a:avLst/>
        </a:prstGeom>
      </xdr:spPr>
    </xdr:pic>
    <xdr:clientData/>
  </xdr:twoCellAnchor>
  <xdr:twoCellAnchor editAs="oneCell">
    <xdr:from>
      <xdr:col>28</xdr:col>
      <xdr:colOff>63500</xdr:colOff>
      <xdr:row>242</xdr:row>
      <xdr:rowOff>88900</xdr:rowOff>
    </xdr:from>
    <xdr:to>
      <xdr:col>28</xdr:col>
      <xdr:colOff>907868</xdr:colOff>
      <xdr:row>243</xdr:row>
      <xdr:rowOff>185953</xdr:rowOff>
    </xdr:to>
    <xdr:pic>
      <xdr:nvPicPr>
        <xdr:cNvPr id="10" name="Picture 9">
          <a:extLst>
            <a:ext uri="{FF2B5EF4-FFF2-40B4-BE49-F238E27FC236}">
              <a16:creationId xmlns:a16="http://schemas.microsoft.com/office/drawing/2014/main" id="{A5EB8AE0-AC6C-4E92-B270-7B7B821CB154}"/>
            </a:ext>
          </a:extLst>
        </xdr:cNvPr>
        <xdr:cNvPicPr>
          <a:picLocks noChangeAspect="1"/>
        </xdr:cNvPicPr>
      </xdr:nvPicPr>
      <xdr:blipFill>
        <a:blip xmlns:r="http://schemas.openxmlformats.org/officeDocument/2006/relationships" r:embed="rId2"/>
        <a:stretch>
          <a:fillRect/>
        </a:stretch>
      </xdr:blipFill>
      <xdr:spPr>
        <a:xfrm>
          <a:off x="27365325" y="49796700"/>
          <a:ext cx="829763" cy="288823"/>
        </a:xfrm>
        <a:prstGeom prst="rect">
          <a:avLst/>
        </a:prstGeom>
      </xdr:spPr>
    </xdr:pic>
    <xdr:clientData/>
  </xdr:twoCellAnchor>
  <xdr:twoCellAnchor editAs="oneCell">
    <xdr:from>
      <xdr:col>28</xdr:col>
      <xdr:colOff>25400</xdr:colOff>
      <xdr:row>133</xdr:row>
      <xdr:rowOff>76200</xdr:rowOff>
    </xdr:from>
    <xdr:to>
      <xdr:col>28</xdr:col>
      <xdr:colOff>869768</xdr:colOff>
      <xdr:row>134</xdr:row>
      <xdr:rowOff>184048</xdr:rowOff>
    </xdr:to>
    <xdr:pic>
      <xdr:nvPicPr>
        <xdr:cNvPr id="11" name="Picture 10">
          <a:extLst>
            <a:ext uri="{FF2B5EF4-FFF2-40B4-BE49-F238E27FC236}">
              <a16:creationId xmlns:a16="http://schemas.microsoft.com/office/drawing/2014/main" id="{008EF594-34B7-4B1F-B5A6-E0417EB0BF0A}"/>
            </a:ext>
          </a:extLst>
        </xdr:cNvPr>
        <xdr:cNvPicPr>
          <a:picLocks noChangeAspect="1"/>
        </xdr:cNvPicPr>
      </xdr:nvPicPr>
      <xdr:blipFill>
        <a:blip xmlns:r="http://schemas.openxmlformats.org/officeDocument/2006/relationships" r:embed="rId2"/>
        <a:stretch>
          <a:fillRect/>
        </a:stretch>
      </xdr:blipFill>
      <xdr:spPr>
        <a:xfrm>
          <a:off x="27327225" y="27946350"/>
          <a:ext cx="829763" cy="296443"/>
        </a:xfrm>
        <a:prstGeom prst="rect">
          <a:avLst/>
        </a:prstGeom>
      </xdr:spPr>
    </xdr:pic>
    <xdr:clientData/>
  </xdr:twoCellAnchor>
  <xdr:twoCellAnchor editAs="oneCell">
    <xdr:from>
      <xdr:col>28</xdr:col>
      <xdr:colOff>0</xdr:colOff>
      <xdr:row>51</xdr:row>
      <xdr:rowOff>0</xdr:rowOff>
    </xdr:from>
    <xdr:to>
      <xdr:col>28</xdr:col>
      <xdr:colOff>832938</xdr:colOff>
      <xdr:row>52</xdr:row>
      <xdr:rowOff>107848</xdr:rowOff>
    </xdr:to>
    <xdr:pic>
      <xdr:nvPicPr>
        <xdr:cNvPr id="12" name="Picture 11">
          <a:extLst>
            <a:ext uri="{FF2B5EF4-FFF2-40B4-BE49-F238E27FC236}">
              <a16:creationId xmlns:a16="http://schemas.microsoft.com/office/drawing/2014/main" id="{D7D25E2B-ED08-41D5-9C2D-0887A481E088}"/>
            </a:ext>
          </a:extLst>
        </xdr:cNvPr>
        <xdr:cNvPicPr>
          <a:picLocks noChangeAspect="1"/>
        </xdr:cNvPicPr>
      </xdr:nvPicPr>
      <xdr:blipFill>
        <a:blip xmlns:r="http://schemas.openxmlformats.org/officeDocument/2006/relationships" r:embed="rId2"/>
        <a:stretch>
          <a:fillRect/>
        </a:stretch>
      </xdr:blipFill>
      <xdr:spPr>
        <a:xfrm>
          <a:off x="27298650" y="10496550"/>
          <a:ext cx="821508" cy="2964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146578</xdr:rowOff>
    </xdr:to>
    <xdr:pic>
      <xdr:nvPicPr>
        <xdr:cNvPr id="2" name="Picture 1">
          <a:extLst>
            <a:ext uri="{FF2B5EF4-FFF2-40B4-BE49-F238E27FC236}">
              <a16:creationId xmlns:a16="http://schemas.microsoft.com/office/drawing/2014/main" id="{CCEF50A5-DF2A-48CB-93FF-9D574CF09709}"/>
            </a:ext>
          </a:extLst>
        </xdr:cNvPr>
        <xdr:cNvPicPr>
          <a:picLocks noChangeAspect="1"/>
        </xdr:cNvPicPr>
      </xdr:nvPicPr>
      <xdr:blipFill>
        <a:blip xmlns:r="http://schemas.openxmlformats.org/officeDocument/2006/relationships" r:embed="rId1"/>
        <a:stretch>
          <a:fillRect/>
        </a:stretch>
      </xdr:blipFill>
      <xdr:spPr>
        <a:xfrm>
          <a:off x="142875" y="10610850"/>
          <a:ext cx="174513"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220873</xdr:rowOff>
    </xdr:to>
    <xdr:pic>
      <xdr:nvPicPr>
        <xdr:cNvPr id="3" name="Picture 2">
          <a:extLst>
            <a:ext uri="{FF2B5EF4-FFF2-40B4-BE49-F238E27FC236}">
              <a16:creationId xmlns:a16="http://schemas.microsoft.com/office/drawing/2014/main" id="{FDCAA524-5532-4B9F-80C6-AC2057DC91F3}"/>
            </a:ext>
          </a:extLst>
        </xdr:cNvPr>
        <xdr:cNvPicPr>
          <a:picLocks noChangeAspect="1"/>
        </xdr:cNvPicPr>
      </xdr:nvPicPr>
      <xdr:blipFill>
        <a:blip xmlns:r="http://schemas.openxmlformats.org/officeDocument/2006/relationships" r:embed="rId1"/>
        <a:stretch>
          <a:fillRect/>
        </a:stretch>
      </xdr:blipFill>
      <xdr:spPr>
        <a:xfrm>
          <a:off x="161925" y="28060650"/>
          <a:ext cx="171973" cy="226588"/>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184678</xdr:rowOff>
    </xdr:to>
    <xdr:pic>
      <xdr:nvPicPr>
        <xdr:cNvPr id="4" name="Picture 3">
          <a:extLst>
            <a:ext uri="{FF2B5EF4-FFF2-40B4-BE49-F238E27FC236}">
              <a16:creationId xmlns:a16="http://schemas.microsoft.com/office/drawing/2014/main" id="{6AE62B5B-6032-4351-AD3D-3E43D3C47124}"/>
            </a:ext>
          </a:extLst>
        </xdr:cNvPr>
        <xdr:cNvPicPr>
          <a:picLocks noChangeAspect="1"/>
        </xdr:cNvPicPr>
      </xdr:nvPicPr>
      <xdr:blipFill>
        <a:blip xmlns:r="http://schemas.openxmlformats.org/officeDocument/2006/relationships" r:embed="rId1"/>
        <a:stretch>
          <a:fillRect/>
        </a:stretch>
      </xdr:blipFill>
      <xdr:spPr>
        <a:xfrm>
          <a:off x="142875" y="49872900"/>
          <a:ext cx="174513" cy="218968"/>
        </a:xfrm>
        <a:prstGeom prst="rect">
          <a:avLst/>
        </a:prstGeom>
      </xdr:spPr>
    </xdr:pic>
    <xdr:clientData/>
  </xdr:twoCellAnchor>
  <xdr:twoCellAnchor editAs="oneCell">
    <xdr:from>
      <xdr:col>0</xdr:col>
      <xdr:colOff>139700</xdr:colOff>
      <xdr:row>374</xdr:row>
      <xdr:rowOff>127000</xdr:rowOff>
    </xdr:from>
    <xdr:to>
      <xdr:col>0</xdr:col>
      <xdr:colOff>307863</xdr:colOff>
      <xdr:row>375</xdr:row>
      <xdr:rowOff>155468</xdr:rowOff>
    </xdr:to>
    <xdr:pic>
      <xdr:nvPicPr>
        <xdr:cNvPr id="5" name="Picture 4">
          <a:extLst>
            <a:ext uri="{FF2B5EF4-FFF2-40B4-BE49-F238E27FC236}">
              <a16:creationId xmlns:a16="http://schemas.microsoft.com/office/drawing/2014/main" id="{93914F30-0E22-4708-B898-6D40F82E3E74}"/>
            </a:ext>
          </a:extLst>
        </xdr:cNvPr>
        <xdr:cNvPicPr>
          <a:picLocks noChangeAspect="1"/>
        </xdr:cNvPicPr>
      </xdr:nvPicPr>
      <xdr:blipFill>
        <a:blip xmlns:r="http://schemas.openxmlformats.org/officeDocument/2006/relationships" r:embed="rId1"/>
        <a:stretch>
          <a:fillRect/>
        </a:stretch>
      </xdr:blipFill>
      <xdr:spPr>
        <a:xfrm>
          <a:off x="142875" y="76400025"/>
          <a:ext cx="174513" cy="231668"/>
        </a:xfrm>
        <a:prstGeom prst="rect">
          <a:avLst/>
        </a:prstGeom>
      </xdr:spPr>
    </xdr:pic>
    <xdr:clientData/>
  </xdr:twoCellAnchor>
  <xdr:twoCellAnchor editAs="oneCell">
    <xdr:from>
      <xdr:col>28</xdr:col>
      <xdr:colOff>0</xdr:colOff>
      <xdr:row>374</xdr:row>
      <xdr:rowOff>0</xdr:rowOff>
    </xdr:from>
    <xdr:to>
      <xdr:col>28</xdr:col>
      <xdr:colOff>832938</xdr:colOff>
      <xdr:row>375</xdr:row>
      <xdr:rowOff>107848</xdr:rowOff>
    </xdr:to>
    <xdr:pic>
      <xdr:nvPicPr>
        <xdr:cNvPr id="6" name="Picture 5">
          <a:extLst>
            <a:ext uri="{FF2B5EF4-FFF2-40B4-BE49-F238E27FC236}">
              <a16:creationId xmlns:a16="http://schemas.microsoft.com/office/drawing/2014/main" id="{541B9C5C-6672-4843-9020-80829542D1E4}"/>
            </a:ext>
          </a:extLst>
        </xdr:cNvPr>
        <xdr:cNvPicPr>
          <a:picLocks noChangeAspect="1"/>
        </xdr:cNvPicPr>
      </xdr:nvPicPr>
      <xdr:blipFill>
        <a:blip xmlns:r="http://schemas.openxmlformats.org/officeDocument/2006/relationships" r:embed="rId2"/>
        <a:stretch>
          <a:fillRect/>
        </a:stretch>
      </xdr:blipFill>
      <xdr:spPr>
        <a:xfrm>
          <a:off x="27251025" y="76276200"/>
          <a:ext cx="821508" cy="296443"/>
        </a:xfrm>
        <a:prstGeom prst="rect">
          <a:avLst/>
        </a:prstGeom>
      </xdr:spPr>
    </xdr:pic>
    <xdr:clientData/>
  </xdr:twoCellAnchor>
  <xdr:twoCellAnchor editAs="oneCell">
    <xdr:from>
      <xdr:col>28</xdr:col>
      <xdr:colOff>63500</xdr:colOff>
      <xdr:row>242</xdr:row>
      <xdr:rowOff>88900</xdr:rowOff>
    </xdr:from>
    <xdr:to>
      <xdr:col>28</xdr:col>
      <xdr:colOff>907868</xdr:colOff>
      <xdr:row>243</xdr:row>
      <xdr:rowOff>185953</xdr:rowOff>
    </xdr:to>
    <xdr:pic>
      <xdr:nvPicPr>
        <xdr:cNvPr id="7" name="Picture 6">
          <a:extLst>
            <a:ext uri="{FF2B5EF4-FFF2-40B4-BE49-F238E27FC236}">
              <a16:creationId xmlns:a16="http://schemas.microsoft.com/office/drawing/2014/main" id="{D0412780-F687-434A-A16F-636AA8C32496}"/>
            </a:ext>
          </a:extLst>
        </xdr:cNvPr>
        <xdr:cNvPicPr>
          <a:picLocks noChangeAspect="1"/>
        </xdr:cNvPicPr>
      </xdr:nvPicPr>
      <xdr:blipFill>
        <a:blip xmlns:r="http://schemas.openxmlformats.org/officeDocument/2006/relationships" r:embed="rId2"/>
        <a:stretch>
          <a:fillRect/>
        </a:stretch>
      </xdr:blipFill>
      <xdr:spPr>
        <a:xfrm>
          <a:off x="27317700" y="49806225"/>
          <a:ext cx="829763" cy="288823"/>
        </a:xfrm>
        <a:prstGeom prst="rect">
          <a:avLst/>
        </a:prstGeom>
      </xdr:spPr>
    </xdr:pic>
    <xdr:clientData/>
  </xdr:twoCellAnchor>
  <xdr:twoCellAnchor editAs="oneCell">
    <xdr:from>
      <xdr:col>28</xdr:col>
      <xdr:colOff>25400</xdr:colOff>
      <xdr:row>133</xdr:row>
      <xdr:rowOff>76200</xdr:rowOff>
    </xdr:from>
    <xdr:to>
      <xdr:col>28</xdr:col>
      <xdr:colOff>869768</xdr:colOff>
      <xdr:row>134</xdr:row>
      <xdr:rowOff>184048</xdr:rowOff>
    </xdr:to>
    <xdr:pic>
      <xdr:nvPicPr>
        <xdr:cNvPr id="8" name="Picture 7">
          <a:extLst>
            <a:ext uri="{FF2B5EF4-FFF2-40B4-BE49-F238E27FC236}">
              <a16:creationId xmlns:a16="http://schemas.microsoft.com/office/drawing/2014/main" id="{F7CB700E-04DC-4E1C-823E-B3627F674F04}"/>
            </a:ext>
          </a:extLst>
        </xdr:cNvPr>
        <xdr:cNvPicPr>
          <a:picLocks noChangeAspect="1"/>
        </xdr:cNvPicPr>
      </xdr:nvPicPr>
      <xdr:blipFill>
        <a:blip xmlns:r="http://schemas.openxmlformats.org/officeDocument/2006/relationships" r:embed="rId2"/>
        <a:stretch>
          <a:fillRect/>
        </a:stretch>
      </xdr:blipFill>
      <xdr:spPr>
        <a:xfrm>
          <a:off x="27279600" y="27955875"/>
          <a:ext cx="829763" cy="296443"/>
        </a:xfrm>
        <a:prstGeom prst="rect">
          <a:avLst/>
        </a:prstGeom>
      </xdr:spPr>
    </xdr:pic>
    <xdr:clientData/>
  </xdr:twoCellAnchor>
  <xdr:twoCellAnchor editAs="oneCell">
    <xdr:from>
      <xdr:col>28</xdr:col>
      <xdr:colOff>0</xdr:colOff>
      <xdr:row>51</xdr:row>
      <xdr:rowOff>0</xdr:rowOff>
    </xdr:from>
    <xdr:to>
      <xdr:col>28</xdr:col>
      <xdr:colOff>832938</xdr:colOff>
      <xdr:row>52</xdr:row>
      <xdr:rowOff>107848</xdr:rowOff>
    </xdr:to>
    <xdr:pic>
      <xdr:nvPicPr>
        <xdr:cNvPr id="9" name="Picture 8">
          <a:extLst>
            <a:ext uri="{FF2B5EF4-FFF2-40B4-BE49-F238E27FC236}">
              <a16:creationId xmlns:a16="http://schemas.microsoft.com/office/drawing/2014/main" id="{E5772433-4FF9-4B07-8B0D-57701DB268F8}"/>
            </a:ext>
          </a:extLst>
        </xdr:cNvPr>
        <xdr:cNvPicPr>
          <a:picLocks noChangeAspect="1"/>
        </xdr:cNvPicPr>
      </xdr:nvPicPr>
      <xdr:blipFill>
        <a:blip xmlns:r="http://schemas.openxmlformats.org/officeDocument/2006/relationships" r:embed="rId2"/>
        <a:stretch>
          <a:fillRect/>
        </a:stretch>
      </xdr:blipFill>
      <xdr:spPr>
        <a:xfrm>
          <a:off x="27251025" y="10496550"/>
          <a:ext cx="821508" cy="2964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136418</xdr:rowOff>
    </xdr:to>
    <xdr:pic>
      <xdr:nvPicPr>
        <xdr:cNvPr id="2" name="Picture 1">
          <a:extLst>
            <a:ext uri="{FF2B5EF4-FFF2-40B4-BE49-F238E27FC236}">
              <a16:creationId xmlns:a16="http://schemas.microsoft.com/office/drawing/2014/main" id="{4E5C27BA-8D8E-4BD8-85E4-B093B068535F}"/>
            </a:ext>
          </a:extLst>
        </xdr:cNvPr>
        <xdr:cNvPicPr>
          <a:picLocks noChangeAspect="1"/>
        </xdr:cNvPicPr>
      </xdr:nvPicPr>
      <xdr:blipFill>
        <a:blip xmlns:r="http://schemas.openxmlformats.org/officeDocument/2006/relationships" r:embed="rId1"/>
        <a:stretch>
          <a:fillRect/>
        </a:stretch>
      </xdr:blipFill>
      <xdr:spPr>
        <a:xfrm>
          <a:off x="142875" y="10610850"/>
          <a:ext cx="164988" cy="22912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213253</xdr:rowOff>
    </xdr:to>
    <xdr:pic>
      <xdr:nvPicPr>
        <xdr:cNvPr id="3" name="Picture 2">
          <a:extLst>
            <a:ext uri="{FF2B5EF4-FFF2-40B4-BE49-F238E27FC236}">
              <a16:creationId xmlns:a16="http://schemas.microsoft.com/office/drawing/2014/main" id="{CA75C129-B25A-4244-8650-187F2CD61D07}"/>
            </a:ext>
          </a:extLst>
        </xdr:cNvPr>
        <xdr:cNvPicPr>
          <a:picLocks noChangeAspect="1"/>
        </xdr:cNvPicPr>
      </xdr:nvPicPr>
      <xdr:blipFill>
        <a:blip xmlns:r="http://schemas.openxmlformats.org/officeDocument/2006/relationships" r:embed="rId1"/>
        <a:stretch>
          <a:fillRect/>
        </a:stretch>
      </xdr:blipFill>
      <xdr:spPr>
        <a:xfrm>
          <a:off x="161925" y="28060650"/>
          <a:ext cx="171973" cy="236748"/>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174518</xdr:rowOff>
    </xdr:to>
    <xdr:pic>
      <xdr:nvPicPr>
        <xdr:cNvPr id="4" name="Picture 3">
          <a:extLst>
            <a:ext uri="{FF2B5EF4-FFF2-40B4-BE49-F238E27FC236}">
              <a16:creationId xmlns:a16="http://schemas.microsoft.com/office/drawing/2014/main" id="{066EAF69-DFDC-489E-A7CE-D39477173E0B}"/>
            </a:ext>
          </a:extLst>
        </xdr:cNvPr>
        <xdr:cNvPicPr>
          <a:picLocks noChangeAspect="1"/>
        </xdr:cNvPicPr>
      </xdr:nvPicPr>
      <xdr:blipFill>
        <a:blip xmlns:r="http://schemas.openxmlformats.org/officeDocument/2006/relationships" r:embed="rId1"/>
        <a:stretch>
          <a:fillRect/>
        </a:stretch>
      </xdr:blipFill>
      <xdr:spPr>
        <a:xfrm>
          <a:off x="142875" y="49872900"/>
          <a:ext cx="164988" cy="229128"/>
        </a:xfrm>
        <a:prstGeom prst="rect">
          <a:avLst/>
        </a:prstGeom>
      </xdr:spPr>
    </xdr:pic>
    <xdr:clientData/>
  </xdr:twoCellAnchor>
  <xdr:twoCellAnchor editAs="oneCell">
    <xdr:from>
      <xdr:col>0</xdr:col>
      <xdr:colOff>139700</xdr:colOff>
      <xdr:row>374</xdr:row>
      <xdr:rowOff>127000</xdr:rowOff>
    </xdr:from>
    <xdr:to>
      <xdr:col>0</xdr:col>
      <xdr:colOff>307863</xdr:colOff>
      <xdr:row>375</xdr:row>
      <xdr:rowOff>155468</xdr:rowOff>
    </xdr:to>
    <xdr:pic>
      <xdr:nvPicPr>
        <xdr:cNvPr id="5" name="Picture 4">
          <a:extLst>
            <a:ext uri="{FF2B5EF4-FFF2-40B4-BE49-F238E27FC236}">
              <a16:creationId xmlns:a16="http://schemas.microsoft.com/office/drawing/2014/main" id="{8C30F411-11E0-43FE-B2B7-4F81425421C7}"/>
            </a:ext>
          </a:extLst>
        </xdr:cNvPr>
        <xdr:cNvPicPr>
          <a:picLocks noChangeAspect="1"/>
        </xdr:cNvPicPr>
      </xdr:nvPicPr>
      <xdr:blipFill>
        <a:blip xmlns:r="http://schemas.openxmlformats.org/officeDocument/2006/relationships" r:embed="rId1"/>
        <a:stretch>
          <a:fillRect/>
        </a:stretch>
      </xdr:blipFill>
      <xdr:spPr>
        <a:xfrm>
          <a:off x="142875" y="76400025"/>
          <a:ext cx="164988" cy="231668"/>
        </a:xfrm>
        <a:prstGeom prst="rect">
          <a:avLst/>
        </a:prstGeom>
      </xdr:spPr>
    </xdr:pic>
    <xdr:clientData/>
  </xdr:twoCellAnchor>
  <xdr:twoCellAnchor editAs="oneCell">
    <xdr:from>
      <xdr:col>28</xdr:col>
      <xdr:colOff>0</xdr:colOff>
      <xdr:row>374</xdr:row>
      <xdr:rowOff>0</xdr:rowOff>
    </xdr:from>
    <xdr:to>
      <xdr:col>28</xdr:col>
      <xdr:colOff>822778</xdr:colOff>
      <xdr:row>375</xdr:row>
      <xdr:rowOff>94513</xdr:rowOff>
    </xdr:to>
    <xdr:pic>
      <xdr:nvPicPr>
        <xdr:cNvPr id="6" name="Picture 5">
          <a:extLst>
            <a:ext uri="{FF2B5EF4-FFF2-40B4-BE49-F238E27FC236}">
              <a16:creationId xmlns:a16="http://schemas.microsoft.com/office/drawing/2014/main" id="{8E3B8FC0-7113-492A-8C22-DF79FF910016}"/>
            </a:ext>
          </a:extLst>
        </xdr:cNvPr>
        <xdr:cNvPicPr>
          <a:picLocks noChangeAspect="1"/>
        </xdr:cNvPicPr>
      </xdr:nvPicPr>
      <xdr:blipFill>
        <a:blip xmlns:r="http://schemas.openxmlformats.org/officeDocument/2006/relationships" r:embed="rId2"/>
        <a:stretch>
          <a:fillRect/>
        </a:stretch>
      </xdr:blipFill>
      <xdr:spPr>
        <a:xfrm>
          <a:off x="27251025" y="76276200"/>
          <a:ext cx="829763" cy="304698"/>
        </a:xfrm>
        <a:prstGeom prst="rect">
          <a:avLst/>
        </a:prstGeom>
      </xdr:spPr>
    </xdr:pic>
    <xdr:clientData/>
  </xdr:twoCellAnchor>
  <xdr:twoCellAnchor editAs="oneCell">
    <xdr:from>
      <xdr:col>28</xdr:col>
      <xdr:colOff>63500</xdr:colOff>
      <xdr:row>242</xdr:row>
      <xdr:rowOff>88900</xdr:rowOff>
    </xdr:from>
    <xdr:to>
      <xdr:col>28</xdr:col>
      <xdr:colOff>894533</xdr:colOff>
      <xdr:row>243</xdr:row>
      <xdr:rowOff>170078</xdr:rowOff>
    </xdr:to>
    <xdr:pic>
      <xdr:nvPicPr>
        <xdr:cNvPr id="7" name="Picture 6">
          <a:extLst>
            <a:ext uri="{FF2B5EF4-FFF2-40B4-BE49-F238E27FC236}">
              <a16:creationId xmlns:a16="http://schemas.microsoft.com/office/drawing/2014/main" id="{D0E6E61D-9C47-40D9-B70A-475438C487A2}"/>
            </a:ext>
          </a:extLst>
        </xdr:cNvPr>
        <xdr:cNvPicPr>
          <a:picLocks noChangeAspect="1"/>
        </xdr:cNvPicPr>
      </xdr:nvPicPr>
      <xdr:blipFill>
        <a:blip xmlns:r="http://schemas.openxmlformats.org/officeDocument/2006/relationships" r:embed="rId2"/>
        <a:stretch>
          <a:fillRect/>
        </a:stretch>
      </xdr:blipFill>
      <xdr:spPr>
        <a:xfrm>
          <a:off x="27317700" y="49806225"/>
          <a:ext cx="838018" cy="297078"/>
        </a:xfrm>
        <a:prstGeom prst="rect">
          <a:avLst/>
        </a:prstGeom>
      </xdr:spPr>
    </xdr:pic>
    <xdr:clientData/>
  </xdr:twoCellAnchor>
  <xdr:twoCellAnchor editAs="oneCell">
    <xdr:from>
      <xdr:col>28</xdr:col>
      <xdr:colOff>25400</xdr:colOff>
      <xdr:row>133</xdr:row>
      <xdr:rowOff>76200</xdr:rowOff>
    </xdr:from>
    <xdr:to>
      <xdr:col>28</xdr:col>
      <xdr:colOff>856433</xdr:colOff>
      <xdr:row>134</xdr:row>
      <xdr:rowOff>170713</xdr:rowOff>
    </xdr:to>
    <xdr:pic>
      <xdr:nvPicPr>
        <xdr:cNvPr id="8" name="Picture 7">
          <a:extLst>
            <a:ext uri="{FF2B5EF4-FFF2-40B4-BE49-F238E27FC236}">
              <a16:creationId xmlns:a16="http://schemas.microsoft.com/office/drawing/2014/main" id="{80EF4E93-93B8-4B4B-A87E-5989854ED0F7}"/>
            </a:ext>
          </a:extLst>
        </xdr:cNvPr>
        <xdr:cNvPicPr>
          <a:picLocks noChangeAspect="1"/>
        </xdr:cNvPicPr>
      </xdr:nvPicPr>
      <xdr:blipFill>
        <a:blip xmlns:r="http://schemas.openxmlformats.org/officeDocument/2006/relationships" r:embed="rId2"/>
        <a:stretch>
          <a:fillRect/>
        </a:stretch>
      </xdr:blipFill>
      <xdr:spPr>
        <a:xfrm>
          <a:off x="27279600" y="27955875"/>
          <a:ext cx="838018" cy="304698"/>
        </a:xfrm>
        <a:prstGeom prst="rect">
          <a:avLst/>
        </a:prstGeom>
      </xdr:spPr>
    </xdr:pic>
    <xdr:clientData/>
  </xdr:twoCellAnchor>
  <xdr:twoCellAnchor editAs="oneCell">
    <xdr:from>
      <xdr:col>28</xdr:col>
      <xdr:colOff>0</xdr:colOff>
      <xdr:row>51</xdr:row>
      <xdr:rowOff>0</xdr:rowOff>
    </xdr:from>
    <xdr:to>
      <xdr:col>28</xdr:col>
      <xdr:colOff>822778</xdr:colOff>
      <xdr:row>52</xdr:row>
      <xdr:rowOff>94513</xdr:rowOff>
    </xdr:to>
    <xdr:pic>
      <xdr:nvPicPr>
        <xdr:cNvPr id="9" name="Picture 8">
          <a:extLst>
            <a:ext uri="{FF2B5EF4-FFF2-40B4-BE49-F238E27FC236}">
              <a16:creationId xmlns:a16="http://schemas.microsoft.com/office/drawing/2014/main" id="{CFB4C5F0-4784-4DFC-9D84-7B0ED750F452}"/>
            </a:ext>
          </a:extLst>
        </xdr:cNvPr>
        <xdr:cNvPicPr>
          <a:picLocks noChangeAspect="1"/>
        </xdr:cNvPicPr>
      </xdr:nvPicPr>
      <xdr:blipFill>
        <a:blip xmlns:r="http://schemas.openxmlformats.org/officeDocument/2006/relationships" r:embed="rId2"/>
        <a:stretch>
          <a:fillRect/>
        </a:stretch>
      </xdr:blipFill>
      <xdr:spPr>
        <a:xfrm>
          <a:off x="27251025" y="10496550"/>
          <a:ext cx="829763" cy="3046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136418</xdr:rowOff>
    </xdr:to>
    <xdr:pic>
      <xdr:nvPicPr>
        <xdr:cNvPr id="2" name="Picture 1">
          <a:extLst>
            <a:ext uri="{FF2B5EF4-FFF2-40B4-BE49-F238E27FC236}">
              <a16:creationId xmlns:a16="http://schemas.microsoft.com/office/drawing/2014/main" id="{0131352D-0391-4BE0-BDAB-2A5C593437FB}"/>
            </a:ext>
          </a:extLst>
        </xdr:cNvPr>
        <xdr:cNvPicPr>
          <a:picLocks noChangeAspect="1"/>
        </xdr:cNvPicPr>
      </xdr:nvPicPr>
      <xdr:blipFill>
        <a:blip xmlns:r="http://schemas.openxmlformats.org/officeDocument/2006/relationships" r:embed="rId1"/>
        <a:stretch>
          <a:fillRect/>
        </a:stretch>
      </xdr:blipFill>
      <xdr:spPr>
        <a:xfrm>
          <a:off x="139700" y="10464800"/>
          <a:ext cx="168163"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213253</xdr:rowOff>
    </xdr:to>
    <xdr:pic>
      <xdr:nvPicPr>
        <xdr:cNvPr id="3" name="Picture 2">
          <a:extLst>
            <a:ext uri="{FF2B5EF4-FFF2-40B4-BE49-F238E27FC236}">
              <a16:creationId xmlns:a16="http://schemas.microsoft.com/office/drawing/2014/main" id="{519DCC4A-AD63-4CD6-9647-16E1708B453C}"/>
            </a:ext>
          </a:extLst>
        </xdr:cNvPr>
        <xdr:cNvPicPr>
          <a:picLocks noChangeAspect="1"/>
        </xdr:cNvPicPr>
      </xdr:nvPicPr>
      <xdr:blipFill>
        <a:blip xmlns:r="http://schemas.openxmlformats.org/officeDocument/2006/relationships" r:embed="rId1"/>
        <a:stretch>
          <a:fillRect/>
        </a:stretch>
      </xdr:blipFill>
      <xdr:spPr>
        <a:xfrm>
          <a:off x="165100" y="27660600"/>
          <a:ext cx="165623" cy="232303"/>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174518</xdr:rowOff>
    </xdr:to>
    <xdr:pic>
      <xdr:nvPicPr>
        <xdr:cNvPr id="4" name="Picture 3">
          <a:extLst>
            <a:ext uri="{FF2B5EF4-FFF2-40B4-BE49-F238E27FC236}">
              <a16:creationId xmlns:a16="http://schemas.microsoft.com/office/drawing/2014/main" id="{96AAF5A5-FDBC-4C71-968D-E89359823E8F}"/>
            </a:ext>
          </a:extLst>
        </xdr:cNvPr>
        <xdr:cNvPicPr>
          <a:picLocks noChangeAspect="1"/>
        </xdr:cNvPicPr>
      </xdr:nvPicPr>
      <xdr:blipFill>
        <a:blip xmlns:r="http://schemas.openxmlformats.org/officeDocument/2006/relationships" r:embed="rId1"/>
        <a:stretch>
          <a:fillRect/>
        </a:stretch>
      </xdr:blipFill>
      <xdr:spPr>
        <a:xfrm>
          <a:off x="139700" y="49180750"/>
          <a:ext cx="168163" cy="218968"/>
        </a:xfrm>
        <a:prstGeom prst="rect">
          <a:avLst/>
        </a:prstGeom>
      </xdr:spPr>
    </xdr:pic>
    <xdr:clientData/>
  </xdr:twoCellAnchor>
  <xdr:twoCellAnchor editAs="oneCell">
    <xdr:from>
      <xdr:col>0</xdr:col>
      <xdr:colOff>139700</xdr:colOff>
      <xdr:row>358</xdr:row>
      <xdr:rowOff>127000</xdr:rowOff>
    </xdr:from>
    <xdr:to>
      <xdr:col>0</xdr:col>
      <xdr:colOff>307863</xdr:colOff>
      <xdr:row>359</xdr:row>
      <xdr:rowOff>155468</xdr:rowOff>
    </xdr:to>
    <xdr:pic>
      <xdr:nvPicPr>
        <xdr:cNvPr id="5" name="Picture 4">
          <a:extLst>
            <a:ext uri="{FF2B5EF4-FFF2-40B4-BE49-F238E27FC236}">
              <a16:creationId xmlns:a16="http://schemas.microsoft.com/office/drawing/2014/main" id="{5E541179-D975-4203-A362-6C56FCEE2FE7}"/>
            </a:ext>
          </a:extLst>
        </xdr:cNvPr>
        <xdr:cNvPicPr>
          <a:picLocks noChangeAspect="1"/>
        </xdr:cNvPicPr>
      </xdr:nvPicPr>
      <xdr:blipFill>
        <a:blip xmlns:r="http://schemas.openxmlformats.org/officeDocument/2006/relationships" r:embed="rId1"/>
        <a:stretch>
          <a:fillRect/>
        </a:stretch>
      </xdr:blipFill>
      <xdr:spPr>
        <a:xfrm>
          <a:off x="139700" y="75323700"/>
          <a:ext cx="168163" cy="225318"/>
        </a:xfrm>
        <a:prstGeom prst="rect">
          <a:avLst/>
        </a:prstGeom>
      </xdr:spPr>
    </xdr:pic>
    <xdr:clientData/>
  </xdr:twoCellAnchor>
  <xdr:twoCellAnchor editAs="oneCell">
    <xdr:from>
      <xdr:col>28</xdr:col>
      <xdr:colOff>0</xdr:colOff>
      <xdr:row>358</xdr:row>
      <xdr:rowOff>0</xdr:rowOff>
    </xdr:from>
    <xdr:to>
      <xdr:col>28</xdr:col>
      <xdr:colOff>822778</xdr:colOff>
      <xdr:row>359</xdr:row>
      <xdr:rowOff>94513</xdr:rowOff>
    </xdr:to>
    <xdr:pic>
      <xdr:nvPicPr>
        <xdr:cNvPr id="6" name="Picture 5">
          <a:extLst>
            <a:ext uri="{FF2B5EF4-FFF2-40B4-BE49-F238E27FC236}">
              <a16:creationId xmlns:a16="http://schemas.microsoft.com/office/drawing/2014/main" id="{2806FC70-F18D-4AAF-AC15-D9D5093653EE}"/>
            </a:ext>
          </a:extLst>
        </xdr:cNvPr>
        <xdr:cNvPicPr>
          <a:picLocks noChangeAspect="1"/>
        </xdr:cNvPicPr>
      </xdr:nvPicPr>
      <xdr:blipFill>
        <a:blip xmlns:r="http://schemas.openxmlformats.org/officeDocument/2006/relationships" r:embed="rId2"/>
        <a:stretch>
          <a:fillRect/>
        </a:stretch>
      </xdr:blipFill>
      <xdr:spPr>
        <a:xfrm>
          <a:off x="27178000" y="75196700"/>
          <a:ext cx="822778" cy="291363"/>
        </a:xfrm>
        <a:prstGeom prst="rect">
          <a:avLst/>
        </a:prstGeom>
      </xdr:spPr>
    </xdr:pic>
    <xdr:clientData/>
  </xdr:twoCellAnchor>
  <xdr:twoCellAnchor editAs="oneCell">
    <xdr:from>
      <xdr:col>28</xdr:col>
      <xdr:colOff>63500</xdr:colOff>
      <xdr:row>242</xdr:row>
      <xdr:rowOff>88900</xdr:rowOff>
    </xdr:from>
    <xdr:to>
      <xdr:col>28</xdr:col>
      <xdr:colOff>894533</xdr:colOff>
      <xdr:row>243</xdr:row>
      <xdr:rowOff>170078</xdr:rowOff>
    </xdr:to>
    <xdr:pic>
      <xdr:nvPicPr>
        <xdr:cNvPr id="7" name="Picture 6">
          <a:extLst>
            <a:ext uri="{FF2B5EF4-FFF2-40B4-BE49-F238E27FC236}">
              <a16:creationId xmlns:a16="http://schemas.microsoft.com/office/drawing/2014/main" id="{F594E052-3E9A-420B-9634-4D41A838567C}"/>
            </a:ext>
          </a:extLst>
        </xdr:cNvPr>
        <xdr:cNvPicPr>
          <a:picLocks noChangeAspect="1"/>
        </xdr:cNvPicPr>
      </xdr:nvPicPr>
      <xdr:blipFill>
        <a:blip xmlns:r="http://schemas.openxmlformats.org/officeDocument/2006/relationships" r:embed="rId2"/>
        <a:stretch>
          <a:fillRect/>
        </a:stretch>
      </xdr:blipFill>
      <xdr:spPr>
        <a:xfrm>
          <a:off x="27241500" y="49117250"/>
          <a:ext cx="831033" cy="278028"/>
        </a:xfrm>
        <a:prstGeom prst="rect">
          <a:avLst/>
        </a:prstGeom>
      </xdr:spPr>
    </xdr:pic>
    <xdr:clientData/>
  </xdr:twoCellAnchor>
  <xdr:twoCellAnchor editAs="oneCell">
    <xdr:from>
      <xdr:col>28</xdr:col>
      <xdr:colOff>25400</xdr:colOff>
      <xdr:row>133</xdr:row>
      <xdr:rowOff>76200</xdr:rowOff>
    </xdr:from>
    <xdr:to>
      <xdr:col>28</xdr:col>
      <xdr:colOff>856433</xdr:colOff>
      <xdr:row>134</xdr:row>
      <xdr:rowOff>170713</xdr:rowOff>
    </xdr:to>
    <xdr:pic>
      <xdr:nvPicPr>
        <xdr:cNvPr id="8" name="Picture 7">
          <a:extLst>
            <a:ext uri="{FF2B5EF4-FFF2-40B4-BE49-F238E27FC236}">
              <a16:creationId xmlns:a16="http://schemas.microsoft.com/office/drawing/2014/main" id="{B892EC4F-9B1B-44A5-9BEB-0C75F8B6A343}"/>
            </a:ext>
          </a:extLst>
        </xdr:cNvPr>
        <xdr:cNvPicPr>
          <a:picLocks noChangeAspect="1"/>
        </xdr:cNvPicPr>
      </xdr:nvPicPr>
      <xdr:blipFill>
        <a:blip xmlns:r="http://schemas.openxmlformats.org/officeDocument/2006/relationships" r:embed="rId2"/>
        <a:stretch>
          <a:fillRect/>
        </a:stretch>
      </xdr:blipFill>
      <xdr:spPr>
        <a:xfrm>
          <a:off x="27203400" y="27559000"/>
          <a:ext cx="831033" cy="291363"/>
        </a:xfrm>
        <a:prstGeom prst="rect">
          <a:avLst/>
        </a:prstGeom>
      </xdr:spPr>
    </xdr:pic>
    <xdr:clientData/>
  </xdr:twoCellAnchor>
  <xdr:twoCellAnchor editAs="oneCell">
    <xdr:from>
      <xdr:col>28</xdr:col>
      <xdr:colOff>0</xdr:colOff>
      <xdr:row>51</xdr:row>
      <xdr:rowOff>0</xdr:rowOff>
    </xdr:from>
    <xdr:to>
      <xdr:col>28</xdr:col>
      <xdr:colOff>822778</xdr:colOff>
      <xdr:row>52</xdr:row>
      <xdr:rowOff>94513</xdr:rowOff>
    </xdr:to>
    <xdr:pic>
      <xdr:nvPicPr>
        <xdr:cNvPr id="9" name="Picture 8">
          <a:extLst>
            <a:ext uri="{FF2B5EF4-FFF2-40B4-BE49-F238E27FC236}">
              <a16:creationId xmlns:a16="http://schemas.microsoft.com/office/drawing/2014/main" id="{89179C93-FA97-4BC9-8A96-95746285C4E2}"/>
            </a:ext>
          </a:extLst>
        </xdr:cNvPr>
        <xdr:cNvPicPr>
          <a:picLocks noChangeAspect="1"/>
        </xdr:cNvPicPr>
      </xdr:nvPicPr>
      <xdr:blipFill>
        <a:blip xmlns:r="http://schemas.openxmlformats.org/officeDocument/2006/relationships" r:embed="rId2"/>
        <a:stretch>
          <a:fillRect/>
        </a:stretch>
      </xdr:blipFill>
      <xdr:spPr>
        <a:xfrm>
          <a:off x="27178000" y="10350500"/>
          <a:ext cx="822778" cy="2913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136418</xdr:rowOff>
    </xdr:to>
    <xdr:pic>
      <xdr:nvPicPr>
        <xdr:cNvPr id="2" name="Picture 1">
          <a:extLst>
            <a:ext uri="{FF2B5EF4-FFF2-40B4-BE49-F238E27FC236}">
              <a16:creationId xmlns:a16="http://schemas.microsoft.com/office/drawing/2014/main" id="{3D437DB4-CF31-449E-AACF-B6AB47137F2A}"/>
            </a:ext>
          </a:extLst>
        </xdr:cNvPr>
        <xdr:cNvPicPr>
          <a:picLocks noChangeAspect="1"/>
        </xdr:cNvPicPr>
      </xdr:nvPicPr>
      <xdr:blipFill>
        <a:blip xmlns:r="http://schemas.openxmlformats.org/officeDocument/2006/relationships" r:embed="rId1"/>
        <a:stretch>
          <a:fillRect/>
        </a:stretch>
      </xdr:blipFill>
      <xdr:spPr>
        <a:xfrm>
          <a:off x="139700" y="10464800"/>
          <a:ext cx="168163"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213253</xdr:rowOff>
    </xdr:to>
    <xdr:pic>
      <xdr:nvPicPr>
        <xdr:cNvPr id="3" name="Picture 2">
          <a:extLst>
            <a:ext uri="{FF2B5EF4-FFF2-40B4-BE49-F238E27FC236}">
              <a16:creationId xmlns:a16="http://schemas.microsoft.com/office/drawing/2014/main" id="{3D2C0372-0A7A-45A1-AE8F-A0FD4653BF36}"/>
            </a:ext>
          </a:extLst>
        </xdr:cNvPr>
        <xdr:cNvPicPr>
          <a:picLocks noChangeAspect="1"/>
        </xdr:cNvPicPr>
      </xdr:nvPicPr>
      <xdr:blipFill>
        <a:blip xmlns:r="http://schemas.openxmlformats.org/officeDocument/2006/relationships" r:embed="rId1"/>
        <a:stretch>
          <a:fillRect/>
        </a:stretch>
      </xdr:blipFill>
      <xdr:spPr>
        <a:xfrm>
          <a:off x="165100" y="27660600"/>
          <a:ext cx="165623" cy="232303"/>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174518</xdr:rowOff>
    </xdr:to>
    <xdr:pic>
      <xdr:nvPicPr>
        <xdr:cNvPr id="4" name="Picture 3">
          <a:extLst>
            <a:ext uri="{FF2B5EF4-FFF2-40B4-BE49-F238E27FC236}">
              <a16:creationId xmlns:a16="http://schemas.microsoft.com/office/drawing/2014/main" id="{CE4E6559-6F09-4316-8456-94F2B5EC0698}"/>
            </a:ext>
          </a:extLst>
        </xdr:cNvPr>
        <xdr:cNvPicPr>
          <a:picLocks noChangeAspect="1"/>
        </xdr:cNvPicPr>
      </xdr:nvPicPr>
      <xdr:blipFill>
        <a:blip xmlns:r="http://schemas.openxmlformats.org/officeDocument/2006/relationships" r:embed="rId1"/>
        <a:stretch>
          <a:fillRect/>
        </a:stretch>
      </xdr:blipFill>
      <xdr:spPr>
        <a:xfrm>
          <a:off x="139700" y="49180750"/>
          <a:ext cx="168163" cy="218968"/>
        </a:xfrm>
        <a:prstGeom prst="rect">
          <a:avLst/>
        </a:prstGeom>
      </xdr:spPr>
    </xdr:pic>
    <xdr:clientData/>
  </xdr:twoCellAnchor>
  <xdr:twoCellAnchor editAs="oneCell">
    <xdr:from>
      <xdr:col>0</xdr:col>
      <xdr:colOff>139700</xdr:colOff>
      <xdr:row>358</xdr:row>
      <xdr:rowOff>127000</xdr:rowOff>
    </xdr:from>
    <xdr:to>
      <xdr:col>0</xdr:col>
      <xdr:colOff>307863</xdr:colOff>
      <xdr:row>359</xdr:row>
      <xdr:rowOff>155468</xdr:rowOff>
    </xdr:to>
    <xdr:pic>
      <xdr:nvPicPr>
        <xdr:cNvPr id="5" name="Picture 4">
          <a:extLst>
            <a:ext uri="{FF2B5EF4-FFF2-40B4-BE49-F238E27FC236}">
              <a16:creationId xmlns:a16="http://schemas.microsoft.com/office/drawing/2014/main" id="{9DFF34EA-F001-4776-BD86-3F3EF4423533}"/>
            </a:ext>
          </a:extLst>
        </xdr:cNvPr>
        <xdr:cNvPicPr>
          <a:picLocks noChangeAspect="1"/>
        </xdr:cNvPicPr>
      </xdr:nvPicPr>
      <xdr:blipFill>
        <a:blip xmlns:r="http://schemas.openxmlformats.org/officeDocument/2006/relationships" r:embed="rId1"/>
        <a:stretch>
          <a:fillRect/>
        </a:stretch>
      </xdr:blipFill>
      <xdr:spPr>
        <a:xfrm>
          <a:off x="139700" y="72148700"/>
          <a:ext cx="168163" cy="225318"/>
        </a:xfrm>
        <a:prstGeom prst="rect">
          <a:avLst/>
        </a:prstGeom>
      </xdr:spPr>
    </xdr:pic>
    <xdr:clientData/>
  </xdr:twoCellAnchor>
  <xdr:twoCellAnchor editAs="oneCell">
    <xdr:from>
      <xdr:col>28</xdr:col>
      <xdr:colOff>0</xdr:colOff>
      <xdr:row>358</xdr:row>
      <xdr:rowOff>0</xdr:rowOff>
    </xdr:from>
    <xdr:to>
      <xdr:col>28</xdr:col>
      <xdr:colOff>822778</xdr:colOff>
      <xdr:row>359</xdr:row>
      <xdr:rowOff>94513</xdr:rowOff>
    </xdr:to>
    <xdr:pic>
      <xdr:nvPicPr>
        <xdr:cNvPr id="6" name="Picture 5">
          <a:extLst>
            <a:ext uri="{FF2B5EF4-FFF2-40B4-BE49-F238E27FC236}">
              <a16:creationId xmlns:a16="http://schemas.microsoft.com/office/drawing/2014/main" id="{870084DD-046F-47CA-9BFD-EA5B447750C7}"/>
            </a:ext>
          </a:extLst>
        </xdr:cNvPr>
        <xdr:cNvPicPr>
          <a:picLocks noChangeAspect="1"/>
        </xdr:cNvPicPr>
      </xdr:nvPicPr>
      <xdr:blipFill>
        <a:blip xmlns:r="http://schemas.openxmlformats.org/officeDocument/2006/relationships" r:embed="rId2"/>
        <a:stretch>
          <a:fillRect/>
        </a:stretch>
      </xdr:blipFill>
      <xdr:spPr>
        <a:xfrm>
          <a:off x="27178000" y="72021700"/>
          <a:ext cx="822778" cy="291363"/>
        </a:xfrm>
        <a:prstGeom prst="rect">
          <a:avLst/>
        </a:prstGeom>
      </xdr:spPr>
    </xdr:pic>
    <xdr:clientData/>
  </xdr:twoCellAnchor>
  <xdr:twoCellAnchor editAs="oneCell">
    <xdr:from>
      <xdr:col>28</xdr:col>
      <xdr:colOff>63500</xdr:colOff>
      <xdr:row>242</xdr:row>
      <xdr:rowOff>88900</xdr:rowOff>
    </xdr:from>
    <xdr:to>
      <xdr:col>28</xdr:col>
      <xdr:colOff>894533</xdr:colOff>
      <xdr:row>243</xdr:row>
      <xdr:rowOff>170078</xdr:rowOff>
    </xdr:to>
    <xdr:pic>
      <xdr:nvPicPr>
        <xdr:cNvPr id="7" name="Picture 6">
          <a:extLst>
            <a:ext uri="{FF2B5EF4-FFF2-40B4-BE49-F238E27FC236}">
              <a16:creationId xmlns:a16="http://schemas.microsoft.com/office/drawing/2014/main" id="{0C115ACE-1E68-481F-9AFB-3D50F0E38DC2}"/>
            </a:ext>
          </a:extLst>
        </xdr:cNvPr>
        <xdr:cNvPicPr>
          <a:picLocks noChangeAspect="1"/>
        </xdr:cNvPicPr>
      </xdr:nvPicPr>
      <xdr:blipFill>
        <a:blip xmlns:r="http://schemas.openxmlformats.org/officeDocument/2006/relationships" r:embed="rId2"/>
        <a:stretch>
          <a:fillRect/>
        </a:stretch>
      </xdr:blipFill>
      <xdr:spPr>
        <a:xfrm>
          <a:off x="27241500" y="49117250"/>
          <a:ext cx="831033" cy="278028"/>
        </a:xfrm>
        <a:prstGeom prst="rect">
          <a:avLst/>
        </a:prstGeom>
      </xdr:spPr>
    </xdr:pic>
    <xdr:clientData/>
  </xdr:twoCellAnchor>
  <xdr:twoCellAnchor editAs="oneCell">
    <xdr:from>
      <xdr:col>28</xdr:col>
      <xdr:colOff>25400</xdr:colOff>
      <xdr:row>133</xdr:row>
      <xdr:rowOff>76200</xdr:rowOff>
    </xdr:from>
    <xdr:to>
      <xdr:col>28</xdr:col>
      <xdr:colOff>856433</xdr:colOff>
      <xdr:row>134</xdr:row>
      <xdr:rowOff>170713</xdr:rowOff>
    </xdr:to>
    <xdr:pic>
      <xdr:nvPicPr>
        <xdr:cNvPr id="8" name="Picture 7">
          <a:extLst>
            <a:ext uri="{FF2B5EF4-FFF2-40B4-BE49-F238E27FC236}">
              <a16:creationId xmlns:a16="http://schemas.microsoft.com/office/drawing/2014/main" id="{47AEEA89-2EFD-46CA-B858-0C88CA63BC25}"/>
            </a:ext>
          </a:extLst>
        </xdr:cNvPr>
        <xdr:cNvPicPr>
          <a:picLocks noChangeAspect="1"/>
        </xdr:cNvPicPr>
      </xdr:nvPicPr>
      <xdr:blipFill>
        <a:blip xmlns:r="http://schemas.openxmlformats.org/officeDocument/2006/relationships" r:embed="rId2"/>
        <a:stretch>
          <a:fillRect/>
        </a:stretch>
      </xdr:blipFill>
      <xdr:spPr>
        <a:xfrm>
          <a:off x="27203400" y="27559000"/>
          <a:ext cx="831033" cy="291363"/>
        </a:xfrm>
        <a:prstGeom prst="rect">
          <a:avLst/>
        </a:prstGeom>
      </xdr:spPr>
    </xdr:pic>
    <xdr:clientData/>
  </xdr:twoCellAnchor>
  <xdr:twoCellAnchor editAs="oneCell">
    <xdr:from>
      <xdr:col>28</xdr:col>
      <xdr:colOff>0</xdr:colOff>
      <xdr:row>51</xdr:row>
      <xdr:rowOff>0</xdr:rowOff>
    </xdr:from>
    <xdr:to>
      <xdr:col>28</xdr:col>
      <xdr:colOff>822778</xdr:colOff>
      <xdr:row>52</xdr:row>
      <xdr:rowOff>94513</xdr:rowOff>
    </xdr:to>
    <xdr:pic>
      <xdr:nvPicPr>
        <xdr:cNvPr id="9" name="Picture 8">
          <a:extLst>
            <a:ext uri="{FF2B5EF4-FFF2-40B4-BE49-F238E27FC236}">
              <a16:creationId xmlns:a16="http://schemas.microsoft.com/office/drawing/2014/main" id="{EF10F583-9F33-4527-B460-9234B772F799}"/>
            </a:ext>
          </a:extLst>
        </xdr:cNvPr>
        <xdr:cNvPicPr>
          <a:picLocks noChangeAspect="1"/>
        </xdr:cNvPicPr>
      </xdr:nvPicPr>
      <xdr:blipFill>
        <a:blip xmlns:r="http://schemas.openxmlformats.org/officeDocument/2006/relationships" r:embed="rId2"/>
        <a:stretch>
          <a:fillRect/>
        </a:stretch>
      </xdr:blipFill>
      <xdr:spPr>
        <a:xfrm>
          <a:off x="27178000" y="10350500"/>
          <a:ext cx="822778" cy="2913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136418</xdr:rowOff>
    </xdr:to>
    <xdr:pic>
      <xdr:nvPicPr>
        <xdr:cNvPr id="2" name="Picture 1">
          <a:extLst>
            <a:ext uri="{FF2B5EF4-FFF2-40B4-BE49-F238E27FC236}">
              <a16:creationId xmlns:a16="http://schemas.microsoft.com/office/drawing/2014/main" id="{7BEC0995-B2CB-43D1-8638-C42EF1BB3B30}"/>
            </a:ext>
          </a:extLst>
        </xdr:cNvPr>
        <xdr:cNvPicPr>
          <a:picLocks noChangeAspect="1"/>
        </xdr:cNvPicPr>
      </xdr:nvPicPr>
      <xdr:blipFill>
        <a:blip xmlns:r="http://schemas.openxmlformats.org/officeDocument/2006/relationships" r:embed="rId1"/>
        <a:stretch>
          <a:fillRect/>
        </a:stretch>
      </xdr:blipFill>
      <xdr:spPr>
        <a:xfrm>
          <a:off x="139700" y="10464800"/>
          <a:ext cx="168163"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213253</xdr:rowOff>
    </xdr:to>
    <xdr:pic>
      <xdr:nvPicPr>
        <xdr:cNvPr id="3" name="Picture 2">
          <a:extLst>
            <a:ext uri="{FF2B5EF4-FFF2-40B4-BE49-F238E27FC236}">
              <a16:creationId xmlns:a16="http://schemas.microsoft.com/office/drawing/2014/main" id="{BAF73A5D-0869-4E29-97C4-D2B6A7911972}"/>
            </a:ext>
          </a:extLst>
        </xdr:cNvPr>
        <xdr:cNvPicPr>
          <a:picLocks noChangeAspect="1"/>
        </xdr:cNvPicPr>
      </xdr:nvPicPr>
      <xdr:blipFill>
        <a:blip xmlns:r="http://schemas.openxmlformats.org/officeDocument/2006/relationships" r:embed="rId1"/>
        <a:stretch>
          <a:fillRect/>
        </a:stretch>
      </xdr:blipFill>
      <xdr:spPr>
        <a:xfrm>
          <a:off x="165100" y="27660600"/>
          <a:ext cx="165623" cy="232303"/>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174518</xdr:rowOff>
    </xdr:to>
    <xdr:pic>
      <xdr:nvPicPr>
        <xdr:cNvPr id="4" name="Picture 3">
          <a:extLst>
            <a:ext uri="{FF2B5EF4-FFF2-40B4-BE49-F238E27FC236}">
              <a16:creationId xmlns:a16="http://schemas.microsoft.com/office/drawing/2014/main" id="{AB8F25DF-6478-4CE6-A507-CE9E7D8743DA}"/>
            </a:ext>
          </a:extLst>
        </xdr:cNvPr>
        <xdr:cNvPicPr>
          <a:picLocks noChangeAspect="1"/>
        </xdr:cNvPicPr>
      </xdr:nvPicPr>
      <xdr:blipFill>
        <a:blip xmlns:r="http://schemas.openxmlformats.org/officeDocument/2006/relationships" r:embed="rId1"/>
        <a:stretch>
          <a:fillRect/>
        </a:stretch>
      </xdr:blipFill>
      <xdr:spPr>
        <a:xfrm>
          <a:off x="139700" y="49180750"/>
          <a:ext cx="168163" cy="218968"/>
        </a:xfrm>
        <a:prstGeom prst="rect">
          <a:avLst/>
        </a:prstGeom>
      </xdr:spPr>
    </xdr:pic>
    <xdr:clientData/>
  </xdr:twoCellAnchor>
  <xdr:twoCellAnchor editAs="oneCell">
    <xdr:from>
      <xdr:col>0</xdr:col>
      <xdr:colOff>139700</xdr:colOff>
      <xdr:row>358</xdr:row>
      <xdr:rowOff>127000</xdr:rowOff>
    </xdr:from>
    <xdr:to>
      <xdr:col>0</xdr:col>
      <xdr:colOff>307863</xdr:colOff>
      <xdr:row>359</xdr:row>
      <xdr:rowOff>155468</xdr:rowOff>
    </xdr:to>
    <xdr:pic>
      <xdr:nvPicPr>
        <xdr:cNvPr id="5" name="Picture 4">
          <a:extLst>
            <a:ext uri="{FF2B5EF4-FFF2-40B4-BE49-F238E27FC236}">
              <a16:creationId xmlns:a16="http://schemas.microsoft.com/office/drawing/2014/main" id="{47C33F3B-A0C1-443C-A32C-C41A74DC51C5}"/>
            </a:ext>
          </a:extLst>
        </xdr:cNvPr>
        <xdr:cNvPicPr>
          <a:picLocks noChangeAspect="1"/>
        </xdr:cNvPicPr>
      </xdr:nvPicPr>
      <xdr:blipFill>
        <a:blip xmlns:r="http://schemas.openxmlformats.org/officeDocument/2006/relationships" r:embed="rId1"/>
        <a:stretch>
          <a:fillRect/>
        </a:stretch>
      </xdr:blipFill>
      <xdr:spPr>
        <a:xfrm>
          <a:off x="139700" y="72148700"/>
          <a:ext cx="168163" cy="225318"/>
        </a:xfrm>
        <a:prstGeom prst="rect">
          <a:avLst/>
        </a:prstGeom>
      </xdr:spPr>
    </xdr:pic>
    <xdr:clientData/>
  </xdr:twoCellAnchor>
  <xdr:twoCellAnchor editAs="oneCell">
    <xdr:from>
      <xdr:col>28</xdr:col>
      <xdr:colOff>0</xdr:colOff>
      <xdr:row>358</xdr:row>
      <xdr:rowOff>0</xdr:rowOff>
    </xdr:from>
    <xdr:to>
      <xdr:col>28</xdr:col>
      <xdr:colOff>822778</xdr:colOff>
      <xdr:row>359</xdr:row>
      <xdr:rowOff>94513</xdr:rowOff>
    </xdr:to>
    <xdr:pic>
      <xdr:nvPicPr>
        <xdr:cNvPr id="6" name="Picture 5">
          <a:extLst>
            <a:ext uri="{FF2B5EF4-FFF2-40B4-BE49-F238E27FC236}">
              <a16:creationId xmlns:a16="http://schemas.microsoft.com/office/drawing/2014/main" id="{69817D80-20B6-4E48-8333-5DD334718C24}"/>
            </a:ext>
          </a:extLst>
        </xdr:cNvPr>
        <xdr:cNvPicPr>
          <a:picLocks noChangeAspect="1"/>
        </xdr:cNvPicPr>
      </xdr:nvPicPr>
      <xdr:blipFill>
        <a:blip xmlns:r="http://schemas.openxmlformats.org/officeDocument/2006/relationships" r:embed="rId2"/>
        <a:stretch>
          <a:fillRect/>
        </a:stretch>
      </xdr:blipFill>
      <xdr:spPr>
        <a:xfrm>
          <a:off x="27178000" y="72021700"/>
          <a:ext cx="822778" cy="291363"/>
        </a:xfrm>
        <a:prstGeom prst="rect">
          <a:avLst/>
        </a:prstGeom>
      </xdr:spPr>
    </xdr:pic>
    <xdr:clientData/>
  </xdr:twoCellAnchor>
  <xdr:twoCellAnchor editAs="oneCell">
    <xdr:from>
      <xdr:col>28</xdr:col>
      <xdr:colOff>63500</xdr:colOff>
      <xdr:row>242</xdr:row>
      <xdr:rowOff>88900</xdr:rowOff>
    </xdr:from>
    <xdr:to>
      <xdr:col>28</xdr:col>
      <xdr:colOff>894533</xdr:colOff>
      <xdr:row>243</xdr:row>
      <xdr:rowOff>170078</xdr:rowOff>
    </xdr:to>
    <xdr:pic>
      <xdr:nvPicPr>
        <xdr:cNvPr id="7" name="Picture 6">
          <a:extLst>
            <a:ext uri="{FF2B5EF4-FFF2-40B4-BE49-F238E27FC236}">
              <a16:creationId xmlns:a16="http://schemas.microsoft.com/office/drawing/2014/main" id="{65E3944F-F41D-4096-9702-B0F807B753B4}"/>
            </a:ext>
          </a:extLst>
        </xdr:cNvPr>
        <xdr:cNvPicPr>
          <a:picLocks noChangeAspect="1"/>
        </xdr:cNvPicPr>
      </xdr:nvPicPr>
      <xdr:blipFill>
        <a:blip xmlns:r="http://schemas.openxmlformats.org/officeDocument/2006/relationships" r:embed="rId2"/>
        <a:stretch>
          <a:fillRect/>
        </a:stretch>
      </xdr:blipFill>
      <xdr:spPr>
        <a:xfrm>
          <a:off x="27241500" y="49117250"/>
          <a:ext cx="831033" cy="278028"/>
        </a:xfrm>
        <a:prstGeom prst="rect">
          <a:avLst/>
        </a:prstGeom>
      </xdr:spPr>
    </xdr:pic>
    <xdr:clientData/>
  </xdr:twoCellAnchor>
  <xdr:twoCellAnchor editAs="oneCell">
    <xdr:from>
      <xdr:col>28</xdr:col>
      <xdr:colOff>25400</xdr:colOff>
      <xdr:row>133</xdr:row>
      <xdr:rowOff>76200</xdr:rowOff>
    </xdr:from>
    <xdr:to>
      <xdr:col>28</xdr:col>
      <xdr:colOff>856433</xdr:colOff>
      <xdr:row>134</xdr:row>
      <xdr:rowOff>170713</xdr:rowOff>
    </xdr:to>
    <xdr:pic>
      <xdr:nvPicPr>
        <xdr:cNvPr id="8" name="Picture 7">
          <a:extLst>
            <a:ext uri="{FF2B5EF4-FFF2-40B4-BE49-F238E27FC236}">
              <a16:creationId xmlns:a16="http://schemas.microsoft.com/office/drawing/2014/main" id="{A12E8C99-A53D-4F26-B22F-D345215C6E2A}"/>
            </a:ext>
          </a:extLst>
        </xdr:cNvPr>
        <xdr:cNvPicPr>
          <a:picLocks noChangeAspect="1"/>
        </xdr:cNvPicPr>
      </xdr:nvPicPr>
      <xdr:blipFill>
        <a:blip xmlns:r="http://schemas.openxmlformats.org/officeDocument/2006/relationships" r:embed="rId2"/>
        <a:stretch>
          <a:fillRect/>
        </a:stretch>
      </xdr:blipFill>
      <xdr:spPr>
        <a:xfrm>
          <a:off x="27203400" y="27559000"/>
          <a:ext cx="831033" cy="291363"/>
        </a:xfrm>
        <a:prstGeom prst="rect">
          <a:avLst/>
        </a:prstGeom>
      </xdr:spPr>
    </xdr:pic>
    <xdr:clientData/>
  </xdr:twoCellAnchor>
  <xdr:twoCellAnchor editAs="oneCell">
    <xdr:from>
      <xdr:col>28</xdr:col>
      <xdr:colOff>0</xdr:colOff>
      <xdr:row>51</xdr:row>
      <xdr:rowOff>0</xdr:rowOff>
    </xdr:from>
    <xdr:to>
      <xdr:col>28</xdr:col>
      <xdr:colOff>822778</xdr:colOff>
      <xdr:row>52</xdr:row>
      <xdr:rowOff>94513</xdr:rowOff>
    </xdr:to>
    <xdr:pic>
      <xdr:nvPicPr>
        <xdr:cNvPr id="9" name="Picture 8">
          <a:extLst>
            <a:ext uri="{FF2B5EF4-FFF2-40B4-BE49-F238E27FC236}">
              <a16:creationId xmlns:a16="http://schemas.microsoft.com/office/drawing/2014/main" id="{4475B37E-B67E-40E3-A256-3FF5065852DB}"/>
            </a:ext>
          </a:extLst>
        </xdr:cNvPr>
        <xdr:cNvPicPr>
          <a:picLocks noChangeAspect="1"/>
        </xdr:cNvPicPr>
      </xdr:nvPicPr>
      <xdr:blipFill>
        <a:blip xmlns:r="http://schemas.openxmlformats.org/officeDocument/2006/relationships" r:embed="rId2"/>
        <a:stretch>
          <a:fillRect/>
        </a:stretch>
      </xdr:blipFill>
      <xdr:spPr>
        <a:xfrm>
          <a:off x="27178000" y="10350500"/>
          <a:ext cx="822778" cy="29136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136418</xdr:rowOff>
    </xdr:to>
    <xdr:pic>
      <xdr:nvPicPr>
        <xdr:cNvPr id="2" name="Picture 1">
          <a:extLst>
            <a:ext uri="{FF2B5EF4-FFF2-40B4-BE49-F238E27FC236}">
              <a16:creationId xmlns:a16="http://schemas.microsoft.com/office/drawing/2014/main" id="{5C42D866-C3E0-468E-9AD4-AAA18985660F}"/>
            </a:ext>
          </a:extLst>
        </xdr:cNvPr>
        <xdr:cNvPicPr>
          <a:picLocks noChangeAspect="1"/>
        </xdr:cNvPicPr>
      </xdr:nvPicPr>
      <xdr:blipFill>
        <a:blip xmlns:r="http://schemas.openxmlformats.org/officeDocument/2006/relationships" r:embed="rId1"/>
        <a:stretch>
          <a:fillRect/>
        </a:stretch>
      </xdr:blipFill>
      <xdr:spPr>
        <a:xfrm>
          <a:off x="139700" y="10464800"/>
          <a:ext cx="168163" cy="2189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213253</xdr:rowOff>
    </xdr:to>
    <xdr:pic>
      <xdr:nvPicPr>
        <xdr:cNvPr id="3" name="Picture 2">
          <a:extLst>
            <a:ext uri="{FF2B5EF4-FFF2-40B4-BE49-F238E27FC236}">
              <a16:creationId xmlns:a16="http://schemas.microsoft.com/office/drawing/2014/main" id="{0CD7915C-BE3C-40FA-8C84-5B4A53A2573B}"/>
            </a:ext>
          </a:extLst>
        </xdr:cNvPr>
        <xdr:cNvPicPr>
          <a:picLocks noChangeAspect="1"/>
        </xdr:cNvPicPr>
      </xdr:nvPicPr>
      <xdr:blipFill>
        <a:blip xmlns:r="http://schemas.openxmlformats.org/officeDocument/2006/relationships" r:embed="rId1"/>
        <a:stretch>
          <a:fillRect/>
        </a:stretch>
      </xdr:blipFill>
      <xdr:spPr>
        <a:xfrm>
          <a:off x="165100" y="27660600"/>
          <a:ext cx="165623" cy="232303"/>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174518</xdr:rowOff>
    </xdr:to>
    <xdr:pic>
      <xdr:nvPicPr>
        <xdr:cNvPr id="4" name="Picture 3">
          <a:extLst>
            <a:ext uri="{FF2B5EF4-FFF2-40B4-BE49-F238E27FC236}">
              <a16:creationId xmlns:a16="http://schemas.microsoft.com/office/drawing/2014/main" id="{AAD650EE-1216-459A-B2B7-C45F993D4967}"/>
            </a:ext>
          </a:extLst>
        </xdr:cNvPr>
        <xdr:cNvPicPr>
          <a:picLocks noChangeAspect="1"/>
        </xdr:cNvPicPr>
      </xdr:nvPicPr>
      <xdr:blipFill>
        <a:blip xmlns:r="http://schemas.openxmlformats.org/officeDocument/2006/relationships" r:embed="rId1"/>
        <a:stretch>
          <a:fillRect/>
        </a:stretch>
      </xdr:blipFill>
      <xdr:spPr>
        <a:xfrm>
          <a:off x="139700" y="49180750"/>
          <a:ext cx="168163" cy="218968"/>
        </a:xfrm>
        <a:prstGeom prst="rect">
          <a:avLst/>
        </a:prstGeom>
      </xdr:spPr>
    </xdr:pic>
    <xdr:clientData/>
  </xdr:twoCellAnchor>
  <xdr:twoCellAnchor editAs="oneCell">
    <xdr:from>
      <xdr:col>0</xdr:col>
      <xdr:colOff>139700</xdr:colOff>
      <xdr:row>358</xdr:row>
      <xdr:rowOff>127000</xdr:rowOff>
    </xdr:from>
    <xdr:to>
      <xdr:col>0</xdr:col>
      <xdr:colOff>307863</xdr:colOff>
      <xdr:row>359</xdr:row>
      <xdr:rowOff>155468</xdr:rowOff>
    </xdr:to>
    <xdr:pic>
      <xdr:nvPicPr>
        <xdr:cNvPr id="5" name="Picture 4">
          <a:extLst>
            <a:ext uri="{FF2B5EF4-FFF2-40B4-BE49-F238E27FC236}">
              <a16:creationId xmlns:a16="http://schemas.microsoft.com/office/drawing/2014/main" id="{80939996-C83E-4A85-8CB4-728DCF6C48F6}"/>
            </a:ext>
          </a:extLst>
        </xdr:cNvPr>
        <xdr:cNvPicPr>
          <a:picLocks noChangeAspect="1"/>
        </xdr:cNvPicPr>
      </xdr:nvPicPr>
      <xdr:blipFill>
        <a:blip xmlns:r="http://schemas.openxmlformats.org/officeDocument/2006/relationships" r:embed="rId1"/>
        <a:stretch>
          <a:fillRect/>
        </a:stretch>
      </xdr:blipFill>
      <xdr:spPr>
        <a:xfrm>
          <a:off x="139700" y="72148700"/>
          <a:ext cx="168163" cy="225318"/>
        </a:xfrm>
        <a:prstGeom prst="rect">
          <a:avLst/>
        </a:prstGeom>
      </xdr:spPr>
    </xdr:pic>
    <xdr:clientData/>
  </xdr:twoCellAnchor>
  <xdr:twoCellAnchor editAs="oneCell">
    <xdr:from>
      <xdr:col>28</xdr:col>
      <xdr:colOff>0</xdr:colOff>
      <xdr:row>358</xdr:row>
      <xdr:rowOff>0</xdr:rowOff>
    </xdr:from>
    <xdr:to>
      <xdr:col>28</xdr:col>
      <xdr:colOff>822778</xdr:colOff>
      <xdr:row>359</xdr:row>
      <xdr:rowOff>94513</xdr:rowOff>
    </xdr:to>
    <xdr:pic>
      <xdr:nvPicPr>
        <xdr:cNvPr id="6" name="Picture 5">
          <a:extLst>
            <a:ext uri="{FF2B5EF4-FFF2-40B4-BE49-F238E27FC236}">
              <a16:creationId xmlns:a16="http://schemas.microsoft.com/office/drawing/2014/main" id="{E13C7036-8BAD-46C4-B577-B510489DD928}"/>
            </a:ext>
          </a:extLst>
        </xdr:cNvPr>
        <xdr:cNvPicPr>
          <a:picLocks noChangeAspect="1"/>
        </xdr:cNvPicPr>
      </xdr:nvPicPr>
      <xdr:blipFill>
        <a:blip xmlns:r="http://schemas.openxmlformats.org/officeDocument/2006/relationships" r:embed="rId2"/>
        <a:stretch>
          <a:fillRect/>
        </a:stretch>
      </xdr:blipFill>
      <xdr:spPr>
        <a:xfrm>
          <a:off x="27178000" y="72021700"/>
          <a:ext cx="822778" cy="291363"/>
        </a:xfrm>
        <a:prstGeom prst="rect">
          <a:avLst/>
        </a:prstGeom>
      </xdr:spPr>
    </xdr:pic>
    <xdr:clientData/>
  </xdr:twoCellAnchor>
  <xdr:twoCellAnchor editAs="oneCell">
    <xdr:from>
      <xdr:col>28</xdr:col>
      <xdr:colOff>63500</xdr:colOff>
      <xdr:row>242</xdr:row>
      <xdr:rowOff>88900</xdr:rowOff>
    </xdr:from>
    <xdr:to>
      <xdr:col>28</xdr:col>
      <xdr:colOff>894533</xdr:colOff>
      <xdr:row>243</xdr:row>
      <xdr:rowOff>170078</xdr:rowOff>
    </xdr:to>
    <xdr:pic>
      <xdr:nvPicPr>
        <xdr:cNvPr id="7" name="Picture 6">
          <a:extLst>
            <a:ext uri="{FF2B5EF4-FFF2-40B4-BE49-F238E27FC236}">
              <a16:creationId xmlns:a16="http://schemas.microsoft.com/office/drawing/2014/main" id="{CB3E670A-5B0D-46A7-A625-392138337258}"/>
            </a:ext>
          </a:extLst>
        </xdr:cNvPr>
        <xdr:cNvPicPr>
          <a:picLocks noChangeAspect="1"/>
        </xdr:cNvPicPr>
      </xdr:nvPicPr>
      <xdr:blipFill>
        <a:blip xmlns:r="http://schemas.openxmlformats.org/officeDocument/2006/relationships" r:embed="rId2"/>
        <a:stretch>
          <a:fillRect/>
        </a:stretch>
      </xdr:blipFill>
      <xdr:spPr>
        <a:xfrm>
          <a:off x="27241500" y="49117250"/>
          <a:ext cx="831033" cy="278028"/>
        </a:xfrm>
        <a:prstGeom prst="rect">
          <a:avLst/>
        </a:prstGeom>
      </xdr:spPr>
    </xdr:pic>
    <xdr:clientData/>
  </xdr:twoCellAnchor>
  <xdr:twoCellAnchor editAs="oneCell">
    <xdr:from>
      <xdr:col>28</xdr:col>
      <xdr:colOff>25400</xdr:colOff>
      <xdr:row>133</xdr:row>
      <xdr:rowOff>76200</xdr:rowOff>
    </xdr:from>
    <xdr:to>
      <xdr:col>28</xdr:col>
      <xdr:colOff>856433</xdr:colOff>
      <xdr:row>134</xdr:row>
      <xdr:rowOff>170713</xdr:rowOff>
    </xdr:to>
    <xdr:pic>
      <xdr:nvPicPr>
        <xdr:cNvPr id="8" name="Picture 7">
          <a:extLst>
            <a:ext uri="{FF2B5EF4-FFF2-40B4-BE49-F238E27FC236}">
              <a16:creationId xmlns:a16="http://schemas.microsoft.com/office/drawing/2014/main" id="{490F16F9-9A49-47EC-8995-F7CF113734A1}"/>
            </a:ext>
          </a:extLst>
        </xdr:cNvPr>
        <xdr:cNvPicPr>
          <a:picLocks noChangeAspect="1"/>
        </xdr:cNvPicPr>
      </xdr:nvPicPr>
      <xdr:blipFill>
        <a:blip xmlns:r="http://schemas.openxmlformats.org/officeDocument/2006/relationships" r:embed="rId2"/>
        <a:stretch>
          <a:fillRect/>
        </a:stretch>
      </xdr:blipFill>
      <xdr:spPr>
        <a:xfrm>
          <a:off x="27203400" y="27559000"/>
          <a:ext cx="831033" cy="291363"/>
        </a:xfrm>
        <a:prstGeom prst="rect">
          <a:avLst/>
        </a:prstGeom>
      </xdr:spPr>
    </xdr:pic>
    <xdr:clientData/>
  </xdr:twoCellAnchor>
  <xdr:twoCellAnchor editAs="oneCell">
    <xdr:from>
      <xdr:col>28</xdr:col>
      <xdr:colOff>0</xdr:colOff>
      <xdr:row>51</xdr:row>
      <xdr:rowOff>0</xdr:rowOff>
    </xdr:from>
    <xdr:to>
      <xdr:col>28</xdr:col>
      <xdr:colOff>822778</xdr:colOff>
      <xdr:row>52</xdr:row>
      <xdr:rowOff>94513</xdr:rowOff>
    </xdr:to>
    <xdr:pic>
      <xdr:nvPicPr>
        <xdr:cNvPr id="9" name="Picture 8">
          <a:extLst>
            <a:ext uri="{FF2B5EF4-FFF2-40B4-BE49-F238E27FC236}">
              <a16:creationId xmlns:a16="http://schemas.microsoft.com/office/drawing/2014/main" id="{4B7FE32C-67A7-4903-8210-B6266DE5D68A}"/>
            </a:ext>
          </a:extLst>
        </xdr:cNvPr>
        <xdr:cNvPicPr>
          <a:picLocks noChangeAspect="1"/>
        </xdr:cNvPicPr>
      </xdr:nvPicPr>
      <xdr:blipFill>
        <a:blip xmlns:r="http://schemas.openxmlformats.org/officeDocument/2006/relationships" r:embed="rId2"/>
        <a:stretch>
          <a:fillRect/>
        </a:stretch>
      </xdr:blipFill>
      <xdr:spPr>
        <a:xfrm>
          <a:off x="27178000" y="10350500"/>
          <a:ext cx="822778" cy="2913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132608</xdr:rowOff>
    </xdr:to>
    <xdr:pic>
      <xdr:nvPicPr>
        <xdr:cNvPr id="2" name="Picture 1">
          <a:extLst>
            <a:ext uri="{FF2B5EF4-FFF2-40B4-BE49-F238E27FC236}">
              <a16:creationId xmlns:a16="http://schemas.microsoft.com/office/drawing/2014/main" id="{7075CC81-C6A6-4441-99FA-FF46238D056C}"/>
            </a:ext>
          </a:extLst>
        </xdr:cNvPr>
        <xdr:cNvPicPr>
          <a:picLocks noChangeAspect="1"/>
        </xdr:cNvPicPr>
      </xdr:nvPicPr>
      <xdr:blipFill>
        <a:blip xmlns:r="http://schemas.openxmlformats.org/officeDocument/2006/relationships" r:embed="rId1"/>
        <a:stretch>
          <a:fillRect/>
        </a:stretch>
      </xdr:blipFill>
      <xdr:spPr>
        <a:xfrm>
          <a:off x="139700" y="10523220"/>
          <a:ext cx="168163" cy="22023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209443</xdr:rowOff>
    </xdr:to>
    <xdr:pic>
      <xdr:nvPicPr>
        <xdr:cNvPr id="3" name="Picture 2">
          <a:extLst>
            <a:ext uri="{FF2B5EF4-FFF2-40B4-BE49-F238E27FC236}">
              <a16:creationId xmlns:a16="http://schemas.microsoft.com/office/drawing/2014/main" id="{C10A0F39-D388-44A6-A153-FD32A32980B1}"/>
            </a:ext>
          </a:extLst>
        </xdr:cNvPr>
        <xdr:cNvPicPr>
          <a:picLocks noChangeAspect="1"/>
        </xdr:cNvPicPr>
      </xdr:nvPicPr>
      <xdr:blipFill>
        <a:blip xmlns:r="http://schemas.openxmlformats.org/officeDocument/2006/relationships" r:embed="rId1"/>
        <a:stretch>
          <a:fillRect/>
        </a:stretch>
      </xdr:blipFill>
      <xdr:spPr>
        <a:xfrm>
          <a:off x="165100" y="27807920"/>
          <a:ext cx="170703" cy="233573"/>
        </a:xfrm>
        <a:prstGeom prst="rect">
          <a:avLst/>
        </a:prstGeom>
      </xdr:spPr>
    </xdr:pic>
    <xdr:clientData/>
  </xdr:twoCellAnchor>
  <xdr:twoCellAnchor editAs="oneCell">
    <xdr:from>
      <xdr:col>0</xdr:col>
      <xdr:colOff>139700</xdr:colOff>
      <xdr:row>243</xdr:row>
      <xdr:rowOff>152400</xdr:rowOff>
    </xdr:from>
    <xdr:to>
      <xdr:col>0</xdr:col>
      <xdr:colOff>307863</xdr:colOff>
      <xdr:row>244</xdr:row>
      <xdr:rowOff>170708</xdr:rowOff>
    </xdr:to>
    <xdr:pic>
      <xdr:nvPicPr>
        <xdr:cNvPr id="4" name="Picture 3">
          <a:extLst>
            <a:ext uri="{FF2B5EF4-FFF2-40B4-BE49-F238E27FC236}">
              <a16:creationId xmlns:a16="http://schemas.microsoft.com/office/drawing/2014/main" id="{8B495856-3B4C-4C55-840D-803BE27ADAB6}"/>
            </a:ext>
          </a:extLst>
        </xdr:cNvPr>
        <xdr:cNvPicPr>
          <a:picLocks noChangeAspect="1"/>
        </xdr:cNvPicPr>
      </xdr:nvPicPr>
      <xdr:blipFill>
        <a:blip xmlns:r="http://schemas.openxmlformats.org/officeDocument/2006/relationships" r:embed="rId1"/>
        <a:stretch>
          <a:fillRect/>
        </a:stretch>
      </xdr:blipFill>
      <xdr:spPr>
        <a:xfrm>
          <a:off x="139700" y="49469040"/>
          <a:ext cx="168163" cy="220238"/>
        </a:xfrm>
        <a:prstGeom prst="rect">
          <a:avLst/>
        </a:prstGeom>
      </xdr:spPr>
    </xdr:pic>
    <xdr:clientData/>
  </xdr:twoCellAnchor>
  <xdr:twoCellAnchor editAs="oneCell">
    <xdr:from>
      <xdr:col>0</xdr:col>
      <xdr:colOff>139700</xdr:colOff>
      <xdr:row>359</xdr:row>
      <xdr:rowOff>127000</xdr:rowOff>
    </xdr:from>
    <xdr:to>
      <xdr:col>0</xdr:col>
      <xdr:colOff>307863</xdr:colOff>
      <xdr:row>360</xdr:row>
      <xdr:rowOff>155468</xdr:rowOff>
    </xdr:to>
    <xdr:pic>
      <xdr:nvPicPr>
        <xdr:cNvPr id="5" name="Picture 4">
          <a:extLst>
            <a:ext uri="{FF2B5EF4-FFF2-40B4-BE49-F238E27FC236}">
              <a16:creationId xmlns:a16="http://schemas.microsoft.com/office/drawing/2014/main" id="{821406D4-7928-47A6-B153-F20A8B69CBF8}"/>
            </a:ext>
          </a:extLst>
        </xdr:cNvPr>
        <xdr:cNvPicPr>
          <a:picLocks noChangeAspect="1"/>
        </xdr:cNvPicPr>
      </xdr:nvPicPr>
      <xdr:blipFill>
        <a:blip xmlns:r="http://schemas.openxmlformats.org/officeDocument/2006/relationships" r:embed="rId1"/>
        <a:stretch>
          <a:fillRect/>
        </a:stretch>
      </xdr:blipFill>
      <xdr:spPr>
        <a:xfrm>
          <a:off x="139700" y="72555100"/>
          <a:ext cx="168163" cy="226588"/>
        </a:xfrm>
        <a:prstGeom prst="rect">
          <a:avLst/>
        </a:prstGeom>
      </xdr:spPr>
    </xdr:pic>
    <xdr:clientData/>
  </xdr:twoCellAnchor>
  <xdr:twoCellAnchor editAs="oneCell">
    <xdr:from>
      <xdr:col>28</xdr:col>
      <xdr:colOff>0</xdr:colOff>
      <xdr:row>359</xdr:row>
      <xdr:rowOff>0</xdr:rowOff>
    </xdr:from>
    <xdr:to>
      <xdr:col>28</xdr:col>
      <xdr:colOff>818968</xdr:colOff>
      <xdr:row>360</xdr:row>
      <xdr:rowOff>98323</xdr:rowOff>
    </xdr:to>
    <xdr:pic>
      <xdr:nvPicPr>
        <xdr:cNvPr id="6" name="Picture 5">
          <a:extLst>
            <a:ext uri="{FF2B5EF4-FFF2-40B4-BE49-F238E27FC236}">
              <a16:creationId xmlns:a16="http://schemas.microsoft.com/office/drawing/2014/main" id="{63F25C04-DA7C-46D3-B802-356BB6BE43B9}"/>
            </a:ext>
          </a:extLst>
        </xdr:cNvPr>
        <xdr:cNvPicPr>
          <a:picLocks noChangeAspect="1"/>
        </xdr:cNvPicPr>
      </xdr:nvPicPr>
      <xdr:blipFill>
        <a:blip xmlns:r="http://schemas.openxmlformats.org/officeDocument/2006/relationships" r:embed="rId2"/>
        <a:stretch>
          <a:fillRect/>
        </a:stretch>
      </xdr:blipFill>
      <xdr:spPr>
        <a:xfrm>
          <a:off x="27622500" y="72428100"/>
          <a:ext cx="822778" cy="292633"/>
        </a:xfrm>
        <a:prstGeom prst="rect">
          <a:avLst/>
        </a:prstGeom>
      </xdr:spPr>
    </xdr:pic>
    <xdr:clientData/>
  </xdr:twoCellAnchor>
  <xdr:twoCellAnchor editAs="oneCell">
    <xdr:from>
      <xdr:col>28</xdr:col>
      <xdr:colOff>63500</xdr:colOff>
      <xdr:row>243</xdr:row>
      <xdr:rowOff>88900</xdr:rowOff>
    </xdr:from>
    <xdr:to>
      <xdr:col>28</xdr:col>
      <xdr:colOff>898343</xdr:colOff>
      <xdr:row>244</xdr:row>
      <xdr:rowOff>173888</xdr:rowOff>
    </xdr:to>
    <xdr:pic>
      <xdr:nvPicPr>
        <xdr:cNvPr id="7" name="Picture 6">
          <a:extLst>
            <a:ext uri="{FF2B5EF4-FFF2-40B4-BE49-F238E27FC236}">
              <a16:creationId xmlns:a16="http://schemas.microsoft.com/office/drawing/2014/main" id="{D2656953-26BC-4377-B0EC-D60559595099}"/>
            </a:ext>
          </a:extLst>
        </xdr:cNvPr>
        <xdr:cNvPicPr>
          <a:picLocks noChangeAspect="1"/>
        </xdr:cNvPicPr>
      </xdr:nvPicPr>
      <xdr:blipFill>
        <a:blip xmlns:r="http://schemas.openxmlformats.org/officeDocument/2006/relationships" r:embed="rId2"/>
        <a:stretch>
          <a:fillRect/>
        </a:stretch>
      </xdr:blipFill>
      <xdr:spPr>
        <a:xfrm>
          <a:off x="27686000" y="49405540"/>
          <a:ext cx="831033" cy="279298"/>
        </a:xfrm>
        <a:prstGeom prst="rect">
          <a:avLst/>
        </a:prstGeom>
      </xdr:spPr>
    </xdr:pic>
    <xdr:clientData/>
  </xdr:twoCellAnchor>
  <xdr:twoCellAnchor editAs="oneCell">
    <xdr:from>
      <xdr:col>28</xdr:col>
      <xdr:colOff>25400</xdr:colOff>
      <xdr:row>133</xdr:row>
      <xdr:rowOff>76200</xdr:rowOff>
    </xdr:from>
    <xdr:to>
      <xdr:col>28</xdr:col>
      <xdr:colOff>860243</xdr:colOff>
      <xdr:row>134</xdr:row>
      <xdr:rowOff>174523</xdr:rowOff>
    </xdr:to>
    <xdr:pic>
      <xdr:nvPicPr>
        <xdr:cNvPr id="8" name="Picture 7">
          <a:extLst>
            <a:ext uri="{FF2B5EF4-FFF2-40B4-BE49-F238E27FC236}">
              <a16:creationId xmlns:a16="http://schemas.microsoft.com/office/drawing/2014/main" id="{AD1F1870-AE6C-4387-85A9-434F1C2C68B4}"/>
            </a:ext>
          </a:extLst>
        </xdr:cNvPr>
        <xdr:cNvPicPr>
          <a:picLocks noChangeAspect="1"/>
        </xdr:cNvPicPr>
      </xdr:nvPicPr>
      <xdr:blipFill>
        <a:blip xmlns:r="http://schemas.openxmlformats.org/officeDocument/2006/relationships" r:embed="rId2"/>
        <a:stretch>
          <a:fillRect/>
        </a:stretch>
      </xdr:blipFill>
      <xdr:spPr>
        <a:xfrm>
          <a:off x="27647900" y="27706320"/>
          <a:ext cx="831033" cy="292633"/>
        </a:xfrm>
        <a:prstGeom prst="rect">
          <a:avLst/>
        </a:prstGeom>
      </xdr:spPr>
    </xdr:pic>
    <xdr:clientData/>
  </xdr:twoCellAnchor>
  <xdr:twoCellAnchor editAs="oneCell">
    <xdr:from>
      <xdr:col>28</xdr:col>
      <xdr:colOff>0</xdr:colOff>
      <xdr:row>51</xdr:row>
      <xdr:rowOff>0</xdr:rowOff>
    </xdr:from>
    <xdr:to>
      <xdr:col>28</xdr:col>
      <xdr:colOff>818968</xdr:colOff>
      <xdr:row>52</xdr:row>
      <xdr:rowOff>98323</xdr:rowOff>
    </xdr:to>
    <xdr:pic>
      <xdr:nvPicPr>
        <xdr:cNvPr id="9" name="Picture 8">
          <a:extLst>
            <a:ext uri="{FF2B5EF4-FFF2-40B4-BE49-F238E27FC236}">
              <a16:creationId xmlns:a16="http://schemas.microsoft.com/office/drawing/2014/main" id="{9926D97C-2564-4D60-8157-4101EB0B32ED}"/>
            </a:ext>
          </a:extLst>
        </xdr:cNvPr>
        <xdr:cNvPicPr>
          <a:picLocks noChangeAspect="1"/>
        </xdr:cNvPicPr>
      </xdr:nvPicPr>
      <xdr:blipFill>
        <a:blip xmlns:r="http://schemas.openxmlformats.org/officeDocument/2006/relationships" r:embed="rId2"/>
        <a:stretch>
          <a:fillRect/>
        </a:stretch>
      </xdr:blipFill>
      <xdr:spPr>
        <a:xfrm>
          <a:off x="27622500" y="10408920"/>
          <a:ext cx="822778" cy="2926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132608</xdr:rowOff>
    </xdr:to>
    <xdr:pic>
      <xdr:nvPicPr>
        <xdr:cNvPr id="2" name="Picture 1">
          <a:extLst>
            <a:ext uri="{FF2B5EF4-FFF2-40B4-BE49-F238E27FC236}">
              <a16:creationId xmlns:a16="http://schemas.microsoft.com/office/drawing/2014/main" id="{C50079E0-B28A-4CF7-BE0D-49F78C242D17}"/>
            </a:ext>
          </a:extLst>
        </xdr:cNvPr>
        <xdr:cNvPicPr>
          <a:picLocks noChangeAspect="1"/>
        </xdr:cNvPicPr>
      </xdr:nvPicPr>
      <xdr:blipFill>
        <a:blip xmlns:r="http://schemas.openxmlformats.org/officeDocument/2006/relationships" r:embed="rId1"/>
        <a:stretch>
          <a:fillRect/>
        </a:stretch>
      </xdr:blipFill>
      <xdr:spPr>
        <a:xfrm>
          <a:off x="135890" y="10620375"/>
          <a:ext cx="171973" cy="22214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209443</xdr:rowOff>
    </xdr:to>
    <xdr:pic>
      <xdr:nvPicPr>
        <xdr:cNvPr id="3" name="Picture 2">
          <a:extLst>
            <a:ext uri="{FF2B5EF4-FFF2-40B4-BE49-F238E27FC236}">
              <a16:creationId xmlns:a16="http://schemas.microsoft.com/office/drawing/2014/main" id="{5508CE77-DBBC-4552-B7D0-49048D12880C}"/>
            </a:ext>
          </a:extLst>
        </xdr:cNvPr>
        <xdr:cNvPicPr>
          <a:picLocks noChangeAspect="1"/>
        </xdr:cNvPicPr>
      </xdr:nvPicPr>
      <xdr:blipFill>
        <a:blip xmlns:r="http://schemas.openxmlformats.org/officeDocument/2006/relationships" r:embed="rId1"/>
        <a:stretch>
          <a:fillRect/>
        </a:stretch>
      </xdr:blipFill>
      <xdr:spPr>
        <a:xfrm>
          <a:off x="168910" y="28053665"/>
          <a:ext cx="164988" cy="239288"/>
        </a:xfrm>
        <a:prstGeom prst="rect">
          <a:avLst/>
        </a:prstGeom>
      </xdr:spPr>
    </xdr:pic>
    <xdr:clientData/>
  </xdr:twoCellAnchor>
  <xdr:twoCellAnchor editAs="oneCell">
    <xdr:from>
      <xdr:col>0</xdr:col>
      <xdr:colOff>139700</xdr:colOff>
      <xdr:row>243</xdr:row>
      <xdr:rowOff>152400</xdr:rowOff>
    </xdr:from>
    <xdr:to>
      <xdr:col>0</xdr:col>
      <xdr:colOff>307863</xdr:colOff>
      <xdr:row>244</xdr:row>
      <xdr:rowOff>170708</xdr:rowOff>
    </xdr:to>
    <xdr:pic>
      <xdr:nvPicPr>
        <xdr:cNvPr id="4" name="Picture 3">
          <a:extLst>
            <a:ext uri="{FF2B5EF4-FFF2-40B4-BE49-F238E27FC236}">
              <a16:creationId xmlns:a16="http://schemas.microsoft.com/office/drawing/2014/main" id="{C51D9FC5-3C8E-47B9-A524-C24553742630}"/>
            </a:ext>
          </a:extLst>
        </xdr:cNvPr>
        <xdr:cNvPicPr>
          <a:picLocks noChangeAspect="1"/>
        </xdr:cNvPicPr>
      </xdr:nvPicPr>
      <xdr:blipFill>
        <a:blip xmlns:r="http://schemas.openxmlformats.org/officeDocument/2006/relationships" r:embed="rId1"/>
        <a:stretch>
          <a:fillRect/>
        </a:stretch>
      </xdr:blipFill>
      <xdr:spPr>
        <a:xfrm>
          <a:off x="135890" y="50139600"/>
          <a:ext cx="171973" cy="222143"/>
        </a:xfrm>
        <a:prstGeom prst="rect">
          <a:avLst/>
        </a:prstGeom>
      </xdr:spPr>
    </xdr:pic>
    <xdr:clientData/>
  </xdr:twoCellAnchor>
  <xdr:twoCellAnchor editAs="oneCell">
    <xdr:from>
      <xdr:col>0</xdr:col>
      <xdr:colOff>139700</xdr:colOff>
      <xdr:row>359</xdr:row>
      <xdr:rowOff>127000</xdr:rowOff>
    </xdr:from>
    <xdr:to>
      <xdr:col>0</xdr:col>
      <xdr:colOff>307863</xdr:colOff>
      <xdr:row>360</xdr:row>
      <xdr:rowOff>155468</xdr:rowOff>
    </xdr:to>
    <xdr:pic>
      <xdr:nvPicPr>
        <xdr:cNvPr id="5" name="Picture 4">
          <a:extLst>
            <a:ext uri="{FF2B5EF4-FFF2-40B4-BE49-F238E27FC236}">
              <a16:creationId xmlns:a16="http://schemas.microsoft.com/office/drawing/2014/main" id="{984E2CD8-476D-4117-A8C4-F650B658D1E8}"/>
            </a:ext>
          </a:extLst>
        </xdr:cNvPr>
        <xdr:cNvPicPr>
          <a:picLocks noChangeAspect="1"/>
        </xdr:cNvPicPr>
      </xdr:nvPicPr>
      <xdr:blipFill>
        <a:blip xmlns:r="http://schemas.openxmlformats.org/officeDocument/2006/relationships" r:embed="rId1"/>
        <a:stretch>
          <a:fillRect/>
        </a:stretch>
      </xdr:blipFill>
      <xdr:spPr>
        <a:xfrm>
          <a:off x="135890" y="73444735"/>
          <a:ext cx="171973" cy="224683"/>
        </a:xfrm>
        <a:prstGeom prst="rect">
          <a:avLst/>
        </a:prstGeom>
      </xdr:spPr>
    </xdr:pic>
    <xdr:clientData/>
  </xdr:twoCellAnchor>
  <xdr:twoCellAnchor editAs="oneCell">
    <xdr:from>
      <xdr:col>28</xdr:col>
      <xdr:colOff>0</xdr:colOff>
      <xdr:row>359</xdr:row>
      <xdr:rowOff>0</xdr:rowOff>
    </xdr:from>
    <xdr:to>
      <xdr:col>28</xdr:col>
      <xdr:colOff>818968</xdr:colOff>
      <xdr:row>360</xdr:row>
      <xdr:rowOff>98323</xdr:rowOff>
    </xdr:to>
    <xdr:pic>
      <xdr:nvPicPr>
        <xdr:cNvPr id="6" name="Picture 5">
          <a:extLst>
            <a:ext uri="{FF2B5EF4-FFF2-40B4-BE49-F238E27FC236}">
              <a16:creationId xmlns:a16="http://schemas.microsoft.com/office/drawing/2014/main" id="{C30E806B-5A0B-43F8-91D6-034D65C327C6}"/>
            </a:ext>
          </a:extLst>
        </xdr:cNvPr>
        <xdr:cNvPicPr>
          <a:picLocks noChangeAspect="1"/>
        </xdr:cNvPicPr>
      </xdr:nvPicPr>
      <xdr:blipFill>
        <a:blip xmlns:r="http://schemas.openxmlformats.org/officeDocument/2006/relationships" r:embed="rId2"/>
        <a:stretch>
          <a:fillRect/>
        </a:stretch>
      </xdr:blipFill>
      <xdr:spPr>
        <a:xfrm>
          <a:off x="27603450" y="73313925"/>
          <a:ext cx="822778" cy="294538"/>
        </a:xfrm>
        <a:prstGeom prst="rect">
          <a:avLst/>
        </a:prstGeom>
      </xdr:spPr>
    </xdr:pic>
    <xdr:clientData/>
  </xdr:twoCellAnchor>
  <xdr:twoCellAnchor editAs="oneCell">
    <xdr:from>
      <xdr:col>28</xdr:col>
      <xdr:colOff>63500</xdr:colOff>
      <xdr:row>243</xdr:row>
      <xdr:rowOff>88900</xdr:rowOff>
    </xdr:from>
    <xdr:to>
      <xdr:col>28</xdr:col>
      <xdr:colOff>898343</xdr:colOff>
      <xdr:row>244</xdr:row>
      <xdr:rowOff>173888</xdr:rowOff>
    </xdr:to>
    <xdr:pic>
      <xdr:nvPicPr>
        <xdr:cNvPr id="7" name="Picture 6">
          <a:extLst>
            <a:ext uri="{FF2B5EF4-FFF2-40B4-BE49-F238E27FC236}">
              <a16:creationId xmlns:a16="http://schemas.microsoft.com/office/drawing/2014/main" id="{1A06F378-EFB5-4816-8956-79F89B43A0EF}"/>
            </a:ext>
          </a:extLst>
        </xdr:cNvPr>
        <xdr:cNvPicPr>
          <a:picLocks noChangeAspect="1"/>
        </xdr:cNvPicPr>
      </xdr:nvPicPr>
      <xdr:blipFill>
        <a:blip xmlns:r="http://schemas.openxmlformats.org/officeDocument/2006/relationships" r:embed="rId2"/>
        <a:stretch>
          <a:fillRect/>
        </a:stretch>
      </xdr:blipFill>
      <xdr:spPr>
        <a:xfrm>
          <a:off x="27663140" y="50079910"/>
          <a:ext cx="834843" cy="277393"/>
        </a:xfrm>
        <a:prstGeom prst="rect">
          <a:avLst/>
        </a:prstGeom>
      </xdr:spPr>
    </xdr:pic>
    <xdr:clientData/>
  </xdr:twoCellAnchor>
  <xdr:twoCellAnchor editAs="oneCell">
    <xdr:from>
      <xdr:col>28</xdr:col>
      <xdr:colOff>25400</xdr:colOff>
      <xdr:row>133</xdr:row>
      <xdr:rowOff>76200</xdr:rowOff>
    </xdr:from>
    <xdr:to>
      <xdr:col>28</xdr:col>
      <xdr:colOff>860243</xdr:colOff>
      <xdr:row>134</xdr:row>
      <xdr:rowOff>174523</xdr:rowOff>
    </xdr:to>
    <xdr:pic>
      <xdr:nvPicPr>
        <xdr:cNvPr id="8" name="Picture 7">
          <a:extLst>
            <a:ext uri="{FF2B5EF4-FFF2-40B4-BE49-F238E27FC236}">
              <a16:creationId xmlns:a16="http://schemas.microsoft.com/office/drawing/2014/main" id="{DB4B99E2-0323-47E7-86A7-DBAA4BD52182}"/>
            </a:ext>
          </a:extLst>
        </xdr:cNvPr>
        <xdr:cNvPicPr>
          <a:picLocks noChangeAspect="1"/>
        </xdr:cNvPicPr>
      </xdr:nvPicPr>
      <xdr:blipFill>
        <a:blip xmlns:r="http://schemas.openxmlformats.org/officeDocument/2006/relationships" r:embed="rId2"/>
        <a:stretch>
          <a:fillRect/>
        </a:stretch>
      </xdr:blipFill>
      <xdr:spPr>
        <a:xfrm>
          <a:off x="27625040" y="27955875"/>
          <a:ext cx="834843" cy="294538"/>
        </a:xfrm>
        <a:prstGeom prst="rect">
          <a:avLst/>
        </a:prstGeom>
      </xdr:spPr>
    </xdr:pic>
    <xdr:clientData/>
  </xdr:twoCellAnchor>
  <xdr:twoCellAnchor editAs="oneCell">
    <xdr:from>
      <xdr:col>28</xdr:col>
      <xdr:colOff>0</xdr:colOff>
      <xdr:row>51</xdr:row>
      <xdr:rowOff>0</xdr:rowOff>
    </xdr:from>
    <xdr:to>
      <xdr:col>28</xdr:col>
      <xdr:colOff>818968</xdr:colOff>
      <xdr:row>52</xdr:row>
      <xdr:rowOff>98323</xdr:rowOff>
    </xdr:to>
    <xdr:pic>
      <xdr:nvPicPr>
        <xdr:cNvPr id="9" name="Picture 8">
          <a:extLst>
            <a:ext uri="{FF2B5EF4-FFF2-40B4-BE49-F238E27FC236}">
              <a16:creationId xmlns:a16="http://schemas.microsoft.com/office/drawing/2014/main" id="{91A19928-62AB-4E25-B788-598CE84BA6BF}"/>
            </a:ext>
          </a:extLst>
        </xdr:cNvPr>
        <xdr:cNvPicPr>
          <a:picLocks noChangeAspect="1"/>
        </xdr:cNvPicPr>
      </xdr:nvPicPr>
      <xdr:blipFill>
        <a:blip xmlns:r="http://schemas.openxmlformats.org/officeDocument/2006/relationships" r:embed="rId2"/>
        <a:stretch>
          <a:fillRect/>
        </a:stretch>
      </xdr:blipFill>
      <xdr:spPr>
        <a:xfrm>
          <a:off x="27603450" y="10506075"/>
          <a:ext cx="822778" cy="294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346</xdr:row>
      <xdr:rowOff>152400</xdr:rowOff>
    </xdr:to>
    <xdr:pic>
      <xdr:nvPicPr>
        <xdr:cNvPr id="2" name="Picture 1" descr="C:\WINDOWS\TEMP\~0003946.gif">
          <a:extLst>
            <a:ext uri="{FF2B5EF4-FFF2-40B4-BE49-F238E27FC236}">
              <a16:creationId xmlns:a16="http://schemas.microsoft.com/office/drawing/2014/main" id="{770C50D0-2575-4786-A3D4-3B7540F5EBB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69932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B56F3936-79D6-4C5D-8E68-69A51162E40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9234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05921E7E-4F2A-49B9-B495-1D656ACB8A3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5045513F-E50B-4962-99B8-653B9DB215A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067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310403</xdr:colOff>
      <xdr:row>52</xdr:row>
      <xdr:rowOff>142768</xdr:rowOff>
    </xdr:to>
    <xdr:pic>
      <xdr:nvPicPr>
        <xdr:cNvPr id="6" name="Picture 5">
          <a:extLst>
            <a:ext uri="{FF2B5EF4-FFF2-40B4-BE49-F238E27FC236}">
              <a16:creationId xmlns:a16="http://schemas.microsoft.com/office/drawing/2014/main" id="{90064C3D-3911-458D-82E3-641F036DB2FC}"/>
            </a:ext>
          </a:extLst>
        </xdr:cNvPr>
        <xdr:cNvPicPr>
          <a:picLocks noChangeAspect="1"/>
        </xdr:cNvPicPr>
      </xdr:nvPicPr>
      <xdr:blipFill>
        <a:blip xmlns:r="http://schemas.openxmlformats.org/officeDocument/2006/relationships" r:embed="rId3"/>
        <a:stretch>
          <a:fillRect/>
        </a:stretch>
      </xdr:blipFill>
      <xdr:spPr>
        <a:xfrm>
          <a:off x="139700" y="10629900"/>
          <a:ext cx="170703" cy="22849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206268</xdr:rowOff>
    </xdr:to>
    <xdr:pic>
      <xdr:nvPicPr>
        <xdr:cNvPr id="7" name="Picture 6">
          <a:extLst>
            <a:ext uri="{FF2B5EF4-FFF2-40B4-BE49-F238E27FC236}">
              <a16:creationId xmlns:a16="http://schemas.microsoft.com/office/drawing/2014/main" id="{5D90DE7B-82BB-463F-920C-C927A5CA7A9A}"/>
            </a:ext>
          </a:extLst>
        </xdr:cNvPr>
        <xdr:cNvPicPr>
          <a:picLocks noChangeAspect="1"/>
        </xdr:cNvPicPr>
      </xdr:nvPicPr>
      <xdr:blipFill>
        <a:blip xmlns:r="http://schemas.openxmlformats.org/officeDocument/2006/relationships" r:embed="rId3"/>
        <a:stretch>
          <a:fillRect/>
        </a:stretch>
      </xdr:blipFill>
      <xdr:spPr>
        <a:xfrm>
          <a:off x="165100" y="27543125"/>
          <a:ext cx="178323" cy="228493"/>
        </a:xfrm>
        <a:prstGeom prst="rect">
          <a:avLst/>
        </a:prstGeom>
      </xdr:spPr>
    </xdr:pic>
    <xdr:clientData/>
  </xdr:twoCellAnchor>
  <xdr:twoCellAnchor editAs="oneCell">
    <xdr:from>
      <xdr:col>0</xdr:col>
      <xdr:colOff>139700</xdr:colOff>
      <xdr:row>242</xdr:row>
      <xdr:rowOff>152400</xdr:rowOff>
    </xdr:from>
    <xdr:to>
      <xdr:col>0</xdr:col>
      <xdr:colOff>310403</xdr:colOff>
      <xdr:row>243</xdr:row>
      <xdr:rowOff>180868</xdr:rowOff>
    </xdr:to>
    <xdr:pic>
      <xdr:nvPicPr>
        <xdr:cNvPr id="8" name="Picture 7">
          <a:extLst>
            <a:ext uri="{FF2B5EF4-FFF2-40B4-BE49-F238E27FC236}">
              <a16:creationId xmlns:a16="http://schemas.microsoft.com/office/drawing/2014/main" id="{D7571EFE-CC71-43EA-BA60-2A685D66D704}"/>
            </a:ext>
          </a:extLst>
        </xdr:cNvPr>
        <xdr:cNvPicPr>
          <a:picLocks noChangeAspect="1"/>
        </xdr:cNvPicPr>
      </xdr:nvPicPr>
      <xdr:blipFill>
        <a:blip xmlns:r="http://schemas.openxmlformats.org/officeDocument/2006/relationships" r:embed="rId3"/>
        <a:stretch>
          <a:fillRect/>
        </a:stretch>
      </xdr:blipFill>
      <xdr:spPr>
        <a:xfrm>
          <a:off x="139700" y="49234725"/>
          <a:ext cx="170703" cy="228493"/>
        </a:xfrm>
        <a:prstGeom prst="rect">
          <a:avLst/>
        </a:prstGeom>
      </xdr:spPr>
    </xdr:pic>
    <xdr:clientData/>
  </xdr:twoCellAnchor>
  <xdr:twoCellAnchor editAs="oneCell">
    <xdr:from>
      <xdr:col>0</xdr:col>
      <xdr:colOff>139700</xdr:colOff>
      <xdr:row>345</xdr:row>
      <xdr:rowOff>127000</xdr:rowOff>
    </xdr:from>
    <xdr:to>
      <xdr:col>0</xdr:col>
      <xdr:colOff>310403</xdr:colOff>
      <xdr:row>346</xdr:row>
      <xdr:rowOff>155468</xdr:rowOff>
    </xdr:to>
    <xdr:pic>
      <xdr:nvPicPr>
        <xdr:cNvPr id="9" name="Picture 8">
          <a:extLst>
            <a:ext uri="{FF2B5EF4-FFF2-40B4-BE49-F238E27FC236}">
              <a16:creationId xmlns:a16="http://schemas.microsoft.com/office/drawing/2014/main" id="{C1F3C78C-78D1-46AF-8E23-DB8CEA98971F}"/>
            </a:ext>
          </a:extLst>
        </xdr:cNvPr>
        <xdr:cNvPicPr>
          <a:picLocks noChangeAspect="1"/>
        </xdr:cNvPicPr>
      </xdr:nvPicPr>
      <xdr:blipFill>
        <a:blip xmlns:r="http://schemas.openxmlformats.org/officeDocument/2006/relationships" r:embed="rId3"/>
        <a:stretch>
          <a:fillRect/>
        </a:stretch>
      </xdr:blipFill>
      <xdr:spPr>
        <a:xfrm>
          <a:off x="139700" y="69935725"/>
          <a:ext cx="170703" cy="228493"/>
        </a:xfrm>
        <a:prstGeom prst="rect">
          <a:avLst/>
        </a:prstGeom>
      </xdr:spPr>
    </xdr:pic>
    <xdr:clientData/>
  </xdr:twoCellAnchor>
  <xdr:twoCellAnchor editAs="oneCell">
    <xdr:from>
      <xdr:col>28</xdr:col>
      <xdr:colOff>0</xdr:colOff>
      <xdr:row>345</xdr:row>
      <xdr:rowOff>0</xdr:rowOff>
    </xdr:from>
    <xdr:to>
      <xdr:col>28</xdr:col>
      <xdr:colOff>829128</xdr:colOff>
      <xdr:row>346</xdr:row>
      <xdr:rowOff>89433</xdr:rowOff>
    </xdr:to>
    <xdr:pic>
      <xdr:nvPicPr>
        <xdr:cNvPr id="10" name="Picture 9">
          <a:extLst>
            <a:ext uri="{FF2B5EF4-FFF2-40B4-BE49-F238E27FC236}">
              <a16:creationId xmlns:a16="http://schemas.microsoft.com/office/drawing/2014/main" id="{3034A71A-F459-4CA0-A61F-B56DA69BD531}"/>
            </a:ext>
          </a:extLst>
        </xdr:cNvPr>
        <xdr:cNvPicPr>
          <a:picLocks noChangeAspect="1"/>
        </xdr:cNvPicPr>
      </xdr:nvPicPr>
      <xdr:blipFill>
        <a:blip xmlns:r="http://schemas.openxmlformats.org/officeDocument/2006/relationships" r:embed="rId4"/>
        <a:stretch>
          <a:fillRect/>
        </a:stretch>
      </xdr:blipFill>
      <xdr:spPr>
        <a:xfrm>
          <a:off x="28213050" y="69808725"/>
          <a:ext cx="829128" cy="289458"/>
        </a:xfrm>
        <a:prstGeom prst="rect">
          <a:avLst/>
        </a:prstGeom>
      </xdr:spPr>
    </xdr:pic>
    <xdr:clientData/>
  </xdr:twoCellAnchor>
  <xdr:twoCellAnchor editAs="oneCell">
    <xdr:from>
      <xdr:col>28</xdr:col>
      <xdr:colOff>63500</xdr:colOff>
      <xdr:row>242</xdr:row>
      <xdr:rowOff>88900</xdr:rowOff>
    </xdr:from>
    <xdr:to>
      <xdr:col>28</xdr:col>
      <xdr:colOff>892628</xdr:colOff>
      <xdr:row>243</xdr:row>
      <xdr:rowOff>178333</xdr:rowOff>
    </xdr:to>
    <xdr:pic>
      <xdr:nvPicPr>
        <xdr:cNvPr id="11" name="Picture 10">
          <a:extLst>
            <a:ext uri="{FF2B5EF4-FFF2-40B4-BE49-F238E27FC236}">
              <a16:creationId xmlns:a16="http://schemas.microsoft.com/office/drawing/2014/main" id="{C48F0856-AB9C-4F1A-A4D2-A37CBE0CAAE2}"/>
            </a:ext>
          </a:extLst>
        </xdr:cNvPr>
        <xdr:cNvPicPr>
          <a:picLocks noChangeAspect="1"/>
        </xdr:cNvPicPr>
      </xdr:nvPicPr>
      <xdr:blipFill>
        <a:blip xmlns:r="http://schemas.openxmlformats.org/officeDocument/2006/relationships" r:embed="rId4"/>
        <a:stretch>
          <a:fillRect/>
        </a:stretch>
      </xdr:blipFill>
      <xdr:spPr>
        <a:xfrm>
          <a:off x="28276550" y="49171225"/>
          <a:ext cx="829128" cy="289458"/>
        </a:xfrm>
        <a:prstGeom prst="rect">
          <a:avLst/>
        </a:prstGeom>
      </xdr:spPr>
    </xdr:pic>
    <xdr:clientData/>
  </xdr:twoCellAnchor>
  <xdr:twoCellAnchor editAs="oneCell">
    <xdr:from>
      <xdr:col>28</xdr:col>
      <xdr:colOff>25400</xdr:colOff>
      <xdr:row>133</xdr:row>
      <xdr:rowOff>76200</xdr:rowOff>
    </xdr:from>
    <xdr:to>
      <xdr:col>28</xdr:col>
      <xdr:colOff>854528</xdr:colOff>
      <xdr:row>134</xdr:row>
      <xdr:rowOff>165633</xdr:rowOff>
    </xdr:to>
    <xdr:pic>
      <xdr:nvPicPr>
        <xdr:cNvPr id="12" name="Picture 11">
          <a:extLst>
            <a:ext uri="{FF2B5EF4-FFF2-40B4-BE49-F238E27FC236}">
              <a16:creationId xmlns:a16="http://schemas.microsoft.com/office/drawing/2014/main" id="{470A53B7-BFE5-4063-8628-F114DC5520AB}"/>
            </a:ext>
          </a:extLst>
        </xdr:cNvPr>
        <xdr:cNvPicPr>
          <a:picLocks noChangeAspect="1"/>
        </xdr:cNvPicPr>
      </xdr:nvPicPr>
      <xdr:blipFill>
        <a:blip xmlns:r="http://schemas.openxmlformats.org/officeDocument/2006/relationships" r:embed="rId4"/>
        <a:stretch>
          <a:fillRect/>
        </a:stretch>
      </xdr:blipFill>
      <xdr:spPr>
        <a:xfrm>
          <a:off x="28238450" y="27441525"/>
          <a:ext cx="829128" cy="289458"/>
        </a:xfrm>
        <a:prstGeom prst="rect">
          <a:avLst/>
        </a:prstGeom>
      </xdr:spPr>
    </xdr:pic>
    <xdr:clientData/>
  </xdr:twoCellAnchor>
  <xdr:twoCellAnchor editAs="oneCell">
    <xdr:from>
      <xdr:col>28</xdr:col>
      <xdr:colOff>0</xdr:colOff>
      <xdr:row>51</xdr:row>
      <xdr:rowOff>0</xdr:rowOff>
    </xdr:from>
    <xdr:to>
      <xdr:col>28</xdr:col>
      <xdr:colOff>829128</xdr:colOff>
      <xdr:row>52</xdr:row>
      <xdr:rowOff>89433</xdr:rowOff>
    </xdr:to>
    <xdr:pic>
      <xdr:nvPicPr>
        <xdr:cNvPr id="13" name="Picture 12">
          <a:extLst>
            <a:ext uri="{FF2B5EF4-FFF2-40B4-BE49-F238E27FC236}">
              <a16:creationId xmlns:a16="http://schemas.microsoft.com/office/drawing/2014/main" id="{469492AE-F166-422E-850A-2C16078259B5}"/>
            </a:ext>
          </a:extLst>
        </xdr:cNvPr>
        <xdr:cNvPicPr>
          <a:picLocks noChangeAspect="1"/>
        </xdr:cNvPicPr>
      </xdr:nvPicPr>
      <xdr:blipFill>
        <a:blip xmlns:r="http://schemas.openxmlformats.org/officeDocument/2006/relationships" r:embed="rId4"/>
        <a:stretch>
          <a:fillRect/>
        </a:stretch>
      </xdr:blipFill>
      <xdr:spPr>
        <a:xfrm>
          <a:off x="28213050" y="10515600"/>
          <a:ext cx="829128" cy="2894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139700</xdr:colOff>
      <xdr:row>51</xdr:row>
      <xdr:rowOff>114300</xdr:rowOff>
    </xdr:from>
    <xdr:to>
      <xdr:col>0</xdr:col>
      <xdr:colOff>307863</xdr:colOff>
      <xdr:row>52</xdr:row>
      <xdr:rowOff>147848</xdr:rowOff>
    </xdr:to>
    <xdr:pic>
      <xdr:nvPicPr>
        <xdr:cNvPr id="2" name="Picture 1">
          <a:extLst>
            <a:ext uri="{FF2B5EF4-FFF2-40B4-BE49-F238E27FC236}">
              <a16:creationId xmlns:a16="http://schemas.microsoft.com/office/drawing/2014/main" id="{8420C343-08B3-4520-83E9-7D47FB5DF004}"/>
            </a:ext>
          </a:extLst>
        </xdr:cNvPr>
        <xdr:cNvPicPr>
          <a:picLocks noChangeAspect="1"/>
        </xdr:cNvPicPr>
      </xdr:nvPicPr>
      <xdr:blipFill>
        <a:blip xmlns:r="http://schemas.openxmlformats.org/officeDocument/2006/relationships" r:embed="rId1"/>
        <a:stretch>
          <a:fillRect/>
        </a:stretch>
      </xdr:blipFill>
      <xdr:spPr>
        <a:xfrm>
          <a:off x="135890" y="10620375"/>
          <a:ext cx="171973" cy="22214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224683</xdr:rowOff>
    </xdr:to>
    <xdr:pic>
      <xdr:nvPicPr>
        <xdr:cNvPr id="3" name="Picture 2">
          <a:extLst>
            <a:ext uri="{FF2B5EF4-FFF2-40B4-BE49-F238E27FC236}">
              <a16:creationId xmlns:a16="http://schemas.microsoft.com/office/drawing/2014/main" id="{F7883CB3-E8F6-4367-A1B4-59E1A95DFDC5}"/>
            </a:ext>
          </a:extLst>
        </xdr:cNvPr>
        <xdr:cNvPicPr>
          <a:picLocks noChangeAspect="1"/>
        </xdr:cNvPicPr>
      </xdr:nvPicPr>
      <xdr:blipFill>
        <a:blip xmlns:r="http://schemas.openxmlformats.org/officeDocument/2006/relationships" r:embed="rId1"/>
        <a:stretch>
          <a:fillRect/>
        </a:stretch>
      </xdr:blipFill>
      <xdr:spPr>
        <a:xfrm>
          <a:off x="168910" y="28053665"/>
          <a:ext cx="164988" cy="239288"/>
        </a:xfrm>
        <a:prstGeom prst="rect">
          <a:avLst/>
        </a:prstGeom>
      </xdr:spPr>
    </xdr:pic>
    <xdr:clientData/>
  </xdr:twoCellAnchor>
  <xdr:twoCellAnchor editAs="oneCell">
    <xdr:from>
      <xdr:col>0</xdr:col>
      <xdr:colOff>139700</xdr:colOff>
      <xdr:row>243</xdr:row>
      <xdr:rowOff>152400</xdr:rowOff>
    </xdr:from>
    <xdr:to>
      <xdr:col>0</xdr:col>
      <xdr:colOff>307863</xdr:colOff>
      <xdr:row>244</xdr:row>
      <xdr:rowOff>185948</xdr:rowOff>
    </xdr:to>
    <xdr:pic>
      <xdr:nvPicPr>
        <xdr:cNvPr id="4" name="Picture 3">
          <a:extLst>
            <a:ext uri="{FF2B5EF4-FFF2-40B4-BE49-F238E27FC236}">
              <a16:creationId xmlns:a16="http://schemas.microsoft.com/office/drawing/2014/main" id="{D0A8F6BA-592A-4189-A7B1-BCEB9C9B6A1F}"/>
            </a:ext>
          </a:extLst>
        </xdr:cNvPr>
        <xdr:cNvPicPr>
          <a:picLocks noChangeAspect="1"/>
        </xdr:cNvPicPr>
      </xdr:nvPicPr>
      <xdr:blipFill>
        <a:blip xmlns:r="http://schemas.openxmlformats.org/officeDocument/2006/relationships" r:embed="rId1"/>
        <a:stretch>
          <a:fillRect/>
        </a:stretch>
      </xdr:blipFill>
      <xdr:spPr>
        <a:xfrm>
          <a:off x="135890" y="50139600"/>
          <a:ext cx="171973" cy="222143"/>
        </a:xfrm>
        <a:prstGeom prst="rect">
          <a:avLst/>
        </a:prstGeom>
      </xdr:spPr>
    </xdr:pic>
    <xdr:clientData/>
  </xdr:twoCellAnchor>
  <xdr:twoCellAnchor editAs="oneCell">
    <xdr:from>
      <xdr:col>0</xdr:col>
      <xdr:colOff>139700</xdr:colOff>
      <xdr:row>359</xdr:row>
      <xdr:rowOff>127000</xdr:rowOff>
    </xdr:from>
    <xdr:to>
      <xdr:col>0</xdr:col>
      <xdr:colOff>307863</xdr:colOff>
      <xdr:row>360</xdr:row>
      <xdr:rowOff>155468</xdr:rowOff>
    </xdr:to>
    <xdr:pic>
      <xdr:nvPicPr>
        <xdr:cNvPr id="5" name="Picture 4">
          <a:extLst>
            <a:ext uri="{FF2B5EF4-FFF2-40B4-BE49-F238E27FC236}">
              <a16:creationId xmlns:a16="http://schemas.microsoft.com/office/drawing/2014/main" id="{0A62C278-EFA2-44C4-8FE0-E282E8329C74}"/>
            </a:ext>
          </a:extLst>
        </xdr:cNvPr>
        <xdr:cNvPicPr>
          <a:picLocks noChangeAspect="1"/>
        </xdr:cNvPicPr>
      </xdr:nvPicPr>
      <xdr:blipFill>
        <a:blip xmlns:r="http://schemas.openxmlformats.org/officeDocument/2006/relationships" r:embed="rId1"/>
        <a:stretch>
          <a:fillRect/>
        </a:stretch>
      </xdr:blipFill>
      <xdr:spPr>
        <a:xfrm>
          <a:off x="135890" y="73444735"/>
          <a:ext cx="171973" cy="224683"/>
        </a:xfrm>
        <a:prstGeom prst="rect">
          <a:avLst/>
        </a:prstGeom>
      </xdr:spPr>
    </xdr:pic>
    <xdr:clientData/>
  </xdr:twoCellAnchor>
  <xdr:twoCellAnchor editAs="oneCell">
    <xdr:from>
      <xdr:col>28</xdr:col>
      <xdr:colOff>0</xdr:colOff>
      <xdr:row>359</xdr:row>
      <xdr:rowOff>0</xdr:rowOff>
    </xdr:from>
    <xdr:to>
      <xdr:col>28</xdr:col>
      <xdr:colOff>834208</xdr:colOff>
      <xdr:row>360</xdr:row>
      <xdr:rowOff>109753</xdr:rowOff>
    </xdr:to>
    <xdr:pic>
      <xdr:nvPicPr>
        <xdr:cNvPr id="6" name="Picture 5">
          <a:extLst>
            <a:ext uri="{FF2B5EF4-FFF2-40B4-BE49-F238E27FC236}">
              <a16:creationId xmlns:a16="http://schemas.microsoft.com/office/drawing/2014/main" id="{A84D7709-0CBC-4ED2-AF0C-1ACC2ABD1DD0}"/>
            </a:ext>
          </a:extLst>
        </xdr:cNvPr>
        <xdr:cNvPicPr>
          <a:picLocks noChangeAspect="1"/>
        </xdr:cNvPicPr>
      </xdr:nvPicPr>
      <xdr:blipFill>
        <a:blip xmlns:r="http://schemas.openxmlformats.org/officeDocument/2006/relationships" r:embed="rId2"/>
        <a:stretch>
          <a:fillRect/>
        </a:stretch>
      </xdr:blipFill>
      <xdr:spPr>
        <a:xfrm>
          <a:off x="27603450" y="73313925"/>
          <a:ext cx="822778" cy="294538"/>
        </a:xfrm>
        <a:prstGeom prst="rect">
          <a:avLst/>
        </a:prstGeom>
      </xdr:spPr>
    </xdr:pic>
    <xdr:clientData/>
  </xdr:twoCellAnchor>
  <xdr:twoCellAnchor editAs="oneCell">
    <xdr:from>
      <xdr:col>28</xdr:col>
      <xdr:colOff>63500</xdr:colOff>
      <xdr:row>243</xdr:row>
      <xdr:rowOff>88900</xdr:rowOff>
    </xdr:from>
    <xdr:to>
      <xdr:col>28</xdr:col>
      <xdr:colOff>909773</xdr:colOff>
      <xdr:row>244</xdr:row>
      <xdr:rowOff>187223</xdr:rowOff>
    </xdr:to>
    <xdr:pic>
      <xdr:nvPicPr>
        <xdr:cNvPr id="7" name="Picture 6">
          <a:extLst>
            <a:ext uri="{FF2B5EF4-FFF2-40B4-BE49-F238E27FC236}">
              <a16:creationId xmlns:a16="http://schemas.microsoft.com/office/drawing/2014/main" id="{11CCD9BB-B754-4A0A-AF90-F535928E1783}"/>
            </a:ext>
          </a:extLst>
        </xdr:cNvPr>
        <xdr:cNvPicPr>
          <a:picLocks noChangeAspect="1"/>
        </xdr:cNvPicPr>
      </xdr:nvPicPr>
      <xdr:blipFill>
        <a:blip xmlns:r="http://schemas.openxmlformats.org/officeDocument/2006/relationships" r:embed="rId2"/>
        <a:stretch>
          <a:fillRect/>
        </a:stretch>
      </xdr:blipFill>
      <xdr:spPr>
        <a:xfrm>
          <a:off x="27663140" y="50079910"/>
          <a:ext cx="834843" cy="277393"/>
        </a:xfrm>
        <a:prstGeom prst="rect">
          <a:avLst/>
        </a:prstGeom>
      </xdr:spPr>
    </xdr:pic>
    <xdr:clientData/>
  </xdr:twoCellAnchor>
  <xdr:twoCellAnchor editAs="oneCell">
    <xdr:from>
      <xdr:col>28</xdr:col>
      <xdr:colOff>25400</xdr:colOff>
      <xdr:row>133</xdr:row>
      <xdr:rowOff>76200</xdr:rowOff>
    </xdr:from>
    <xdr:to>
      <xdr:col>28</xdr:col>
      <xdr:colOff>871673</xdr:colOff>
      <xdr:row>134</xdr:row>
      <xdr:rowOff>185953</xdr:rowOff>
    </xdr:to>
    <xdr:pic>
      <xdr:nvPicPr>
        <xdr:cNvPr id="8" name="Picture 7">
          <a:extLst>
            <a:ext uri="{FF2B5EF4-FFF2-40B4-BE49-F238E27FC236}">
              <a16:creationId xmlns:a16="http://schemas.microsoft.com/office/drawing/2014/main" id="{42616536-DF2C-43BC-9A79-EC484CD37D03}"/>
            </a:ext>
          </a:extLst>
        </xdr:cNvPr>
        <xdr:cNvPicPr>
          <a:picLocks noChangeAspect="1"/>
        </xdr:cNvPicPr>
      </xdr:nvPicPr>
      <xdr:blipFill>
        <a:blip xmlns:r="http://schemas.openxmlformats.org/officeDocument/2006/relationships" r:embed="rId2"/>
        <a:stretch>
          <a:fillRect/>
        </a:stretch>
      </xdr:blipFill>
      <xdr:spPr>
        <a:xfrm>
          <a:off x="27625040" y="27955875"/>
          <a:ext cx="834843" cy="294538"/>
        </a:xfrm>
        <a:prstGeom prst="rect">
          <a:avLst/>
        </a:prstGeom>
      </xdr:spPr>
    </xdr:pic>
    <xdr:clientData/>
  </xdr:twoCellAnchor>
  <xdr:twoCellAnchor editAs="oneCell">
    <xdr:from>
      <xdr:col>28</xdr:col>
      <xdr:colOff>0</xdr:colOff>
      <xdr:row>51</xdr:row>
      <xdr:rowOff>0</xdr:rowOff>
    </xdr:from>
    <xdr:to>
      <xdr:col>28</xdr:col>
      <xdr:colOff>834208</xdr:colOff>
      <xdr:row>52</xdr:row>
      <xdr:rowOff>109753</xdr:rowOff>
    </xdr:to>
    <xdr:pic>
      <xdr:nvPicPr>
        <xdr:cNvPr id="9" name="Picture 8">
          <a:extLst>
            <a:ext uri="{FF2B5EF4-FFF2-40B4-BE49-F238E27FC236}">
              <a16:creationId xmlns:a16="http://schemas.microsoft.com/office/drawing/2014/main" id="{795DD0BF-5D31-407A-82FE-620A31483F0E}"/>
            </a:ext>
          </a:extLst>
        </xdr:cNvPr>
        <xdr:cNvPicPr>
          <a:picLocks noChangeAspect="1"/>
        </xdr:cNvPicPr>
      </xdr:nvPicPr>
      <xdr:blipFill>
        <a:blip xmlns:r="http://schemas.openxmlformats.org/officeDocument/2006/relationships" r:embed="rId2"/>
        <a:stretch>
          <a:fillRect/>
        </a:stretch>
      </xdr:blipFill>
      <xdr:spPr>
        <a:xfrm>
          <a:off x="27603450" y="10506075"/>
          <a:ext cx="822778" cy="294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346</xdr:row>
      <xdr:rowOff>152400</xdr:rowOff>
    </xdr:to>
    <xdr:pic>
      <xdr:nvPicPr>
        <xdr:cNvPr id="2" name="Picture 1" descr="C:\WINDOWS\TEMP\~0003946.gif">
          <a:extLst>
            <a:ext uri="{FF2B5EF4-FFF2-40B4-BE49-F238E27FC236}">
              <a16:creationId xmlns:a16="http://schemas.microsoft.com/office/drawing/2014/main" id="{FAD4EB7C-849F-4F32-ACA4-F7FFCD52E77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70332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4C227E2F-A0CE-49EC-A5E0-C04938A2AB2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963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9AA1A74E-4E84-4E56-9F14-0530E6EE54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1238660A-EFFF-4AFE-87DB-F994410B030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067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310403</xdr:colOff>
      <xdr:row>52</xdr:row>
      <xdr:rowOff>142768</xdr:rowOff>
    </xdr:to>
    <xdr:pic>
      <xdr:nvPicPr>
        <xdr:cNvPr id="6" name="Picture 5">
          <a:extLst>
            <a:ext uri="{FF2B5EF4-FFF2-40B4-BE49-F238E27FC236}">
              <a16:creationId xmlns:a16="http://schemas.microsoft.com/office/drawing/2014/main" id="{1ECA7128-55BA-4248-8C2A-BDB3C310BC9A}"/>
            </a:ext>
          </a:extLst>
        </xdr:cNvPr>
        <xdr:cNvPicPr>
          <a:picLocks noChangeAspect="1"/>
        </xdr:cNvPicPr>
      </xdr:nvPicPr>
      <xdr:blipFill>
        <a:blip xmlns:r="http://schemas.openxmlformats.org/officeDocument/2006/relationships" r:embed="rId3"/>
        <a:stretch>
          <a:fillRect/>
        </a:stretch>
      </xdr:blipFill>
      <xdr:spPr>
        <a:xfrm>
          <a:off x="139700" y="10629900"/>
          <a:ext cx="170703" cy="22849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206268</xdr:rowOff>
    </xdr:to>
    <xdr:pic>
      <xdr:nvPicPr>
        <xdr:cNvPr id="7" name="Picture 6">
          <a:extLst>
            <a:ext uri="{FF2B5EF4-FFF2-40B4-BE49-F238E27FC236}">
              <a16:creationId xmlns:a16="http://schemas.microsoft.com/office/drawing/2014/main" id="{C51BE146-A07D-4AE5-9ECA-EA17AD4FE864}"/>
            </a:ext>
          </a:extLst>
        </xdr:cNvPr>
        <xdr:cNvPicPr>
          <a:picLocks noChangeAspect="1"/>
        </xdr:cNvPicPr>
      </xdr:nvPicPr>
      <xdr:blipFill>
        <a:blip xmlns:r="http://schemas.openxmlformats.org/officeDocument/2006/relationships" r:embed="rId3"/>
        <a:stretch>
          <a:fillRect/>
        </a:stretch>
      </xdr:blipFill>
      <xdr:spPr>
        <a:xfrm>
          <a:off x="165100" y="27743150"/>
          <a:ext cx="178323" cy="228493"/>
        </a:xfrm>
        <a:prstGeom prst="rect">
          <a:avLst/>
        </a:prstGeom>
      </xdr:spPr>
    </xdr:pic>
    <xdr:clientData/>
  </xdr:twoCellAnchor>
  <xdr:twoCellAnchor editAs="oneCell">
    <xdr:from>
      <xdr:col>0</xdr:col>
      <xdr:colOff>139700</xdr:colOff>
      <xdr:row>242</xdr:row>
      <xdr:rowOff>152400</xdr:rowOff>
    </xdr:from>
    <xdr:to>
      <xdr:col>0</xdr:col>
      <xdr:colOff>310403</xdr:colOff>
      <xdr:row>243</xdr:row>
      <xdr:rowOff>180868</xdr:rowOff>
    </xdr:to>
    <xdr:pic>
      <xdr:nvPicPr>
        <xdr:cNvPr id="8" name="Picture 7">
          <a:extLst>
            <a:ext uri="{FF2B5EF4-FFF2-40B4-BE49-F238E27FC236}">
              <a16:creationId xmlns:a16="http://schemas.microsoft.com/office/drawing/2014/main" id="{5D578C30-9075-41D5-A1F4-C80EE3F14123}"/>
            </a:ext>
          </a:extLst>
        </xdr:cNvPr>
        <xdr:cNvPicPr>
          <a:picLocks noChangeAspect="1"/>
        </xdr:cNvPicPr>
      </xdr:nvPicPr>
      <xdr:blipFill>
        <a:blip xmlns:r="http://schemas.openxmlformats.org/officeDocument/2006/relationships" r:embed="rId3"/>
        <a:stretch>
          <a:fillRect/>
        </a:stretch>
      </xdr:blipFill>
      <xdr:spPr>
        <a:xfrm>
          <a:off x="139700" y="49634775"/>
          <a:ext cx="170703" cy="228493"/>
        </a:xfrm>
        <a:prstGeom prst="rect">
          <a:avLst/>
        </a:prstGeom>
      </xdr:spPr>
    </xdr:pic>
    <xdr:clientData/>
  </xdr:twoCellAnchor>
  <xdr:twoCellAnchor editAs="oneCell">
    <xdr:from>
      <xdr:col>0</xdr:col>
      <xdr:colOff>139700</xdr:colOff>
      <xdr:row>345</xdr:row>
      <xdr:rowOff>127000</xdr:rowOff>
    </xdr:from>
    <xdr:to>
      <xdr:col>0</xdr:col>
      <xdr:colOff>310403</xdr:colOff>
      <xdr:row>346</xdr:row>
      <xdr:rowOff>155468</xdr:rowOff>
    </xdr:to>
    <xdr:pic>
      <xdr:nvPicPr>
        <xdr:cNvPr id="9" name="Picture 8">
          <a:extLst>
            <a:ext uri="{FF2B5EF4-FFF2-40B4-BE49-F238E27FC236}">
              <a16:creationId xmlns:a16="http://schemas.microsoft.com/office/drawing/2014/main" id="{185742AE-1DDB-467B-B967-42504CA8FCE9}"/>
            </a:ext>
          </a:extLst>
        </xdr:cNvPr>
        <xdr:cNvPicPr>
          <a:picLocks noChangeAspect="1"/>
        </xdr:cNvPicPr>
      </xdr:nvPicPr>
      <xdr:blipFill>
        <a:blip xmlns:r="http://schemas.openxmlformats.org/officeDocument/2006/relationships" r:embed="rId3"/>
        <a:stretch>
          <a:fillRect/>
        </a:stretch>
      </xdr:blipFill>
      <xdr:spPr>
        <a:xfrm>
          <a:off x="139700" y="70335775"/>
          <a:ext cx="170703" cy="228493"/>
        </a:xfrm>
        <a:prstGeom prst="rect">
          <a:avLst/>
        </a:prstGeom>
      </xdr:spPr>
    </xdr:pic>
    <xdr:clientData/>
  </xdr:twoCellAnchor>
  <xdr:twoCellAnchor editAs="oneCell">
    <xdr:from>
      <xdr:col>28</xdr:col>
      <xdr:colOff>0</xdr:colOff>
      <xdr:row>345</xdr:row>
      <xdr:rowOff>0</xdr:rowOff>
    </xdr:from>
    <xdr:to>
      <xdr:col>28</xdr:col>
      <xdr:colOff>829128</xdr:colOff>
      <xdr:row>346</xdr:row>
      <xdr:rowOff>89433</xdr:rowOff>
    </xdr:to>
    <xdr:pic>
      <xdr:nvPicPr>
        <xdr:cNvPr id="10" name="Picture 9">
          <a:extLst>
            <a:ext uri="{FF2B5EF4-FFF2-40B4-BE49-F238E27FC236}">
              <a16:creationId xmlns:a16="http://schemas.microsoft.com/office/drawing/2014/main" id="{131B5D9C-63B1-432D-A773-04609B80B40D}"/>
            </a:ext>
          </a:extLst>
        </xdr:cNvPr>
        <xdr:cNvPicPr>
          <a:picLocks noChangeAspect="1"/>
        </xdr:cNvPicPr>
      </xdr:nvPicPr>
      <xdr:blipFill>
        <a:blip xmlns:r="http://schemas.openxmlformats.org/officeDocument/2006/relationships" r:embed="rId4"/>
        <a:stretch>
          <a:fillRect/>
        </a:stretch>
      </xdr:blipFill>
      <xdr:spPr>
        <a:xfrm>
          <a:off x="28213050" y="70208775"/>
          <a:ext cx="829128" cy="289458"/>
        </a:xfrm>
        <a:prstGeom prst="rect">
          <a:avLst/>
        </a:prstGeom>
      </xdr:spPr>
    </xdr:pic>
    <xdr:clientData/>
  </xdr:twoCellAnchor>
  <xdr:twoCellAnchor editAs="oneCell">
    <xdr:from>
      <xdr:col>28</xdr:col>
      <xdr:colOff>63500</xdr:colOff>
      <xdr:row>242</xdr:row>
      <xdr:rowOff>88900</xdr:rowOff>
    </xdr:from>
    <xdr:to>
      <xdr:col>28</xdr:col>
      <xdr:colOff>892628</xdr:colOff>
      <xdr:row>243</xdr:row>
      <xdr:rowOff>178333</xdr:rowOff>
    </xdr:to>
    <xdr:pic>
      <xdr:nvPicPr>
        <xdr:cNvPr id="11" name="Picture 10">
          <a:extLst>
            <a:ext uri="{FF2B5EF4-FFF2-40B4-BE49-F238E27FC236}">
              <a16:creationId xmlns:a16="http://schemas.microsoft.com/office/drawing/2014/main" id="{8D59EDE9-A2F2-41D2-8571-046741D97150}"/>
            </a:ext>
          </a:extLst>
        </xdr:cNvPr>
        <xdr:cNvPicPr>
          <a:picLocks noChangeAspect="1"/>
        </xdr:cNvPicPr>
      </xdr:nvPicPr>
      <xdr:blipFill>
        <a:blip xmlns:r="http://schemas.openxmlformats.org/officeDocument/2006/relationships" r:embed="rId4"/>
        <a:stretch>
          <a:fillRect/>
        </a:stretch>
      </xdr:blipFill>
      <xdr:spPr>
        <a:xfrm>
          <a:off x="28276550" y="49571275"/>
          <a:ext cx="829128" cy="289458"/>
        </a:xfrm>
        <a:prstGeom prst="rect">
          <a:avLst/>
        </a:prstGeom>
      </xdr:spPr>
    </xdr:pic>
    <xdr:clientData/>
  </xdr:twoCellAnchor>
  <xdr:twoCellAnchor editAs="oneCell">
    <xdr:from>
      <xdr:col>28</xdr:col>
      <xdr:colOff>25400</xdr:colOff>
      <xdr:row>133</xdr:row>
      <xdr:rowOff>76200</xdr:rowOff>
    </xdr:from>
    <xdr:to>
      <xdr:col>28</xdr:col>
      <xdr:colOff>854528</xdr:colOff>
      <xdr:row>134</xdr:row>
      <xdr:rowOff>165633</xdr:rowOff>
    </xdr:to>
    <xdr:pic>
      <xdr:nvPicPr>
        <xdr:cNvPr id="12" name="Picture 11">
          <a:extLst>
            <a:ext uri="{FF2B5EF4-FFF2-40B4-BE49-F238E27FC236}">
              <a16:creationId xmlns:a16="http://schemas.microsoft.com/office/drawing/2014/main" id="{6F120222-7E90-405E-8EA6-4FC3A5D4728D}"/>
            </a:ext>
          </a:extLst>
        </xdr:cNvPr>
        <xdr:cNvPicPr>
          <a:picLocks noChangeAspect="1"/>
        </xdr:cNvPicPr>
      </xdr:nvPicPr>
      <xdr:blipFill>
        <a:blip xmlns:r="http://schemas.openxmlformats.org/officeDocument/2006/relationships" r:embed="rId4"/>
        <a:stretch>
          <a:fillRect/>
        </a:stretch>
      </xdr:blipFill>
      <xdr:spPr>
        <a:xfrm>
          <a:off x="28238450" y="27641550"/>
          <a:ext cx="829128" cy="289458"/>
        </a:xfrm>
        <a:prstGeom prst="rect">
          <a:avLst/>
        </a:prstGeom>
      </xdr:spPr>
    </xdr:pic>
    <xdr:clientData/>
  </xdr:twoCellAnchor>
  <xdr:twoCellAnchor editAs="oneCell">
    <xdr:from>
      <xdr:col>28</xdr:col>
      <xdr:colOff>0</xdr:colOff>
      <xdr:row>51</xdr:row>
      <xdr:rowOff>0</xdr:rowOff>
    </xdr:from>
    <xdr:to>
      <xdr:col>28</xdr:col>
      <xdr:colOff>829128</xdr:colOff>
      <xdr:row>52</xdr:row>
      <xdr:rowOff>89433</xdr:rowOff>
    </xdr:to>
    <xdr:pic>
      <xdr:nvPicPr>
        <xdr:cNvPr id="13" name="Picture 12">
          <a:extLst>
            <a:ext uri="{FF2B5EF4-FFF2-40B4-BE49-F238E27FC236}">
              <a16:creationId xmlns:a16="http://schemas.microsoft.com/office/drawing/2014/main" id="{8F8CE44F-C128-45B2-BAAD-87FB180B6E71}"/>
            </a:ext>
          </a:extLst>
        </xdr:cNvPr>
        <xdr:cNvPicPr>
          <a:picLocks noChangeAspect="1"/>
        </xdr:cNvPicPr>
      </xdr:nvPicPr>
      <xdr:blipFill>
        <a:blip xmlns:r="http://schemas.openxmlformats.org/officeDocument/2006/relationships" r:embed="rId4"/>
        <a:stretch>
          <a:fillRect/>
        </a:stretch>
      </xdr:blipFill>
      <xdr:spPr>
        <a:xfrm>
          <a:off x="28213050" y="10515600"/>
          <a:ext cx="829128" cy="2894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346</xdr:row>
      <xdr:rowOff>152400</xdr:rowOff>
    </xdr:to>
    <xdr:pic>
      <xdr:nvPicPr>
        <xdr:cNvPr id="2" name="Picture 1" descr="C:\WINDOWS\TEMP\~0003946.gif">
          <a:extLst>
            <a:ext uri="{FF2B5EF4-FFF2-40B4-BE49-F238E27FC236}">
              <a16:creationId xmlns:a16="http://schemas.microsoft.com/office/drawing/2014/main" id="{2F0EA60A-C522-4195-B602-2536A9BD33B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70332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57A95BC4-E305-456D-AC51-9693C5AA932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9634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62936356-22F6-40A8-9DDE-134CF5426B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68517200-DB67-49DC-8DE0-FB48F04AB71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067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310403</xdr:colOff>
      <xdr:row>52</xdr:row>
      <xdr:rowOff>142768</xdr:rowOff>
    </xdr:to>
    <xdr:pic>
      <xdr:nvPicPr>
        <xdr:cNvPr id="6" name="Picture 5">
          <a:extLst>
            <a:ext uri="{FF2B5EF4-FFF2-40B4-BE49-F238E27FC236}">
              <a16:creationId xmlns:a16="http://schemas.microsoft.com/office/drawing/2014/main" id="{F844C9B7-A4A9-4BD8-87EF-2D9C95CF5377}"/>
            </a:ext>
          </a:extLst>
        </xdr:cNvPr>
        <xdr:cNvPicPr>
          <a:picLocks noChangeAspect="1"/>
        </xdr:cNvPicPr>
      </xdr:nvPicPr>
      <xdr:blipFill>
        <a:blip xmlns:r="http://schemas.openxmlformats.org/officeDocument/2006/relationships" r:embed="rId3"/>
        <a:stretch>
          <a:fillRect/>
        </a:stretch>
      </xdr:blipFill>
      <xdr:spPr>
        <a:xfrm>
          <a:off x="139700" y="10629900"/>
          <a:ext cx="170703" cy="22849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206268</xdr:rowOff>
    </xdr:to>
    <xdr:pic>
      <xdr:nvPicPr>
        <xdr:cNvPr id="7" name="Picture 6">
          <a:extLst>
            <a:ext uri="{FF2B5EF4-FFF2-40B4-BE49-F238E27FC236}">
              <a16:creationId xmlns:a16="http://schemas.microsoft.com/office/drawing/2014/main" id="{BB2A4C21-D4C5-4D6E-8B6C-3623620C96C0}"/>
            </a:ext>
          </a:extLst>
        </xdr:cNvPr>
        <xdr:cNvPicPr>
          <a:picLocks noChangeAspect="1"/>
        </xdr:cNvPicPr>
      </xdr:nvPicPr>
      <xdr:blipFill>
        <a:blip xmlns:r="http://schemas.openxmlformats.org/officeDocument/2006/relationships" r:embed="rId3"/>
        <a:stretch>
          <a:fillRect/>
        </a:stretch>
      </xdr:blipFill>
      <xdr:spPr>
        <a:xfrm>
          <a:off x="165100" y="27743150"/>
          <a:ext cx="178323" cy="228493"/>
        </a:xfrm>
        <a:prstGeom prst="rect">
          <a:avLst/>
        </a:prstGeom>
      </xdr:spPr>
    </xdr:pic>
    <xdr:clientData/>
  </xdr:twoCellAnchor>
  <xdr:twoCellAnchor editAs="oneCell">
    <xdr:from>
      <xdr:col>0</xdr:col>
      <xdr:colOff>139700</xdr:colOff>
      <xdr:row>242</xdr:row>
      <xdr:rowOff>152400</xdr:rowOff>
    </xdr:from>
    <xdr:to>
      <xdr:col>0</xdr:col>
      <xdr:colOff>310403</xdr:colOff>
      <xdr:row>243</xdr:row>
      <xdr:rowOff>180868</xdr:rowOff>
    </xdr:to>
    <xdr:pic>
      <xdr:nvPicPr>
        <xdr:cNvPr id="8" name="Picture 7">
          <a:extLst>
            <a:ext uri="{FF2B5EF4-FFF2-40B4-BE49-F238E27FC236}">
              <a16:creationId xmlns:a16="http://schemas.microsoft.com/office/drawing/2014/main" id="{1AEC93E0-542F-4BCB-B0CA-D3FD7C26CD4B}"/>
            </a:ext>
          </a:extLst>
        </xdr:cNvPr>
        <xdr:cNvPicPr>
          <a:picLocks noChangeAspect="1"/>
        </xdr:cNvPicPr>
      </xdr:nvPicPr>
      <xdr:blipFill>
        <a:blip xmlns:r="http://schemas.openxmlformats.org/officeDocument/2006/relationships" r:embed="rId3"/>
        <a:stretch>
          <a:fillRect/>
        </a:stretch>
      </xdr:blipFill>
      <xdr:spPr>
        <a:xfrm>
          <a:off x="139700" y="49634775"/>
          <a:ext cx="170703" cy="228493"/>
        </a:xfrm>
        <a:prstGeom prst="rect">
          <a:avLst/>
        </a:prstGeom>
      </xdr:spPr>
    </xdr:pic>
    <xdr:clientData/>
  </xdr:twoCellAnchor>
  <xdr:twoCellAnchor editAs="oneCell">
    <xdr:from>
      <xdr:col>0</xdr:col>
      <xdr:colOff>139700</xdr:colOff>
      <xdr:row>345</xdr:row>
      <xdr:rowOff>127000</xdr:rowOff>
    </xdr:from>
    <xdr:to>
      <xdr:col>0</xdr:col>
      <xdr:colOff>310403</xdr:colOff>
      <xdr:row>346</xdr:row>
      <xdr:rowOff>155468</xdr:rowOff>
    </xdr:to>
    <xdr:pic>
      <xdr:nvPicPr>
        <xdr:cNvPr id="9" name="Picture 8">
          <a:extLst>
            <a:ext uri="{FF2B5EF4-FFF2-40B4-BE49-F238E27FC236}">
              <a16:creationId xmlns:a16="http://schemas.microsoft.com/office/drawing/2014/main" id="{F4FF1BA9-1F6F-477E-A31B-EE4345AF50EE}"/>
            </a:ext>
          </a:extLst>
        </xdr:cNvPr>
        <xdr:cNvPicPr>
          <a:picLocks noChangeAspect="1"/>
        </xdr:cNvPicPr>
      </xdr:nvPicPr>
      <xdr:blipFill>
        <a:blip xmlns:r="http://schemas.openxmlformats.org/officeDocument/2006/relationships" r:embed="rId3"/>
        <a:stretch>
          <a:fillRect/>
        </a:stretch>
      </xdr:blipFill>
      <xdr:spPr>
        <a:xfrm>
          <a:off x="139700" y="70335775"/>
          <a:ext cx="170703" cy="228493"/>
        </a:xfrm>
        <a:prstGeom prst="rect">
          <a:avLst/>
        </a:prstGeom>
      </xdr:spPr>
    </xdr:pic>
    <xdr:clientData/>
  </xdr:twoCellAnchor>
  <xdr:twoCellAnchor editAs="oneCell">
    <xdr:from>
      <xdr:col>28</xdr:col>
      <xdr:colOff>0</xdr:colOff>
      <xdr:row>345</xdr:row>
      <xdr:rowOff>0</xdr:rowOff>
    </xdr:from>
    <xdr:to>
      <xdr:col>28</xdr:col>
      <xdr:colOff>829128</xdr:colOff>
      <xdr:row>346</xdr:row>
      <xdr:rowOff>89433</xdr:rowOff>
    </xdr:to>
    <xdr:pic>
      <xdr:nvPicPr>
        <xdr:cNvPr id="10" name="Picture 9">
          <a:extLst>
            <a:ext uri="{FF2B5EF4-FFF2-40B4-BE49-F238E27FC236}">
              <a16:creationId xmlns:a16="http://schemas.microsoft.com/office/drawing/2014/main" id="{C30298A3-D9F0-4A7D-9106-745E06968DD2}"/>
            </a:ext>
          </a:extLst>
        </xdr:cNvPr>
        <xdr:cNvPicPr>
          <a:picLocks noChangeAspect="1"/>
        </xdr:cNvPicPr>
      </xdr:nvPicPr>
      <xdr:blipFill>
        <a:blip xmlns:r="http://schemas.openxmlformats.org/officeDocument/2006/relationships" r:embed="rId4"/>
        <a:stretch>
          <a:fillRect/>
        </a:stretch>
      </xdr:blipFill>
      <xdr:spPr>
        <a:xfrm>
          <a:off x="28213050" y="70208775"/>
          <a:ext cx="829128" cy="289458"/>
        </a:xfrm>
        <a:prstGeom prst="rect">
          <a:avLst/>
        </a:prstGeom>
      </xdr:spPr>
    </xdr:pic>
    <xdr:clientData/>
  </xdr:twoCellAnchor>
  <xdr:twoCellAnchor editAs="oneCell">
    <xdr:from>
      <xdr:col>28</xdr:col>
      <xdr:colOff>63500</xdr:colOff>
      <xdr:row>242</xdr:row>
      <xdr:rowOff>88900</xdr:rowOff>
    </xdr:from>
    <xdr:to>
      <xdr:col>28</xdr:col>
      <xdr:colOff>892628</xdr:colOff>
      <xdr:row>243</xdr:row>
      <xdr:rowOff>178333</xdr:rowOff>
    </xdr:to>
    <xdr:pic>
      <xdr:nvPicPr>
        <xdr:cNvPr id="11" name="Picture 10">
          <a:extLst>
            <a:ext uri="{FF2B5EF4-FFF2-40B4-BE49-F238E27FC236}">
              <a16:creationId xmlns:a16="http://schemas.microsoft.com/office/drawing/2014/main" id="{37D71CA2-7657-437A-AD01-B50B01B4E57C}"/>
            </a:ext>
          </a:extLst>
        </xdr:cNvPr>
        <xdr:cNvPicPr>
          <a:picLocks noChangeAspect="1"/>
        </xdr:cNvPicPr>
      </xdr:nvPicPr>
      <xdr:blipFill>
        <a:blip xmlns:r="http://schemas.openxmlformats.org/officeDocument/2006/relationships" r:embed="rId4"/>
        <a:stretch>
          <a:fillRect/>
        </a:stretch>
      </xdr:blipFill>
      <xdr:spPr>
        <a:xfrm>
          <a:off x="28276550" y="49571275"/>
          <a:ext cx="829128" cy="289458"/>
        </a:xfrm>
        <a:prstGeom prst="rect">
          <a:avLst/>
        </a:prstGeom>
      </xdr:spPr>
    </xdr:pic>
    <xdr:clientData/>
  </xdr:twoCellAnchor>
  <xdr:twoCellAnchor editAs="oneCell">
    <xdr:from>
      <xdr:col>28</xdr:col>
      <xdr:colOff>25400</xdr:colOff>
      <xdr:row>133</xdr:row>
      <xdr:rowOff>76200</xdr:rowOff>
    </xdr:from>
    <xdr:to>
      <xdr:col>28</xdr:col>
      <xdr:colOff>854528</xdr:colOff>
      <xdr:row>134</xdr:row>
      <xdr:rowOff>165633</xdr:rowOff>
    </xdr:to>
    <xdr:pic>
      <xdr:nvPicPr>
        <xdr:cNvPr id="12" name="Picture 11">
          <a:extLst>
            <a:ext uri="{FF2B5EF4-FFF2-40B4-BE49-F238E27FC236}">
              <a16:creationId xmlns:a16="http://schemas.microsoft.com/office/drawing/2014/main" id="{F12B7103-46D2-4F6D-AF92-81163DA29C66}"/>
            </a:ext>
          </a:extLst>
        </xdr:cNvPr>
        <xdr:cNvPicPr>
          <a:picLocks noChangeAspect="1"/>
        </xdr:cNvPicPr>
      </xdr:nvPicPr>
      <xdr:blipFill>
        <a:blip xmlns:r="http://schemas.openxmlformats.org/officeDocument/2006/relationships" r:embed="rId4"/>
        <a:stretch>
          <a:fillRect/>
        </a:stretch>
      </xdr:blipFill>
      <xdr:spPr>
        <a:xfrm>
          <a:off x="28238450" y="27641550"/>
          <a:ext cx="829128" cy="289458"/>
        </a:xfrm>
        <a:prstGeom prst="rect">
          <a:avLst/>
        </a:prstGeom>
      </xdr:spPr>
    </xdr:pic>
    <xdr:clientData/>
  </xdr:twoCellAnchor>
  <xdr:twoCellAnchor editAs="oneCell">
    <xdr:from>
      <xdr:col>28</xdr:col>
      <xdr:colOff>0</xdr:colOff>
      <xdr:row>51</xdr:row>
      <xdr:rowOff>0</xdr:rowOff>
    </xdr:from>
    <xdr:to>
      <xdr:col>28</xdr:col>
      <xdr:colOff>829128</xdr:colOff>
      <xdr:row>52</xdr:row>
      <xdr:rowOff>89433</xdr:rowOff>
    </xdr:to>
    <xdr:pic>
      <xdr:nvPicPr>
        <xdr:cNvPr id="13" name="Picture 12">
          <a:extLst>
            <a:ext uri="{FF2B5EF4-FFF2-40B4-BE49-F238E27FC236}">
              <a16:creationId xmlns:a16="http://schemas.microsoft.com/office/drawing/2014/main" id="{B09B72C4-F50D-4FB3-AFC8-0509DD220AE7}"/>
            </a:ext>
          </a:extLst>
        </xdr:cNvPr>
        <xdr:cNvPicPr>
          <a:picLocks noChangeAspect="1"/>
        </xdr:cNvPicPr>
      </xdr:nvPicPr>
      <xdr:blipFill>
        <a:blip xmlns:r="http://schemas.openxmlformats.org/officeDocument/2006/relationships" r:embed="rId4"/>
        <a:stretch>
          <a:fillRect/>
        </a:stretch>
      </xdr:blipFill>
      <xdr:spPr>
        <a:xfrm>
          <a:off x="28213050" y="10515600"/>
          <a:ext cx="829128" cy="2894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346</xdr:row>
      <xdr:rowOff>152400</xdr:rowOff>
    </xdr:to>
    <xdr:pic>
      <xdr:nvPicPr>
        <xdr:cNvPr id="2" name="Picture 1" descr="C:\WINDOWS\TEMP\~0003946.gif">
          <a:extLst>
            <a:ext uri="{FF2B5EF4-FFF2-40B4-BE49-F238E27FC236}">
              <a16:creationId xmlns:a16="http://schemas.microsoft.com/office/drawing/2014/main" id="{505826F1-98DE-4728-AA03-602F6CD7E3F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70665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5357BC21-51B8-4D5F-8404-017FEAF28E3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9968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EE98339B-A844-4279-BCAB-B218FBDBF1F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806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5AA550F6-A253-4DCF-9ACB-403BB0B80F6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067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310403</xdr:colOff>
      <xdr:row>52</xdr:row>
      <xdr:rowOff>142768</xdr:rowOff>
    </xdr:to>
    <xdr:pic>
      <xdr:nvPicPr>
        <xdr:cNvPr id="6" name="Picture 5">
          <a:extLst>
            <a:ext uri="{FF2B5EF4-FFF2-40B4-BE49-F238E27FC236}">
              <a16:creationId xmlns:a16="http://schemas.microsoft.com/office/drawing/2014/main" id="{D63DA424-1405-4095-A9E7-372C249555DE}"/>
            </a:ext>
          </a:extLst>
        </xdr:cNvPr>
        <xdr:cNvPicPr>
          <a:picLocks noChangeAspect="1"/>
        </xdr:cNvPicPr>
      </xdr:nvPicPr>
      <xdr:blipFill>
        <a:blip xmlns:r="http://schemas.openxmlformats.org/officeDocument/2006/relationships" r:embed="rId3"/>
        <a:stretch>
          <a:fillRect/>
        </a:stretch>
      </xdr:blipFill>
      <xdr:spPr>
        <a:xfrm>
          <a:off x="139700" y="10629900"/>
          <a:ext cx="170703" cy="22849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206268</xdr:rowOff>
    </xdr:to>
    <xdr:pic>
      <xdr:nvPicPr>
        <xdr:cNvPr id="7" name="Picture 6">
          <a:extLst>
            <a:ext uri="{FF2B5EF4-FFF2-40B4-BE49-F238E27FC236}">
              <a16:creationId xmlns:a16="http://schemas.microsoft.com/office/drawing/2014/main" id="{77EC9258-2C84-47EA-B383-DBD8C8645F0F}"/>
            </a:ext>
          </a:extLst>
        </xdr:cNvPr>
        <xdr:cNvPicPr>
          <a:picLocks noChangeAspect="1"/>
        </xdr:cNvPicPr>
      </xdr:nvPicPr>
      <xdr:blipFill>
        <a:blip xmlns:r="http://schemas.openxmlformats.org/officeDocument/2006/relationships" r:embed="rId3"/>
        <a:stretch>
          <a:fillRect/>
        </a:stretch>
      </xdr:blipFill>
      <xdr:spPr>
        <a:xfrm>
          <a:off x="165100" y="28076525"/>
          <a:ext cx="178323" cy="228493"/>
        </a:xfrm>
        <a:prstGeom prst="rect">
          <a:avLst/>
        </a:prstGeom>
      </xdr:spPr>
    </xdr:pic>
    <xdr:clientData/>
  </xdr:twoCellAnchor>
  <xdr:twoCellAnchor editAs="oneCell">
    <xdr:from>
      <xdr:col>0</xdr:col>
      <xdr:colOff>139700</xdr:colOff>
      <xdr:row>242</xdr:row>
      <xdr:rowOff>152400</xdr:rowOff>
    </xdr:from>
    <xdr:to>
      <xdr:col>0</xdr:col>
      <xdr:colOff>310403</xdr:colOff>
      <xdr:row>243</xdr:row>
      <xdr:rowOff>180868</xdr:rowOff>
    </xdr:to>
    <xdr:pic>
      <xdr:nvPicPr>
        <xdr:cNvPr id="8" name="Picture 7">
          <a:extLst>
            <a:ext uri="{FF2B5EF4-FFF2-40B4-BE49-F238E27FC236}">
              <a16:creationId xmlns:a16="http://schemas.microsoft.com/office/drawing/2014/main" id="{FB4164F4-0B2A-4D59-8F70-4F4E96D30A47}"/>
            </a:ext>
          </a:extLst>
        </xdr:cNvPr>
        <xdr:cNvPicPr>
          <a:picLocks noChangeAspect="1"/>
        </xdr:cNvPicPr>
      </xdr:nvPicPr>
      <xdr:blipFill>
        <a:blip xmlns:r="http://schemas.openxmlformats.org/officeDocument/2006/relationships" r:embed="rId3"/>
        <a:stretch>
          <a:fillRect/>
        </a:stretch>
      </xdr:blipFill>
      <xdr:spPr>
        <a:xfrm>
          <a:off x="139700" y="49968150"/>
          <a:ext cx="170703" cy="228493"/>
        </a:xfrm>
        <a:prstGeom prst="rect">
          <a:avLst/>
        </a:prstGeom>
      </xdr:spPr>
    </xdr:pic>
    <xdr:clientData/>
  </xdr:twoCellAnchor>
  <xdr:twoCellAnchor editAs="oneCell">
    <xdr:from>
      <xdr:col>0</xdr:col>
      <xdr:colOff>139700</xdr:colOff>
      <xdr:row>345</xdr:row>
      <xdr:rowOff>127000</xdr:rowOff>
    </xdr:from>
    <xdr:to>
      <xdr:col>0</xdr:col>
      <xdr:colOff>310403</xdr:colOff>
      <xdr:row>346</xdr:row>
      <xdr:rowOff>155468</xdr:rowOff>
    </xdr:to>
    <xdr:pic>
      <xdr:nvPicPr>
        <xdr:cNvPr id="9" name="Picture 8">
          <a:extLst>
            <a:ext uri="{FF2B5EF4-FFF2-40B4-BE49-F238E27FC236}">
              <a16:creationId xmlns:a16="http://schemas.microsoft.com/office/drawing/2014/main" id="{0B36B447-56C2-4A01-96E0-42E117B8E2C7}"/>
            </a:ext>
          </a:extLst>
        </xdr:cNvPr>
        <xdr:cNvPicPr>
          <a:picLocks noChangeAspect="1"/>
        </xdr:cNvPicPr>
      </xdr:nvPicPr>
      <xdr:blipFill>
        <a:blip xmlns:r="http://schemas.openxmlformats.org/officeDocument/2006/relationships" r:embed="rId3"/>
        <a:stretch>
          <a:fillRect/>
        </a:stretch>
      </xdr:blipFill>
      <xdr:spPr>
        <a:xfrm>
          <a:off x="139700" y="70669150"/>
          <a:ext cx="170703" cy="228493"/>
        </a:xfrm>
        <a:prstGeom prst="rect">
          <a:avLst/>
        </a:prstGeom>
      </xdr:spPr>
    </xdr:pic>
    <xdr:clientData/>
  </xdr:twoCellAnchor>
  <xdr:twoCellAnchor editAs="oneCell">
    <xdr:from>
      <xdr:col>28</xdr:col>
      <xdr:colOff>0</xdr:colOff>
      <xdr:row>345</xdr:row>
      <xdr:rowOff>0</xdr:rowOff>
    </xdr:from>
    <xdr:to>
      <xdr:col>28</xdr:col>
      <xdr:colOff>829128</xdr:colOff>
      <xdr:row>346</xdr:row>
      <xdr:rowOff>89433</xdr:rowOff>
    </xdr:to>
    <xdr:pic>
      <xdr:nvPicPr>
        <xdr:cNvPr id="10" name="Picture 9">
          <a:extLst>
            <a:ext uri="{FF2B5EF4-FFF2-40B4-BE49-F238E27FC236}">
              <a16:creationId xmlns:a16="http://schemas.microsoft.com/office/drawing/2014/main" id="{161D532B-7004-4E55-B0C8-F9DF67F11A5C}"/>
            </a:ext>
          </a:extLst>
        </xdr:cNvPr>
        <xdr:cNvPicPr>
          <a:picLocks noChangeAspect="1"/>
        </xdr:cNvPicPr>
      </xdr:nvPicPr>
      <xdr:blipFill>
        <a:blip xmlns:r="http://schemas.openxmlformats.org/officeDocument/2006/relationships" r:embed="rId4"/>
        <a:stretch>
          <a:fillRect/>
        </a:stretch>
      </xdr:blipFill>
      <xdr:spPr>
        <a:xfrm>
          <a:off x="28213050" y="70542150"/>
          <a:ext cx="829128" cy="289458"/>
        </a:xfrm>
        <a:prstGeom prst="rect">
          <a:avLst/>
        </a:prstGeom>
      </xdr:spPr>
    </xdr:pic>
    <xdr:clientData/>
  </xdr:twoCellAnchor>
  <xdr:twoCellAnchor editAs="oneCell">
    <xdr:from>
      <xdr:col>28</xdr:col>
      <xdr:colOff>63500</xdr:colOff>
      <xdr:row>242</xdr:row>
      <xdr:rowOff>88900</xdr:rowOff>
    </xdr:from>
    <xdr:to>
      <xdr:col>28</xdr:col>
      <xdr:colOff>892628</xdr:colOff>
      <xdr:row>243</xdr:row>
      <xdr:rowOff>178333</xdr:rowOff>
    </xdr:to>
    <xdr:pic>
      <xdr:nvPicPr>
        <xdr:cNvPr id="11" name="Picture 10">
          <a:extLst>
            <a:ext uri="{FF2B5EF4-FFF2-40B4-BE49-F238E27FC236}">
              <a16:creationId xmlns:a16="http://schemas.microsoft.com/office/drawing/2014/main" id="{C8856D5A-3DA0-4E5E-9687-4A3577ABF698}"/>
            </a:ext>
          </a:extLst>
        </xdr:cNvPr>
        <xdr:cNvPicPr>
          <a:picLocks noChangeAspect="1"/>
        </xdr:cNvPicPr>
      </xdr:nvPicPr>
      <xdr:blipFill>
        <a:blip xmlns:r="http://schemas.openxmlformats.org/officeDocument/2006/relationships" r:embed="rId4"/>
        <a:stretch>
          <a:fillRect/>
        </a:stretch>
      </xdr:blipFill>
      <xdr:spPr>
        <a:xfrm>
          <a:off x="28276550" y="49904650"/>
          <a:ext cx="829128" cy="289458"/>
        </a:xfrm>
        <a:prstGeom prst="rect">
          <a:avLst/>
        </a:prstGeom>
      </xdr:spPr>
    </xdr:pic>
    <xdr:clientData/>
  </xdr:twoCellAnchor>
  <xdr:twoCellAnchor editAs="oneCell">
    <xdr:from>
      <xdr:col>28</xdr:col>
      <xdr:colOff>25400</xdr:colOff>
      <xdr:row>133</xdr:row>
      <xdr:rowOff>76200</xdr:rowOff>
    </xdr:from>
    <xdr:to>
      <xdr:col>28</xdr:col>
      <xdr:colOff>854528</xdr:colOff>
      <xdr:row>134</xdr:row>
      <xdr:rowOff>165633</xdr:rowOff>
    </xdr:to>
    <xdr:pic>
      <xdr:nvPicPr>
        <xdr:cNvPr id="12" name="Picture 11">
          <a:extLst>
            <a:ext uri="{FF2B5EF4-FFF2-40B4-BE49-F238E27FC236}">
              <a16:creationId xmlns:a16="http://schemas.microsoft.com/office/drawing/2014/main" id="{8ABA31F4-F351-4D72-B9A4-896AF67C0785}"/>
            </a:ext>
          </a:extLst>
        </xdr:cNvPr>
        <xdr:cNvPicPr>
          <a:picLocks noChangeAspect="1"/>
        </xdr:cNvPicPr>
      </xdr:nvPicPr>
      <xdr:blipFill>
        <a:blip xmlns:r="http://schemas.openxmlformats.org/officeDocument/2006/relationships" r:embed="rId4"/>
        <a:stretch>
          <a:fillRect/>
        </a:stretch>
      </xdr:blipFill>
      <xdr:spPr>
        <a:xfrm>
          <a:off x="28238450" y="27974925"/>
          <a:ext cx="829128" cy="289458"/>
        </a:xfrm>
        <a:prstGeom prst="rect">
          <a:avLst/>
        </a:prstGeom>
      </xdr:spPr>
    </xdr:pic>
    <xdr:clientData/>
  </xdr:twoCellAnchor>
  <xdr:twoCellAnchor editAs="oneCell">
    <xdr:from>
      <xdr:col>28</xdr:col>
      <xdr:colOff>0</xdr:colOff>
      <xdr:row>51</xdr:row>
      <xdr:rowOff>0</xdr:rowOff>
    </xdr:from>
    <xdr:to>
      <xdr:col>28</xdr:col>
      <xdr:colOff>829128</xdr:colOff>
      <xdr:row>52</xdr:row>
      <xdr:rowOff>89433</xdr:rowOff>
    </xdr:to>
    <xdr:pic>
      <xdr:nvPicPr>
        <xdr:cNvPr id="13" name="Picture 12">
          <a:extLst>
            <a:ext uri="{FF2B5EF4-FFF2-40B4-BE49-F238E27FC236}">
              <a16:creationId xmlns:a16="http://schemas.microsoft.com/office/drawing/2014/main" id="{8757BFCF-3AB7-4235-81F2-0D19B2F90483}"/>
            </a:ext>
          </a:extLst>
        </xdr:cNvPr>
        <xdr:cNvPicPr>
          <a:picLocks noChangeAspect="1"/>
        </xdr:cNvPicPr>
      </xdr:nvPicPr>
      <xdr:blipFill>
        <a:blip xmlns:r="http://schemas.openxmlformats.org/officeDocument/2006/relationships" r:embed="rId4"/>
        <a:stretch>
          <a:fillRect/>
        </a:stretch>
      </xdr:blipFill>
      <xdr:spPr>
        <a:xfrm>
          <a:off x="28213050" y="10515600"/>
          <a:ext cx="829128" cy="2894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346</xdr:row>
      <xdr:rowOff>152400</xdr:rowOff>
    </xdr:to>
    <xdr:pic>
      <xdr:nvPicPr>
        <xdr:cNvPr id="2" name="Picture 1" descr="C:\WINDOWS\TEMP\~0003946.gif">
          <a:extLst>
            <a:ext uri="{FF2B5EF4-FFF2-40B4-BE49-F238E27FC236}">
              <a16:creationId xmlns:a16="http://schemas.microsoft.com/office/drawing/2014/main" id="{79CF3AB2-44A9-4B72-A80A-AF49E0FBDFC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70665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24889E61-C7D6-450C-B9CC-0D8790A7F16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9968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26B0C382-5A29-46C0-91BA-3B9DD5218D5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806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5278CC70-AC06-44D7-A39C-E4431790291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067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310403</xdr:colOff>
      <xdr:row>52</xdr:row>
      <xdr:rowOff>142768</xdr:rowOff>
    </xdr:to>
    <xdr:pic>
      <xdr:nvPicPr>
        <xdr:cNvPr id="6" name="Picture 5">
          <a:extLst>
            <a:ext uri="{FF2B5EF4-FFF2-40B4-BE49-F238E27FC236}">
              <a16:creationId xmlns:a16="http://schemas.microsoft.com/office/drawing/2014/main" id="{DB207FF6-EC17-4E1D-A113-7B7845ADD43C}"/>
            </a:ext>
          </a:extLst>
        </xdr:cNvPr>
        <xdr:cNvPicPr>
          <a:picLocks noChangeAspect="1"/>
        </xdr:cNvPicPr>
      </xdr:nvPicPr>
      <xdr:blipFill>
        <a:blip xmlns:r="http://schemas.openxmlformats.org/officeDocument/2006/relationships" r:embed="rId3"/>
        <a:stretch>
          <a:fillRect/>
        </a:stretch>
      </xdr:blipFill>
      <xdr:spPr>
        <a:xfrm>
          <a:off x="139700" y="10629900"/>
          <a:ext cx="170703" cy="22849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206268</xdr:rowOff>
    </xdr:to>
    <xdr:pic>
      <xdr:nvPicPr>
        <xdr:cNvPr id="7" name="Picture 6">
          <a:extLst>
            <a:ext uri="{FF2B5EF4-FFF2-40B4-BE49-F238E27FC236}">
              <a16:creationId xmlns:a16="http://schemas.microsoft.com/office/drawing/2014/main" id="{4BAE2F72-A440-423E-83B3-57E0E4449A10}"/>
            </a:ext>
          </a:extLst>
        </xdr:cNvPr>
        <xdr:cNvPicPr>
          <a:picLocks noChangeAspect="1"/>
        </xdr:cNvPicPr>
      </xdr:nvPicPr>
      <xdr:blipFill>
        <a:blip xmlns:r="http://schemas.openxmlformats.org/officeDocument/2006/relationships" r:embed="rId3"/>
        <a:stretch>
          <a:fillRect/>
        </a:stretch>
      </xdr:blipFill>
      <xdr:spPr>
        <a:xfrm>
          <a:off x="165100" y="28076525"/>
          <a:ext cx="178323" cy="228493"/>
        </a:xfrm>
        <a:prstGeom prst="rect">
          <a:avLst/>
        </a:prstGeom>
      </xdr:spPr>
    </xdr:pic>
    <xdr:clientData/>
  </xdr:twoCellAnchor>
  <xdr:twoCellAnchor editAs="oneCell">
    <xdr:from>
      <xdr:col>0</xdr:col>
      <xdr:colOff>139700</xdr:colOff>
      <xdr:row>242</xdr:row>
      <xdr:rowOff>152400</xdr:rowOff>
    </xdr:from>
    <xdr:to>
      <xdr:col>0</xdr:col>
      <xdr:colOff>310403</xdr:colOff>
      <xdr:row>243</xdr:row>
      <xdr:rowOff>180868</xdr:rowOff>
    </xdr:to>
    <xdr:pic>
      <xdr:nvPicPr>
        <xdr:cNvPr id="8" name="Picture 7">
          <a:extLst>
            <a:ext uri="{FF2B5EF4-FFF2-40B4-BE49-F238E27FC236}">
              <a16:creationId xmlns:a16="http://schemas.microsoft.com/office/drawing/2014/main" id="{0DA8BB0D-304A-48BE-A14E-32AD14098887}"/>
            </a:ext>
          </a:extLst>
        </xdr:cNvPr>
        <xdr:cNvPicPr>
          <a:picLocks noChangeAspect="1"/>
        </xdr:cNvPicPr>
      </xdr:nvPicPr>
      <xdr:blipFill>
        <a:blip xmlns:r="http://schemas.openxmlformats.org/officeDocument/2006/relationships" r:embed="rId3"/>
        <a:stretch>
          <a:fillRect/>
        </a:stretch>
      </xdr:blipFill>
      <xdr:spPr>
        <a:xfrm>
          <a:off x="139700" y="49968150"/>
          <a:ext cx="170703" cy="228493"/>
        </a:xfrm>
        <a:prstGeom prst="rect">
          <a:avLst/>
        </a:prstGeom>
      </xdr:spPr>
    </xdr:pic>
    <xdr:clientData/>
  </xdr:twoCellAnchor>
  <xdr:twoCellAnchor editAs="oneCell">
    <xdr:from>
      <xdr:col>0</xdr:col>
      <xdr:colOff>139700</xdr:colOff>
      <xdr:row>345</xdr:row>
      <xdr:rowOff>127000</xdr:rowOff>
    </xdr:from>
    <xdr:to>
      <xdr:col>0</xdr:col>
      <xdr:colOff>310403</xdr:colOff>
      <xdr:row>346</xdr:row>
      <xdr:rowOff>155468</xdr:rowOff>
    </xdr:to>
    <xdr:pic>
      <xdr:nvPicPr>
        <xdr:cNvPr id="9" name="Picture 8">
          <a:extLst>
            <a:ext uri="{FF2B5EF4-FFF2-40B4-BE49-F238E27FC236}">
              <a16:creationId xmlns:a16="http://schemas.microsoft.com/office/drawing/2014/main" id="{E870294B-47C8-461E-B64D-D281A41AD681}"/>
            </a:ext>
          </a:extLst>
        </xdr:cNvPr>
        <xdr:cNvPicPr>
          <a:picLocks noChangeAspect="1"/>
        </xdr:cNvPicPr>
      </xdr:nvPicPr>
      <xdr:blipFill>
        <a:blip xmlns:r="http://schemas.openxmlformats.org/officeDocument/2006/relationships" r:embed="rId3"/>
        <a:stretch>
          <a:fillRect/>
        </a:stretch>
      </xdr:blipFill>
      <xdr:spPr>
        <a:xfrm>
          <a:off x="139700" y="70669150"/>
          <a:ext cx="170703" cy="228493"/>
        </a:xfrm>
        <a:prstGeom prst="rect">
          <a:avLst/>
        </a:prstGeom>
      </xdr:spPr>
    </xdr:pic>
    <xdr:clientData/>
  </xdr:twoCellAnchor>
  <xdr:twoCellAnchor editAs="oneCell">
    <xdr:from>
      <xdr:col>28</xdr:col>
      <xdr:colOff>0</xdr:colOff>
      <xdr:row>345</xdr:row>
      <xdr:rowOff>0</xdr:rowOff>
    </xdr:from>
    <xdr:to>
      <xdr:col>28</xdr:col>
      <xdr:colOff>829128</xdr:colOff>
      <xdr:row>346</xdr:row>
      <xdr:rowOff>89433</xdr:rowOff>
    </xdr:to>
    <xdr:pic>
      <xdr:nvPicPr>
        <xdr:cNvPr id="10" name="Picture 9">
          <a:extLst>
            <a:ext uri="{FF2B5EF4-FFF2-40B4-BE49-F238E27FC236}">
              <a16:creationId xmlns:a16="http://schemas.microsoft.com/office/drawing/2014/main" id="{006F6857-2E0E-49A2-8F52-6A69208C1C09}"/>
            </a:ext>
          </a:extLst>
        </xdr:cNvPr>
        <xdr:cNvPicPr>
          <a:picLocks noChangeAspect="1"/>
        </xdr:cNvPicPr>
      </xdr:nvPicPr>
      <xdr:blipFill>
        <a:blip xmlns:r="http://schemas.openxmlformats.org/officeDocument/2006/relationships" r:embed="rId4"/>
        <a:stretch>
          <a:fillRect/>
        </a:stretch>
      </xdr:blipFill>
      <xdr:spPr>
        <a:xfrm>
          <a:off x="28213050" y="70542150"/>
          <a:ext cx="829128" cy="289458"/>
        </a:xfrm>
        <a:prstGeom prst="rect">
          <a:avLst/>
        </a:prstGeom>
      </xdr:spPr>
    </xdr:pic>
    <xdr:clientData/>
  </xdr:twoCellAnchor>
  <xdr:twoCellAnchor editAs="oneCell">
    <xdr:from>
      <xdr:col>28</xdr:col>
      <xdr:colOff>63500</xdr:colOff>
      <xdr:row>242</xdr:row>
      <xdr:rowOff>88900</xdr:rowOff>
    </xdr:from>
    <xdr:to>
      <xdr:col>28</xdr:col>
      <xdr:colOff>892628</xdr:colOff>
      <xdr:row>243</xdr:row>
      <xdr:rowOff>178333</xdr:rowOff>
    </xdr:to>
    <xdr:pic>
      <xdr:nvPicPr>
        <xdr:cNvPr id="11" name="Picture 10">
          <a:extLst>
            <a:ext uri="{FF2B5EF4-FFF2-40B4-BE49-F238E27FC236}">
              <a16:creationId xmlns:a16="http://schemas.microsoft.com/office/drawing/2014/main" id="{5418E733-0735-426B-A0DB-20F0158EA3CD}"/>
            </a:ext>
          </a:extLst>
        </xdr:cNvPr>
        <xdr:cNvPicPr>
          <a:picLocks noChangeAspect="1"/>
        </xdr:cNvPicPr>
      </xdr:nvPicPr>
      <xdr:blipFill>
        <a:blip xmlns:r="http://schemas.openxmlformats.org/officeDocument/2006/relationships" r:embed="rId4"/>
        <a:stretch>
          <a:fillRect/>
        </a:stretch>
      </xdr:blipFill>
      <xdr:spPr>
        <a:xfrm>
          <a:off x="28276550" y="49904650"/>
          <a:ext cx="829128" cy="289458"/>
        </a:xfrm>
        <a:prstGeom prst="rect">
          <a:avLst/>
        </a:prstGeom>
      </xdr:spPr>
    </xdr:pic>
    <xdr:clientData/>
  </xdr:twoCellAnchor>
  <xdr:twoCellAnchor editAs="oneCell">
    <xdr:from>
      <xdr:col>28</xdr:col>
      <xdr:colOff>25400</xdr:colOff>
      <xdr:row>133</xdr:row>
      <xdr:rowOff>76200</xdr:rowOff>
    </xdr:from>
    <xdr:to>
      <xdr:col>28</xdr:col>
      <xdr:colOff>854528</xdr:colOff>
      <xdr:row>134</xdr:row>
      <xdr:rowOff>165633</xdr:rowOff>
    </xdr:to>
    <xdr:pic>
      <xdr:nvPicPr>
        <xdr:cNvPr id="12" name="Picture 11">
          <a:extLst>
            <a:ext uri="{FF2B5EF4-FFF2-40B4-BE49-F238E27FC236}">
              <a16:creationId xmlns:a16="http://schemas.microsoft.com/office/drawing/2014/main" id="{AFB29F12-E1AF-438F-AE02-B4EEBB6C0572}"/>
            </a:ext>
          </a:extLst>
        </xdr:cNvPr>
        <xdr:cNvPicPr>
          <a:picLocks noChangeAspect="1"/>
        </xdr:cNvPicPr>
      </xdr:nvPicPr>
      <xdr:blipFill>
        <a:blip xmlns:r="http://schemas.openxmlformats.org/officeDocument/2006/relationships" r:embed="rId4"/>
        <a:stretch>
          <a:fillRect/>
        </a:stretch>
      </xdr:blipFill>
      <xdr:spPr>
        <a:xfrm>
          <a:off x="28238450" y="27974925"/>
          <a:ext cx="829128" cy="289458"/>
        </a:xfrm>
        <a:prstGeom prst="rect">
          <a:avLst/>
        </a:prstGeom>
      </xdr:spPr>
    </xdr:pic>
    <xdr:clientData/>
  </xdr:twoCellAnchor>
  <xdr:twoCellAnchor editAs="oneCell">
    <xdr:from>
      <xdr:col>28</xdr:col>
      <xdr:colOff>0</xdr:colOff>
      <xdr:row>51</xdr:row>
      <xdr:rowOff>0</xdr:rowOff>
    </xdr:from>
    <xdr:to>
      <xdr:col>28</xdr:col>
      <xdr:colOff>829128</xdr:colOff>
      <xdr:row>52</xdr:row>
      <xdr:rowOff>89433</xdr:rowOff>
    </xdr:to>
    <xdr:pic>
      <xdr:nvPicPr>
        <xdr:cNvPr id="13" name="Picture 12">
          <a:extLst>
            <a:ext uri="{FF2B5EF4-FFF2-40B4-BE49-F238E27FC236}">
              <a16:creationId xmlns:a16="http://schemas.microsoft.com/office/drawing/2014/main" id="{57DE9E10-8B2B-40B3-B454-1DB9C6F7013E}"/>
            </a:ext>
          </a:extLst>
        </xdr:cNvPr>
        <xdr:cNvPicPr>
          <a:picLocks noChangeAspect="1"/>
        </xdr:cNvPicPr>
      </xdr:nvPicPr>
      <xdr:blipFill>
        <a:blip xmlns:r="http://schemas.openxmlformats.org/officeDocument/2006/relationships" r:embed="rId4"/>
        <a:stretch>
          <a:fillRect/>
        </a:stretch>
      </xdr:blipFill>
      <xdr:spPr>
        <a:xfrm>
          <a:off x="28213050" y="10515600"/>
          <a:ext cx="829128" cy="2894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346</xdr:row>
      <xdr:rowOff>152400</xdr:rowOff>
    </xdr:to>
    <xdr:pic>
      <xdr:nvPicPr>
        <xdr:cNvPr id="2" name="Picture 1" descr="C:\WINDOWS\TEMP\~0003946.gif">
          <a:extLst>
            <a:ext uri="{FF2B5EF4-FFF2-40B4-BE49-F238E27FC236}">
              <a16:creationId xmlns:a16="http://schemas.microsoft.com/office/drawing/2014/main" id="{C6F67C96-F791-4D25-9328-D4E6ADC4CE4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70665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76B23FE3-9459-497F-B59C-0B12FD829C3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9968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D5FE28BD-D485-4A65-AA53-AEB6D94A09C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806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A3BA07F-38E0-4837-BF78-D1A78936553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06775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308498</xdr:colOff>
      <xdr:row>52</xdr:row>
      <xdr:rowOff>148483</xdr:rowOff>
    </xdr:to>
    <xdr:pic>
      <xdr:nvPicPr>
        <xdr:cNvPr id="6" name="Picture 5">
          <a:extLst>
            <a:ext uri="{FF2B5EF4-FFF2-40B4-BE49-F238E27FC236}">
              <a16:creationId xmlns:a16="http://schemas.microsoft.com/office/drawing/2014/main" id="{6AABC6E7-8D36-4008-ACF1-B9412229B6CE}"/>
            </a:ext>
          </a:extLst>
        </xdr:cNvPr>
        <xdr:cNvPicPr>
          <a:picLocks noChangeAspect="1"/>
        </xdr:cNvPicPr>
      </xdr:nvPicPr>
      <xdr:blipFill>
        <a:blip xmlns:r="http://schemas.openxmlformats.org/officeDocument/2006/relationships" r:embed="rId3"/>
        <a:stretch>
          <a:fillRect/>
        </a:stretch>
      </xdr:blipFill>
      <xdr:spPr>
        <a:xfrm>
          <a:off x="139700" y="10629900"/>
          <a:ext cx="170703" cy="228493"/>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221508</xdr:rowOff>
    </xdr:to>
    <xdr:pic>
      <xdr:nvPicPr>
        <xdr:cNvPr id="7" name="Picture 6">
          <a:extLst>
            <a:ext uri="{FF2B5EF4-FFF2-40B4-BE49-F238E27FC236}">
              <a16:creationId xmlns:a16="http://schemas.microsoft.com/office/drawing/2014/main" id="{A04E7FF1-B4C1-4418-A2AF-F7314E786601}"/>
            </a:ext>
          </a:extLst>
        </xdr:cNvPr>
        <xdr:cNvPicPr>
          <a:picLocks noChangeAspect="1"/>
        </xdr:cNvPicPr>
      </xdr:nvPicPr>
      <xdr:blipFill>
        <a:blip xmlns:r="http://schemas.openxmlformats.org/officeDocument/2006/relationships" r:embed="rId3"/>
        <a:stretch>
          <a:fillRect/>
        </a:stretch>
      </xdr:blipFill>
      <xdr:spPr>
        <a:xfrm>
          <a:off x="165100" y="28076525"/>
          <a:ext cx="178323" cy="228493"/>
        </a:xfrm>
        <a:prstGeom prst="rect">
          <a:avLst/>
        </a:prstGeom>
      </xdr:spPr>
    </xdr:pic>
    <xdr:clientData/>
  </xdr:twoCellAnchor>
  <xdr:twoCellAnchor editAs="oneCell">
    <xdr:from>
      <xdr:col>0</xdr:col>
      <xdr:colOff>139700</xdr:colOff>
      <xdr:row>242</xdr:row>
      <xdr:rowOff>152400</xdr:rowOff>
    </xdr:from>
    <xdr:to>
      <xdr:col>0</xdr:col>
      <xdr:colOff>308498</xdr:colOff>
      <xdr:row>243</xdr:row>
      <xdr:rowOff>186583</xdr:rowOff>
    </xdr:to>
    <xdr:pic>
      <xdr:nvPicPr>
        <xdr:cNvPr id="8" name="Picture 7">
          <a:extLst>
            <a:ext uri="{FF2B5EF4-FFF2-40B4-BE49-F238E27FC236}">
              <a16:creationId xmlns:a16="http://schemas.microsoft.com/office/drawing/2014/main" id="{13D971FC-02AC-43C3-87A2-21678D59B729}"/>
            </a:ext>
          </a:extLst>
        </xdr:cNvPr>
        <xdr:cNvPicPr>
          <a:picLocks noChangeAspect="1"/>
        </xdr:cNvPicPr>
      </xdr:nvPicPr>
      <xdr:blipFill>
        <a:blip xmlns:r="http://schemas.openxmlformats.org/officeDocument/2006/relationships" r:embed="rId3"/>
        <a:stretch>
          <a:fillRect/>
        </a:stretch>
      </xdr:blipFill>
      <xdr:spPr>
        <a:xfrm>
          <a:off x="139700" y="49968150"/>
          <a:ext cx="170703" cy="228493"/>
        </a:xfrm>
        <a:prstGeom prst="rect">
          <a:avLst/>
        </a:prstGeom>
      </xdr:spPr>
    </xdr:pic>
    <xdr:clientData/>
  </xdr:twoCellAnchor>
  <xdr:twoCellAnchor editAs="oneCell">
    <xdr:from>
      <xdr:col>0</xdr:col>
      <xdr:colOff>139700</xdr:colOff>
      <xdr:row>345</xdr:row>
      <xdr:rowOff>127000</xdr:rowOff>
    </xdr:from>
    <xdr:to>
      <xdr:col>0</xdr:col>
      <xdr:colOff>308498</xdr:colOff>
      <xdr:row>346</xdr:row>
      <xdr:rowOff>155468</xdr:rowOff>
    </xdr:to>
    <xdr:pic>
      <xdr:nvPicPr>
        <xdr:cNvPr id="9" name="Picture 8">
          <a:extLst>
            <a:ext uri="{FF2B5EF4-FFF2-40B4-BE49-F238E27FC236}">
              <a16:creationId xmlns:a16="http://schemas.microsoft.com/office/drawing/2014/main" id="{0918C0FE-27AC-4841-9CEB-0466EABEDA9B}"/>
            </a:ext>
          </a:extLst>
        </xdr:cNvPr>
        <xdr:cNvPicPr>
          <a:picLocks noChangeAspect="1"/>
        </xdr:cNvPicPr>
      </xdr:nvPicPr>
      <xdr:blipFill>
        <a:blip xmlns:r="http://schemas.openxmlformats.org/officeDocument/2006/relationships" r:embed="rId3"/>
        <a:stretch>
          <a:fillRect/>
        </a:stretch>
      </xdr:blipFill>
      <xdr:spPr>
        <a:xfrm>
          <a:off x="139700" y="70669150"/>
          <a:ext cx="170703" cy="228493"/>
        </a:xfrm>
        <a:prstGeom prst="rect">
          <a:avLst/>
        </a:prstGeom>
      </xdr:spPr>
    </xdr:pic>
    <xdr:clientData/>
  </xdr:twoCellAnchor>
  <xdr:twoCellAnchor editAs="oneCell">
    <xdr:from>
      <xdr:col>28</xdr:col>
      <xdr:colOff>0</xdr:colOff>
      <xdr:row>345</xdr:row>
      <xdr:rowOff>0</xdr:rowOff>
    </xdr:from>
    <xdr:to>
      <xdr:col>28</xdr:col>
      <xdr:colOff>834843</xdr:colOff>
      <xdr:row>346</xdr:row>
      <xdr:rowOff>79908</xdr:rowOff>
    </xdr:to>
    <xdr:pic>
      <xdr:nvPicPr>
        <xdr:cNvPr id="10" name="Picture 9">
          <a:extLst>
            <a:ext uri="{FF2B5EF4-FFF2-40B4-BE49-F238E27FC236}">
              <a16:creationId xmlns:a16="http://schemas.microsoft.com/office/drawing/2014/main" id="{5372C4D4-062F-46F6-91B0-23DFEFA550B9}"/>
            </a:ext>
          </a:extLst>
        </xdr:cNvPr>
        <xdr:cNvPicPr>
          <a:picLocks noChangeAspect="1"/>
        </xdr:cNvPicPr>
      </xdr:nvPicPr>
      <xdr:blipFill>
        <a:blip xmlns:r="http://schemas.openxmlformats.org/officeDocument/2006/relationships" r:embed="rId4"/>
        <a:stretch>
          <a:fillRect/>
        </a:stretch>
      </xdr:blipFill>
      <xdr:spPr>
        <a:xfrm>
          <a:off x="28213050" y="70542150"/>
          <a:ext cx="829128" cy="289458"/>
        </a:xfrm>
        <a:prstGeom prst="rect">
          <a:avLst/>
        </a:prstGeom>
      </xdr:spPr>
    </xdr:pic>
    <xdr:clientData/>
  </xdr:twoCellAnchor>
  <xdr:twoCellAnchor editAs="oneCell">
    <xdr:from>
      <xdr:col>28</xdr:col>
      <xdr:colOff>63500</xdr:colOff>
      <xdr:row>242</xdr:row>
      <xdr:rowOff>88900</xdr:rowOff>
    </xdr:from>
    <xdr:to>
      <xdr:col>28</xdr:col>
      <xdr:colOff>905963</xdr:colOff>
      <xdr:row>243</xdr:row>
      <xdr:rowOff>185953</xdr:rowOff>
    </xdr:to>
    <xdr:pic>
      <xdr:nvPicPr>
        <xdr:cNvPr id="11" name="Picture 10">
          <a:extLst>
            <a:ext uri="{FF2B5EF4-FFF2-40B4-BE49-F238E27FC236}">
              <a16:creationId xmlns:a16="http://schemas.microsoft.com/office/drawing/2014/main" id="{6E24DB79-3BD7-4778-83FB-1DC807A4D055}"/>
            </a:ext>
          </a:extLst>
        </xdr:cNvPr>
        <xdr:cNvPicPr>
          <a:picLocks noChangeAspect="1"/>
        </xdr:cNvPicPr>
      </xdr:nvPicPr>
      <xdr:blipFill>
        <a:blip xmlns:r="http://schemas.openxmlformats.org/officeDocument/2006/relationships" r:embed="rId4"/>
        <a:stretch>
          <a:fillRect/>
        </a:stretch>
      </xdr:blipFill>
      <xdr:spPr>
        <a:xfrm>
          <a:off x="28276550" y="49904650"/>
          <a:ext cx="829128" cy="289458"/>
        </a:xfrm>
        <a:prstGeom prst="rect">
          <a:avLst/>
        </a:prstGeom>
      </xdr:spPr>
    </xdr:pic>
    <xdr:clientData/>
  </xdr:twoCellAnchor>
  <xdr:twoCellAnchor editAs="oneCell">
    <xdr:from>
      <xdr:col>28</xdr:col>
      <xdr:colOff>25400</xdr:colOff>
      <xdr:row>133</xdr:row>
      <xdr:rowOff>76200</xdr:rowOff>
    </xdr:from>
    <xdr:to>
      <xdr:col>28</xdr:col>
      <xdr:colOff>867863</xdr:colOff>
      <xdr:row>134</xdr:row>
      <xdr:rowOff>156108</xdr:rowOff>
    </xdr:to>
    <xdr:pic>
      <xdr:nvPicPr>
        <xdr:cNvPr id="12" name="Picture 11">
          <a:extLst>
            <a:ext uri="{FF2B5EF4-FFF2-40B4-BE49-F238E27FC236}">
              <a16:creationId xmlns:a16="http://schemas.microsoft.com/office/drawing/2014/main" id="{81F131C9-B4D7-4B63-86ED-628D7C08A55C}"/>
            </a:ext>
          </a:extLst>
        </xdr:cNvPr>
        <xdr:cNvPicPr>
          <a:picLocks noChangeAspect="1"/>
        </xdr:cNvPicPr>
      </xdr:nvPicPr>
      <xdr:blipFill>
        <a:blip xmlns:r="http://schemas.openxmlformats.org/officeDocument/2006/relationships" r:embed="rId4"/>
        <a:stretch>
          <a:fillRect/>
        </a:stretch>
      </xdr:blipFill>
      <xdr:spPr>
        <a:xfrm>
          <a:off x="28238450" y="27974925"/>
          <a:ext cx="829128" cy="289458"/>
        </a:xfrm>
        <a:prstGeom prst="rect">
          <a:avLst/>
        </a:prstGeom>
      </xdr:spPr>
    </xdr:pic>
    <xdr:clientData/>
  </xdr:twoCellAnchor>
  <xdr:twoCellAnchor editAs="oneCell">
    <xdr:from>
      <xdr:col>28</xdr:col>
      <xdr:colOff>0</xdr:colOff>
      <xdr:row>51</xdr:row>
      <xdr:rowOff>0</xdr:rowOff>
    </xdr:from>
    <xdr:to>
      <xdr:col>28</xdr:col>
      <xdr:colOff>834843</xdr:colOff>
      <xdr:row>52</xdr:row>
      <xdr:rowOff>79908</xdr:rowOff>
    </xdr:to>
    <xdr:pic>
      <xdr:nvPicPr>
        <xdr:cNvPr id="13" name="Picture 12">
          <a:extLst>
            <a:ext uri="{FF2B5EF4-FFF2-40B4-BE49-F238E27FC236}">
              <a16:creationId xmlns:a16="http://schemas.microsoft.com/office/drawing/2014/main" id="{015D073E-DEA1-40D0-994F-FE48F6F8459F}"/>
            </a:ext>
          </a:extLst>
        </xdr:cNvPr>
        <xdr:cNvPicPr>
          <a:picLocks noChangeAspect="1"/>
        </xdr:cNvPicPr>
      </xdr:nvPicPr>
      <xdr:blipFill>
        <a:blip xmlns:r="http://schemas.openxmlformats.org/officeDocument/2006/relationships" r:embed="rId4"/>
        <a:stretch>
          <a:fillRect/>
        </a:stretch>
      </xdr:blipFill>
      <xdr:spPr>
        <a:xfrm>
          <a:off x="28213050" y="10515600"/>
          <a:ext cx="829128" cy="2894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1095375</xdr:colOff>
      <xdr:row>372</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A9CBF0E7-36F1-4BE2-B46A-C576CD06F8C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05580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50F38788-5D58-477E-B5BA-78DA899B292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872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422E9BDB-9634-487E-81EB-3CB08D7E70A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80384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06536FE5-0E56-4C25-86AA-655E8137AFD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6553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309133</xdr:colOff>
      <xdr:row>52</xdr:row>
      <xdr:rowOff>148483</xdr:rowOff>
    </xdr:to>
    <xdr:pic>
      <xdr:nvPicPr>
        <xdr:cNvPr id="6" name="Picture 5">
          <a:extLst>
            <a:ext uri="{FF2B5EF4-FFF2-40B4-BE49-F238E27FC236}">
              <a16:creationId xmlns:a16="http://schemas.microsoft.com/office/drawing/2014/main" id="{DE271A7E-22A9-4DFC-8E30-67A4375B8901}"/>
            </a:ext>
          </a:extLst>
        </xdr:cNvPr>
        <xdr:cNvPicPr>
          <a:picLocks noChangeAspect="1"/>
        </xdr:cNvPicPr>
      </xdr:nvPicPr>
      <xdr:blipFill>
        <a:blip xmlns:r="http://schemas.openxmlformats.org/officeDocument/2006/relationships" r:embed="rId3"/>
        <a:stretch>
          <a:fillRect/>
        </a:stretch>
      </xdr:blipFill>
      <xdr:spPr>
        <a:xfrm>
          <a:off x="142875" y="10610850"/>
          <a:ext cx="170703" cy="2316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194203</xdr:rowOff>
    </xdr:to>
    <xdr:pic>
      <xdr:nvPicPr>
        <xdr:cNvPr id="7" name="Picture 6">
          <a:extLst>
            <a:ext uri="{FF2B5EF4-FFF2-40B4-BE49-F238E27FC236}">
              <a16:creationId xmlns:a16="http://schemas.microsoft.com/office/drawing/2014/main" id="{DB62DA4F-9475-4A4F-B457-5DF6AE6EBCF2}"/>
            </a:ext>
          </a:extLst>
        </xdr:cNvPr>
        <xdr:cNvPicPr>
          <a:picLocks noChangeAspect="1"/>
        </xdr:cNvPicPr>
      </xdr:nvPicPr>
      <xdr:blipFill>
        <a:blip xmlns:r="http://schemas.openxmlformats.org/officeDocument/2006/relationships" r:embed="rId3"/>
        <a:stretch>
          <a:fillRect/>
        </a:stretch>
      </xdr:blipFill>
      <xdr:spPr>
        <a:xfrm>
          <a:off x="161925" y="28060650"/>
          <a:ext cx="171973" cy="222143"/>
        </a:xfrm>
        <a:prstGeom prst="rect">
          <a:avLst/>
        </a:prstGeom>
      </xdr:spPr>
    </xdr:pic>
    <xdr:clientData/>
  </xdr:twoCellAnchor>
  <xdr:twoCellAnchor editAs="oneCell">
    <xdr:from>
      <xdr:col>0</xdr:col>
      <xdr:colOff>139700</xdr:colOff>
      <xdr:row>242</xdr:row>
      <xdr:rowOff>152400</xdr:rowOff>
    </xdr:from>
    <xdr:to>
      <xdr:col>0</xdr:col>
      <xdr:colOff>309133</xdr:colOff>
      <xdr:row>243</xdr:row>
      <xdr:rowOff>186583</xdr:rowOff>
    </xdr:to>
    <xdr:pic>
      <xdr:nvPicPr>
        <xdr:cNvPr id="8" name="Picture 7">
          <a:extLst>
            <a:ext uri="{FF2B5EF4-FFF2-40B4-BE49-F238E27FC236}">
              <a16:creationId xmlns:a16="http://schemas.microsoft.com/office/drawing/2014/main" id="{FA8C9C33-3177-45A6-9DBE-33CF841307EE}"/>
            </a:ext>
          </a:extLst>
        </xdr:cNvPr>
        <xdr:cNvPicPr>
          <a:picLocks noChangeAspect="1"/>
        </xdr:cNvPicPr>
      </xdr:nvPicPr>
      <xdr:blipFill>
        <a:blip xmlns:r="http://schemas.openxmlformats.org/officeDocument/2006/relationships" r:embed="rId3"/>
        <a:stretch>
          <a:fillRect/>
        </a:stretch>
      </xdr:blipFill>
      <xdr:spPr>
        <a:xfrm>
          <a:off x="142875" y="49872900"/>
          <a:ext cx="170703" cy="231668"/>
        </a:xfrm>
        <a:prstGeom prst="rect">
          <a:avLst/>
        </a:prstGeom>
      </xdr:spPr>
    </xdr:pic>
    <xdr:clientData/>
  </xdr:twoCellAnchor>
  <xdr:twoCellAnchor editAs="oneCell">
    <xdr:from>
      <xdr:col>0</xdr:col>
      <xdr:colOff>139700</xdr:colOff>
      <xdr:row>372</xdr:row>
      <xdr:rowOff>127000</xdr:rowOff>
    </xdr:from>
    <xdr:to>
      <xdr:col>0</xdr:col>
      <xdr:colOff>309133</xdr:colOff>
      <xdr:row>373</xdr:row>
      <xdr:rowOff>155468</xdr:rowOff>
    </xdr:to>
    <xdr:pic>
      <xdr:nvPicPr>
        <xdr:cNvPr id="9" name="Picture 8">
          <a:extLst>
            <a:ext uri="{FF2B5EF4-FFF2-40B4-BE49-F238E27FC236}">
              <a16:creationId xmlns:a16="http://schemas.microsoft.com/office/drawing/2014/main" id="{E975F6DC-DE07-446E-B6B6-46AA6B1FFA8B}"/>
            </a:ext>
          </a:extLst>
        </xdr:cNvPr>
        <xdr:cNvPicPr>
          <a:picLocks noChangeAspect="1"/>
        </xdr:cNvPicPr>
      </xdr:nvPicPr>
      <xdr:blipFill>
        <a:blip xmlns:r="http://schemas.openxmlformats.org/officeDocument/2006/relationships" r:embed="rId3"/>
        <a:stretch>
          <a:fillRect/>
        </a:stretch>
      </xdr:blipFill>
      <xdr:spPr>
        <a:xfrm>
          <a:off x="142875" y="70561200"/>
          <a:ext cx="170703" cy="231668"/>
        </a:xfrm>
        <a:prstGeom prst="rect">
          <a:avLst/>
        </a:prstGeom>
      </xdr:spPr>
    </xdr:pic>
    <xdr:clientData/>
  </xdr:twoCellAnchor>
  <xdr:twoCellAnchor editAs="oneCell">
    <xdr:from>
      <xdr:col>28</xdr:col>
      <xdr:colOff>0</xdr:colOff>
      <xdr:row>372</xdr:row>
      <xdr:rowOff>0</xdr:rowOff>
    </xdr:from>
    <xdr:to>
      <xdr:col>28</xdr:col>
      <xdr:colOff>834843</xdr:colOff>
      <xdr:row>373</xdr:row>
      <xdr:rowOff>79273</xdr:rowOff>
    </xdr:to>
    <xdr:pic>
      <xdr:nvPicPr>
        <xdr:cNvPr id="10" name="Picture 9">
          <a:extLst>
            <a:ext uri="{FF2B5EF4-FFF2-40B4-BE49-F238E27FC236}">
              <a16:creationId xmlns:a16="http://schemas.microsoft.com/office/drawing/2014/main" id="{99C0C6B2-73B3-45C3-A2AF-78A04595BBF1}"/>
            </a:ext>
          </a:extLst>
        </xdr:cNvPr>
        <xdr:cNvPicPr>
          <a:picLocks noChangeAspect="1"/>
        </xdr:cNvPicPr>
      </xdr:nvPicPr>
      <xdr:blipFill>
        <a:blip xmlns:r="http://schemas.openxmlformats.org/officeDocument/2006/relationships" r:embed="rId4"/>
        <a:stretch>
          <a:fillRect/>
        </a:stretch>
      </xdr:blipFill>
      <xdr:spPr>
        <a:xfrm>
          <a:off x="27184350" y="70437375"/>
          <a:ext cx="825953" cy="286283"/>
        </a:xfrm>
        <a:prstGeom prst="rect">
          <a:avLst/>
        </a:prstGeom>
      </xdr:spPr>
    </xdr:pic>
    <xdr:clientData/>
  </xdr:twoCellAnchor>
  <xdr:twoCellAnchor editAs="oneCell">
    <xdr:from>
      <xdr:col>28</xdr:col>
      <xdr:colOff>63500</xdr:colOff>
      <xdr:row>242</xdr:row>
      <xdr:rowOff>88900</xdr:rowOff>
    </xdr:from>
    <xdr:to>
      <xdr:col>28</xdr:col>
      <xdr:colOff>905963</xdr:colOff>
      <xdr:row>243</xdr:row>
      <xdr:rowOff>185953</xdr:rowOff>
    </xdr:to>
    <xdr:pic>
      <xdr:nvPicPr>
        <xdr:cNvPr id="11" name="Picture 10">
          <a:extLst>
            <a:ext uri="{FF2B5EF4-FFF2-40B4-BE49-F238E27FC236}">
              <a16:creationId xmlns:a16="http://schemas.microsoft.com/office/drawing/2014/main" id="{6014F3FF-411B-454C-98E6-681A0D4DE60B}"/>
            </a:ext>
          </a:extLst>
        </xdr:cNvPr>
        <xdr:cNvPicPr>
          <a:picLocks noChangeAspect="1"/>
        </xdr:cNvPicPr>
      </xdr:nvPicPr>
      <xdr:blipFill>
        <a:blip xmlns:r="http://schemas.openxmlformats.org/officeDocument/2006/relationships" r:embed="rId4"/>
        <a:stretch>
          <a:fillRect/>
        </a:stretch>
      </xdr:blipFill>
      <xdr:spPr>
        <a:xfrm>
          <a:off x="27251025" y="49806225"/>
          <a:ext cx="825953" cy="295808"/>
        </a:xfrm>
        <a:prstGeom prst="rect">
          <a:avLst/>
        </a:prstGeom>
      </xdr:spPr>
    </xdr:pic>
    <xdr:clientData/>
  </xdr:twoCellAnchor>
  <xdr:twoCellAnchor editAs="oneCell">
    <xdr:from>
      <xdr:col>28</xdr:col>
      <xdr:colOff>25400</xdr:colOff>
      <xdr:row>133</xdr:row>
      <xdr:rowOff>76200</xdr:rowOff>
    </xdr:from>
    <xdr:to>
      <xdr:col>28</xdr:col>
      <xdr:colOff>867863</xdr:colOff>
      <xdr:row>134</xdr:row>
      <xdr:rowOff>155473</xdr:rowOff>
    </xdr:to>
    <xdr:pic>
      <xdr:nvPicPr>
        <xdr:cNvPr id="12" name="Picture 11">
          <a:extLst>
            <a:ext uri="{FF2B5EF4-FFF2-40B4-BE49-F238E27FC236}">
              <a16:creationId xmlns:a16="http://schemas.microsoft.com/office/drawing/2014/main" id="{2334F8C9-9B2B-486C-9731-991F5797D884}"/>
            </a:ext>
          </a:extLst>
        </xdr:cNvPr>
        <xdr:cNvPicPr>
          <a:picLocks noChangeAspect="1"/>
        </xdr:cNvPicPr>
      </xdr:nvPicPr>
      <xdr:blipFill>
        <a:blip xmlns:r="http://schemas.openxmlformats.org/officeDocument/2006/relationships" r:embed="rId4"/>
        <a:stretch>
          <a:fillRect/>
        </a:stretch>
      </xdr:blipFill>
      <xdr:spPr>
        <a:xfrm>
          <a:off x="27212925" y="27955875"/>
          <a:ext cx="825953" cy="286283"/>
        </a:xfrm>
        <a:prstGeom prst="rect">
          <a:avLst/>
        </a:prstGeom>
      </xdr:spPr>
    </xdr:pic>
    <xdr:clientData/>
  </xdr:twoCellAnchor>
  <xdr:twoCellAnchor editAs="oneCell">
    <xdr:from>
      <xdr:col>28</xdr:col>
      <xdr:colOff>0</xdr:colOff>
      <xdr:row>51</xdr:row>
      <xdr:rowOff>0</xdr:rowOff>
    </xdr:from>
    <xdr:to>
      <xdr:col>28</xdr:col>
      <xdr:colOff>834843</xdr:colOff>
      <xdr:row>52</xdr:row>
      <xdr:rowOff>79273</xdr:rowOff>
    </xdr:to>
    <xdr:pic>
      <xdr:nvPicPr>
        <xdr:cNvPr id="13" name="Picture 12">
          <a:extLst>
            <a:ext uri="{FF2B5EF4-FFF2-40B4-BE49-F238E27FC236}">
              <a16:creationId xmlns:a16="http://schemas.microsoft.com/office/drawing/2014/main" id="{1525377B-4F32-49EF-8158-06065DA4D0B7}"/>
            </a:ext>
          </a:extLst>
        </xdr:cNvPr>
        <xdr:cNvPicPr>
          <a:picLocks noChangeAspect="1"/>
        </xdr:cNvPicPr>
      </xdr:nvPicPr>
      <xdr:blipFill>
        <a:blip xmlns:r="http://schemas.openxmlformats.org/officeDocument/2006/relationships" r:embed="rId4"/>
        <a:stretch>
          <a:fillRect/>
        </a:stretch>
      </xdr:blipFill>
      <xdr:spPr>
        <a:xfrm>
          <a:off x="27184350" y="10496550"/>
          <a:ext cx="825953" cy="2862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1123950</xdr:colOff>
      <xdr:row>242</xdr:row>
      <xdr:rowOff>152400</xdr:rowOff>
    </xdr:from>
    <xdr:to>
      <xdr:col>28</xdr:col>
      <xdr:colOff>1924050</xdr:colOff>
      <xdr:row>243</xdr:row>
      <xdr:rowOff>180975</xdr:rowOff>
    </xdr:to>
    <xdr:pic>
      <xdr:nvPicPr>
        <xdr:cNvPr id="3" name="Picture 2" descr="C:\WINDOWS\TEMP\~0003946.gif">
          <a:extLst>
            <a:ext uri="{FF2B5EF4-FFF2-40B4-BE49-F238E27FC236}">
              <a16:creationId xmlns:a16="http://schemas.microsoft.com/office/drawing/2014/main" id="{A7B4F61F-249C-41F6-80B3-58D257F3C75A}"/>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165425" y="498729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133</xdr:row>
      <xdr:rowOff>161925</xdr:rowOff>
    </xdr:from>
    <xdr:to>
      <xdr:col>28</xdr:col>
      <xdr:colOff>1952625</xdr:colOff>
      <xdr:row>134</xdr:row>
      <xdr:rowOff>190500</xdr:rowOff>
    </xdr:to>
    <xdr:pic>
      <xdr:nvPicPr>
        <xdr:cNvPr id="4" name="Picture 3" descr="C:\WINDOWS\TEMP\~0003946.gif">
          <a:extLst>
            <a:ext uri="{FF2B5EF4-FFF2-40B4-BE49-F238E27FC236}">
              <a16:creationId xmlns:a16="http://schemas.microsoft.com/office/drawing/2014/main" id="{1564672C-CE60-42EC-972B-F95968BC3F3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162250" y="280384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0DAC1225-36DB-40BD-9E4F-01EC394439B3}"/>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162250" y="106553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307863</xdr:colOff>
      <xdr:row>52</xdr:row>
      <xdr:rowOff>146578</xdr:rowOff>
    </xdr:to>
    <xdr:pic>
      <xdr:nvPicPr>
        <xdr:cNvPr id="6" name="Picture 5">
          <a:extLst>
            <a:ext uri="{FF2B5EF4-FFF2-40B4-BE49-F238E27FC236}">
              <a16:creationId xmlns:a16="http://schemas.microsoft.com/office/drawing/2014/main" id="{BF034BE8-7B8A-47B8-9BA5-7057C8B4704E}"/>
            </a:ext>
          </a:extLst>
        </xdr:cNvPr>
        <xdr:cNvPicPr>
          <a:picLocks noChangeAspect="1"/>
        </xdr:cNvPicPr>
      </xdr:nvPicPr>
      <xdr:blipFill>
        <a:blip xmlns:r="http://schemas.openxmlformats.org/officeDocument/2006/relationships" r:embed="rId3"/>
        <a:stretch>
          <a:fillRect/>
        </a:stretch>
      </xdr:blipFill>
      <xdr:spPr>
        <a:xfrm>
          <a:off x="142875" y="10610850"/>
          <a:ext cx="170703" cy="231668"/>
        </a:xfrm>
        <a:prstGeom prst="rect">
          <a:avLst/>
        </a:prstGeom>
      </xdr:spPr>
    </xdr:pic>
    <xdr:clientData/>
  </xdr:twoCellAnchor>
  <xdr:twoCellAnchor editAs="oneCell">
    <xdr:from>
      <xdr:col>0</xdr:col>
      <xdr:colOff>165100</xdr:colOff>
      <xdr:row>133</xdr:row>
      <xdr:rowOff>177800</xdr:rowOff>
    </xdr:from>
    <xdr:to>
      <xdr:col>1</xdr:col>
      <xdr:colOff>523</xdr:colOff>
      <xdr:row>134</xdr:row>
      <xdr:rowOff>220873</xdr:rowOff>
    </xdr:to>
    <xdr:pic>
      <xdr:nvPicPr>
        <xdr:cNvPr id="7" name="Picture 6">
          <a:extLst>
            <a:ext uri="{FF2B5EF4-FFF2-40B4-BE49-F238E27FC236}">
              <a16:creationId xmlns:a16="http://schemas.microsoft.com/office/drawing/2014/main" id="{D61BD5C5-F354-4973-A794-6B1DB3D135F0}"/>
            </a:ext>
          </a:extLst>
        </xdr:cNvPr>
        <xdr:cNvPicPr>
          <a:picLocks noChangeAspect="1"/>
        </xdr:cNvPicPr>
      </xdr:nvPicPr>
      <xdr:blipFill>
        <a:blip xmlns:r="http://schemas.openxmlformats.org/officeDocument/2006/relationships" r:embed="rId3"/>
        <a:stretch>
          <a:fillRect/>
        </a:stretch>
      </xdr:blipFill>
      <xdr:spPr>
        <a:xfrm>
          <a:off x="161925" y="28060650"/>
          <a:ext cx="171973" cy="222143"/>
        </a:xfrm>
        <a:prstGeom prst="rect">
          <a:avLst/>
        </a:prstGeom>
      </xdr:spPr>
    </xdr:pic>
    <xdr:clientData/>
  </xdr:twoCellAnchor>
  <xdr:twoCellAnchor editAs="oneCell">
    <xdr:from>
      <xdr:col>0</xdr:col>
      <xdr:colOff>139700</xdr:colOff>
      <xdr:row>242</xdr:row>
      <xdr:rowOff>152400</xdr:rowOff>
    </xdr:from>
    <xdr:to>
      <xdr:col>0</xdr:col>
      <xdr:colOff>307863</xdr:colOff>
      <xdr:row>243</xdr:row>
      <xdr:rowOff>184678</xdr:rowOff>
    </xdr:to>
    <xdr:pic>
      <xdr:nvPicPr>
        <xdr:cNvPr id="8" name="Picture 7">
          <a:extLst>
            <a:ext uri="{FF2B5EF4-FFF2-40B4-BE49-F238E27FC236}">
              <a16:creationId xmlns:a16="http://schemas.microsoft.com/office/drawing/2014/main" id="{3C54C93C-C257-46E1-8129-66DA6FD9B3A4}"/>
            </a:ext>
          </a:extLst>
        </xdr:cNvPr>
        <xdr:cNvPicPr>
          <a:picLocks noChangeAspect="1"/>
        </xdr:cNvPicPr>
      </xdr:nvPicPr>
      <xdr:blipFill>
        <a:blip xmlns:r="http://schemas.openxmlformats.org/officeDocument/2006/relationships" r:embed="rId3"/>
        <a:stretch>
          <a:fillRect/>
        </a:stretch>
      </xdr:blipFill>
      <xdr:spPr>
        <a:xfrm>
          <a:off x="142875" y="49872900"/>
          <a:ext cx="170703" cy="231668"/>
        </a:xfrm>
        <a:prstGeom prst="rect">
          <a:avLst/>
        </a:prstGeom>
      </xdr:spPr>
    </xdr:pic>
    <xdr:clientData/>
  </xdr:twoCellAnchor>
  <xdr:twoCellAnchor editAs="oneCell">
    <xdr:from>
      <xdr:col>0</xdr:col>
      <xdr:colOff>139700</xdr:colOff>
      <xdr:row>374</xdr:row>
      <xdr:rowOff>127000</xdr:rowOff>
    </xdr:from>
    <xdr:to>
      <xdr:col>0</xdr:col>
      <xdr:colOff>307863</xdr:colOff>
      <xdr:row>375</xdr:row>
      <xdr:rowOff>155468</xdr:rowOff>
    </xdr:to>
    <xdr:pic>
      <xdr:nvPicPr>
        <xdr:cNvPr id="9" name="Picture 8">
          <a:extLst>
            <a:ext uri="{FF2B5EF4-FFF2-40B4-BE49-F238E27FC236}">
              <a16:creationId xmlns:a16="http://schemas.microsoft.com/office/drawing/2014/main" id="{447060DE-182E-426A-958C-C7CBFEF27C1C}"/>
            </a:ext>
          </a:extLst>
        </xdr:cNvPr>
        <xdr:cNvPicPr>
          <a:picLocks noChangeAspect="1"/>
        </xdr:cNvPicPr>
      </xdr:nvPicPr>
      <xdr:blipFill>
        <a:blip xmlns:r="http://schemas.openxmlformats.org/officeDocument/2006/relationships" r:embed="rId3"/>
        <a:stretch>
          <a:fillRect/>
        </a:stretch>
      </xdr:blipFill>
      <xdr:spPr>
        <a:xfrm>
          <a:off x="142875" y="75999975"/>
          <a:ext cx="170703" cy="231668"/>
        </a:xfrm>
        <a:prstGeom prst="rect">
          <a:avLst/>
        </a:prstGeom>
      </xdr:spPr>
    </xdr:pic>
    <xdr:clientData/>
  </xdr:twoCellAnchor>
  <xdr:twoCellAnchor editAs="oneCell">
    <xdr:from>
      <xdr:col>28</xdr:col>
      <xdr:colOff>0</xdr:colOff>
      <xdr:row>374</xdr:row>
      <xdr:rowOff>0</xdr:rowOff>
    </xdr:from>
    <xdr:to>
      <xdr:col>28</xdr:col>
      <xdr:colOff>832938</xdr:colOff>
      <xdr:row>375</xdr:row>
      <xdr:rowOff>107848</xdr:rowOff>
    </xdr:to>
    <xdr:pic>
      <xdr:nvPicPr>
        <xdr:cNvPr id="10" name="Picture 9">
          <a:extLst>
            <a:ext uri="{FF2B5EF4-FFF2-40B4-BE49-F238E27FC236}">
              <a16:creationId xmlns:a16="http://schemas.microsoft.com/office/drawing/2014/main" id="{D1CE58D6-D197-415A-82D8-82D3B7747A90}"/>
            </a:ext>
          </a:extLst>
        </xdr:cNvPr>
        <xdr:cNvPicPr>
          <a:picLocks noChangeAspect="1"/>
        </xdr:cNvPicPr>
      </xdr:nvPicPr>
      <xdr:blipFill>
        <a:blip xmlns:r="http://schemas.openxmlformats.org/officeDocument/2006/relationships" r:embed="rId4"/>
        <a:stretch>
          <a:fillRect/>
        </a:stretch>
      </xdr:blipFill>
      <xdr:spPr>
        <a:xfrm>
          <a:off x="27184350" y="75876150"/>
          <a:ext cx="825953" cy="286283"/>
        </a:xfrm>
        <a:prstGeom prst="rect">
          <a:avLst/>
        </a:prstGeom>
      </xdr:spPr>
    </xdr:pic>
    <xdr:clientData/>
  </xdr:twoCellAnchor>
  <xdr:twoCellAnchor editAs="oneCell">
    <xdr:from>
      <xdr:col>28</xdr:col>
      <xdr:colOff>63500</xdr:colOff>
      <xdr:row>242</xdr:row>
      <xdr:rowOff>88900</xdr:rowOff>
    </xdr:from>
    <xdr:to>
      <xdr:col>28</xdr:col>
      <xdr:colOff>907868</xdr:colOff>
      <xdr:row>243</xdr:row>
      <xdr:rowOff>185953</xdr:rowOff>
    </xdr:to>
    <xdr:pic>
      <xdr:nvPicPr>
        <xdr:cNvPr id="11" name="Picture 10">
          <a:extLst>
            <a:ext uri="{FF2B5EF4-FFF2-40B4-BE49-F238E27FC236}">
              <a16:creationId xmlns:a16="http://schemas.microsoft.com/office/drawing/2014/main" id="{D233FB02-EA74-46ED-8E63-C4AB7DC757CE}"/>
            </a:ext>
          </a:extLst>
        </xdr:cNvPr>
        <xdr:cNvPicPr>
          <a:picLocks noChangeAspect="1"/>
        </xdr:cNvPicPr>
      </xdr:nvPicPr>
      <xdr:blipFill>
        <a:blip xmlns:r="http://schemas.openxmlformats.org/officeDocument/2006/relationships" r:embed="rId4"/>
        <a:stretch>
          <a:fillRect/>
        </a:stretch>
      </xdr:blipFill>
      <xdr:spPr>
        <a:xfrm>
          <a:off x="27251025" y="49806225"/>
          <a:ext cx="825953" cy="295808"/>
        </a:xfrm>
        <a:prstGeom prst="rect">
          <a:avLst/>
        </a:prstGeom>
      </xdr:spPr>
    </xdr:pic>
    <xdr:clientData/>
  </xdr:twoCellAnchor>
  <xdr:twoCellAnchor editAs="oneCell">
    <xdr:from>
      <xdr:col>28</xdr:col>
      <xdr:colOff>25400</xdr:colOff>
      <xdr:row>133</xdr:row>
      <xdr:rowOff>76200</xdr:rowOff>
    </xdr:from>
    <xdr:to>
      <xdr:col>28</xdr:col>
      <xdr:colOff>869768</xdr:colOff>
      <xdr:row>134</xdr:row>
      <xdr:rowOff>184048</xdr:rowOff>
    </xdr:to>
    <xdr:pic>
      <xdr:nvPicPr>
        <xdr:cNvPr id="12" name="Picture 11">
          <a:extLst>
            <a:ext uri="{FF2B5EF4-FFF2-40B4-BE49-F238E27FC236}">
              <a16:creationId xmlns:a16="http://schemas.microsoft.com/office/drawing/2014/main" id="{DEED3364-0C22-4BFF-B1F3-2CC055C371F2}"/>
            </a:ext>
          </a:extLst>
        </xdr:cNvPr>
        <xdr:cNvPicPr>
          <a:picLocks noChangeAspect="1"/>
        </xdr:cNvPicPr>
      </xdr:nvPicPr>
      <xdr:blipFill>
        <a:blip xmlns:r="http://schemas.openxmlformats.org/officeDocument/2006/relationships" r:embed="rId4"/>
        <a:stretch>
          <a:fillRect/>
        </a:stretch>
      </xdr:blipFill>
      <xdr:spPr>
        <a:xfrm>
          <a:off x="27212925" y="27955875"/>
          <a:ext cx="825953" cy="286283"/>
        </a:xfrm>
        <a:prstGeom prst="rect">
          <a:avLst/>
        </a:prstGeom>
      </xdr:spPr>
    </xdr:pic>
    <xdr:clientData/>
  </xdr:twoCellAnchor>
  <xdr:twoCellAnchor editAs="oneCell">
    <xdr:from>
      <xdr:col>28</xdr:col>
      <xdr:colOff>0</xdr:colOff>
      <xdr:row>51</xdr:row>
      <xdr:rowOff>0</xdr:rowOff>
    </xdr:from>
    <xdr:to>
      <xdr:col>28</xdr:col>
      <xdr:colOff>832938</xdr:colOff>
      <xdr:row>52</xdr:row>
      <xdr:rowOff>107848</xdr:rowOff>
    </xdr:to>
    <xdr:pic>
      <xdr:nvPicPr>
        <xdr:cNvPr id="13" name="Picture 12">
          <a:extLst>
            <a:ext uri="{FF2B5EF4-FFF2-40B4-BE49-F238E27FC236}">
              <a16:creationId xmlns:a16="http://schemas.microsoft.com/office/drawing/2014/main" id="{89A6A376-C88B-4E2E-A8C6-690954650E4D}"/>
            </a:ext>
          </a:extLst>
        </xdr:cNvPr>
        <xdr:cNvPicPr>
          <a:picLocks noChangeAspect="1"/>
        </xdr:cNvPicPr>
      </xdr:nvPicPr>
      <xdr:blipFill>
        <a:blip xmlns:r="http://schemas.openxmlformats.org/officeDocument/2006/relationships" r:embed="rId4"/>
        <a:stretch>
          <a:fillRect/>
        </a:stretch>
      </xdr:blipFill>
      <xdr:spPr>
        <a:xfrm>
          <a:off x="27184350" y="10496550"/>
          <a:ext cx="825953" cy="2862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5.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20.xml"/><Relationship Id="rId3" Type="http://schemas.openxmlformats.org/officeDocument/2006/relationships/hyperlink" Target="http://www.paragonbankinggroup.co.uk/" TargetMode="External"/><Relationship Id="rId7"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6" Type="http://schemas.openxmlformats.org/officeDocument/2006/relationships/hyperlink" Target="https://www.londonstockexchange.com/news-article/41YH/notice-of-base-rate-modification/15106330" TargetMode="External"/><Relationship Id="rId5" Type="http://schemas.openxmlformats.org/officeDocument/2006/relationships/hyperlink" Target="https://investorreporting.paragonbankinggroup.co.uk/bondinvestor_viewer/resources/bondinvestor/pdf/investornews/2021/libor-mortgages-transition-july-19" TargetMode="External"/><Relationship Id="rId4" Type="http://schemas.openxmlformats.org/officeDocument/2006/relationships/hyperlink" Target="https://www.londonstockexchange.com/news-article/41YH/notice-of-base-rate-modification/15064143"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9CB31"/>
  </sheetPr>
  <dimension ref="A1:JB346"/>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43332</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234">
        <f>+AB138+AB149+AB192+AB208</f>
        <v>10923</v>
      </c>
      <c r="O28" s="234"/>
      <c r="P28" s="234">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v>0</v>
      </c>
      <c r="E29" s="54"/>
      <c r="F29" s="55">
        <v>0</v>
      </c>
      <c r="G29" s="55"/>
      <c r="H29" s="55">
        <v>0</v>
      </c>
      <c r="I29" s="55"/>
      <c r="J29" s="55">
        <v>0</v>
      </c>
      <c r="K29" s="51"/>
      <c r="L29" s="55">
        <v>0</v>
      </c>
      <c r="M29" s="55"/>
      <c r="N29" s="55">
        <v>0</v>
      </c>
      <c r="O29" s="55"/>
      <c r="P29" s="55">
        <v>0</v>
      </c>
      <c r="Q29" s="55"/>
      <c r="R29" s="55" t="s">
        <v>83</v>
      </c>
      <c r="S29" s="55"/>
      <c r="T29" s="55" t="s">
        <v>83</v>
      </c>
      <c r="U29" s="55"/>
      <c r="V29" s="55" t="s">
        <v>83</v>
      </c>
      <c r="W29" s="51"/>
      <c r="X29" s="55" t="s">
        <v>83</v>
      </c>
      <c r="Y29" s="51"/>
      <c r="Z29" s="51"/>
      <c r="AA29" s="50"/>
      <c r="AB29" s="51">
        <f>SUM(D29:P29)</f>
        <v>0</v>
      </c>
      <c r="AC29" s="52"/>
      <c r="AD29" s="22"/>
    </row>
    <row r="30" spans="1:33" s="23" customFormat="1" x14ac:dyDescent="0.3">
      <c r="A30" s="48"/>
      <c r="B30" s="45" t="s">
        <v>92</v>
      </c>
      <c r="C30" s="50"/>
      <c r="D30" s="58">
        <f>D28*D31</f>
        <v>600000</v>
      </c>
      <c r="E30" s="58"/>
      <c r="F30" s="58">
        <f>F28</f>
        <v>33500</v>
      </c>
      <c r="G30" s="58"/>
      <c r="H30" s="58">
        <f>H28</f>
        <v>30000</v>
      </c>
      <c r="I30" s="58"/>
      <c r="J30" s="58">
        <f>J28</f>
        <v>24700</v>
      </c>
      <c r="K30" s="58"/>
      <c r="L30" s="58">
        <f>L28</f>
        <v>17648</v>
      </c>
      <c r="M30" s="58"/>
      <c r="N30" s="58">
        <f>N28*N31</f>
        <v>10323.108840000001</v>
      </c>
      <c r="O30" s="58"/>
      <c r="P30" s="58">
        <v>6124</v>
      </c>
      <c r="Q30" s="58"/>
      <c r="R30" s="58" t="s">
        <v>83</v>
      </c>
      <c r="S30" s="58"/>
      <c r="T30" s="58" t="s">
        <v>83</v>
      </c>
      <c r="U30" s="58"/>
      <c r="V30" s="58" t="s">
        <v>83</v>
      </c>
      <c r="W30" s="57"/>
      <c r="X30" s="58" t="s">
        <v>83</v>
      </c>
      <c r="Y30" s="51"/>
      <c r="Z30" s="51"/>
      <c r="AA30" s="50"/>
      <c r="AB30" s="57">
        <f>SUM(D30:L30)</f>
        <v>705848</v>
      </c>
      <c r="AC30" s="52"/>
      <c r="AD30" s="22"/>
      <c r="AE30" s="238"/>
    </row>
    <row r="31" spans="1:33" s="67" customFormat="1" x14ac:dyDescent="0.3">
      <c r="A31" s="59"/>
      <c r="B31" s="169" t="s">
        <v>88</v>
      </c>
      <c r="C31" s="63"/>
      <c r="D31" s="61">
        <v>1</v>
      </c>
      <c r="E31" s="61"/>
      <c r="F31" s="61">
        <v>1</v>
      </c>
      <c r="G31" s="61"/>
      <c r="H31" s="61">
        <v>1</v>
      </c>
      <c r="I31" s="61"/>
      <c r="J31" s="61">
        <v>1</v>
      </c>
      <c r="K31" s="61"/>
      <c r="L31" s="61">
        <v>1</v>
      </c>
      <c r="M31" s="61"/>
      <c r="N31" s="61">
        <v>0.94508000000000003</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1</v>
      </c>
      <c r="E32" s="61"/>
      <c r="F32" s="61">
        <v>1</v>
      </c>
      <c r="G32" s="61"/>
      <c r="H32" s="61">
        <v>1</v>
      </c>
      <c r="I32" s="61"/>
      <c r="J32" s="61">
        <v>1</v>
      </c>
      <c r="K32" s="61"/>
      <c r="L32" s="61">
        <v>1</v>
      </c>
      <c r="M32" s="61"/>
      <c r="N32" s="61">
        <v>1</v>
      </c>
      <c r="O32" s="228"/>
      <c r="P32" s="228">
        <v>0</v>
      </c>
      <c r="Q32" s="228"/>
      <c r="R32" s="228" t="s">
        <v>83</v>
      </c>
      <c r="S32" s="228"/>
      <c r="T32" s="228" t="s">
        <v>83</v>
      </c>
      <c r="U32" s="228"/>
      <c r="V32" s="228"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1.43044E-2</v>
      </c>
      <c r="E34" s="71"/>
      <c r="F34" s="71">
        <v>1.7304400000000001E-2</v>
      </c>
      <c r="G34" s="71"/>
      <c r="H34" s="71">
        <v>2.0804400000000001E-2</v>
      </c>
      <c r="I34" s="71"/>
      <c r="J34" s="71">
        <v>2.38044E-2</v>
      </c>
      <c r="K34" s="71"/>
      <c r="L34" s="71">
        <v>3.3804399999999998E-2</v>
      </c>
      <c r="M34" s="71"/>
      <c r="N34" s="71">
        <v>4.7804399999999997E-2</v>
      </c>
      <c r="O34" s="71"/>
      <c r="P34" s="71">
        <v>4.7804399999999997E-2</v>
      </c>
      <c r="Q34" s="71"/>
      <c r="R34" s="71" t="s">
        <v>83</v>
      </c>
      <c r="S34" s="71"/>
      <c r="T34" s="71" t="s">
        <v>83</v>
      </c>
      <c r="U34" s="71"/>
      <c r="V34" s="71" t="s">
        <v>83</v>
      </c>
      <c r="W34" s="70"/>
      <c r="X34" s="71" t="s">
        <v>83</v>
      </c>
      <c r="Y34" s="49"/>
      <c r="Z34" s="49"/>
      <c r="AA34" s="41"/>
      <c r="AB34" s="70">
        <f>SUMPRODUCT(D34:L34,D28:L28)/AB28</f>
        <v>1.5543032113429521E-2</v>
      </c>
      <c r="AC34" s="44"/>
      <c r="AD34" s="22"/>
    </row>
    <row r="35" spans="1:30" s="23" customFormat="1" x14ac:dyDescent="0.3">
      <c r="A35" s="48"/>
      <c r="B35" s="41" t="s">
        <v>10</v>
      </c>
      <c r="C35" s="72"/>
      <c r="D35" s="71">
        <v>0</v>
      </c>
      <c r="E35" s="71"/>
      <c r="F35" s="71">
        <v>0</v>
      </c>
      <c r="G35" s="71"/>
      <c r="H35" s="71">
        <v>0</v>
      </c>
      <c r="I35" s="71"/>
      <c r="J35" s="71">
        <v>0</v>
      </c>
      <c r="K35" s="71"/>
      <c r="L35" s="71">
        <v>0</v>
      </c>
      <c r="M35" s="71"/>
      <c r="N35" s="71">
        <v>0</v>
      </c>
      <c r="O35" s="71"/>
      <c r="P35" s="71">
        <v>0</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0.17641333333333334</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43327</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c r="Y47" s="41"/>
      <c r="Z47" s="79"/>
      <c r="AA47" s="80"/>
      <c r="AB47" s="79"/>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111</v>
      </c>
      <c r="Y48" s="41"/>
      <c r="Z48" s="79">
        <v>43216</v>
      </c>
      <c r="AA48" s="80"/>
      <c r="AB48" s="79">
        <v>43326</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43326</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177</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46.8"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705273</v>
      </c>
      <c r="S57" s="241"/>
      <c r="T57" s="240">
        <f>208+521</f>
        <v>729</v>
      </c>
      <c r="U57" s="241"/>
      <c r="V57" s="241">
        <f>17511-729</f>
        <v>16782</v>
      </c>
      <c r="W57" s="241"/>
      <c r="X57" s="241">
        <f>14995+17</f>
        <v>15012</v>
      </c>
      <c r="Y57" s="241"/>
      <c r="Z57" s="241">
        <v>0</v>
      </c>
      <c r="AA57" s="241"/>
      <c r="AB57" s="240">
        <f>P57-T57-V57+X57-Z57</f>
        <v>702774</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705273</v>
      </c>
      <c r="S60" s="241"/>
      <c r="T60" s="241">
        <f>T57+T58</f>
        <v>729</v>
      </c>
      <c r="U60" s="241"/>
      <c r="V60" s="241">
        <f>SUM(V57:V59)</f>
        <v>16782</v>
      </c>
      <c r="W60" s="241"/>
      <c r="X60" s="241">
        <f>SUM(X57:X59)</f>
        <v>15012</v>
      </c>
      <c r="Y60" s="241"/>
      <c r="Z60" s="241">
        <f>SUM(Z57:Z59)</f>
        <v>0</v>
      </c>
      <c r="AA60" s="241"/>
      <c r="AB60" s="241">
        <f>SUM(AB57:AB59)</f>
        <v>702774</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0</v>
      </c>
      <c r="S63" s="241"/>
      <c r="T63" s="241">
        <v>0</v>
      </c>
      <c r="U63" s="241"/>
      <c r="V63" s="241">
        <v>2516</v>
      </c>
      <c r="W63" s="241"/>
      <c r="X63" s="241"/>
      <c r="Y63" s="241"/>
      <c r="Z63" s="241"/>
      <c r="AA63" s="241"/>
      <c r="AB63" s="241">
        <f>V63</f>
        <v>2516</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575</v>
      </c>
      <c r="S64" s="241"/>
      <c r="T64" s="241"/>
      <c r="U64" s="241"/>
      <c r="V64" s="241"/>
      <c r="W64" s="241"/>
      <c r="X64" s="241">
        <v>-17</v>
      </c>
      <c r="Y64" s="241"/>
      <c r="Z64" s="241"/>
      <c r="AA64" s="241"/>
      <c r="AB64" s="241">
        <f>+R64+X64</f>
        <v>558</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705848</v>
      </c>
      <c r="S66" s="241"/>
      <c r="T66" s="241"/>
      <c r="U66" s="241"/>
      <c r="V66" s="241"/>
      <c r="W66" s="241"/>
      <c r="X66" s="241"/>
      <c r="Y66" s="241"/>
      <c r="Z66" s="241"/>
      <c r="AA66" s="241"/>
      <c r="AB66" s="241">
        <f>SUM(AB60:AB65)</f>
        <v>705848</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+Z243</f>
        <v>43312</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264</v>
      </c>
      <c r="C71" s="41"/>
      <c r="D71" s="73"/>
      <c r="E71" s="73"/>
      <c r="F71" s="73"/>
      <c r="G71" s="111"/>
      <c r="H71" s="73"/>
      <c r="I71" s="41"/>
      <c r="J71" s="112"/>
      <c r="K71" s="41"/>
      <c r="L71" s="41"/>
      <c r="M71" s="41"/>
      <c r="N71" s="41"/>
      <c r="O71" s="41"/>
      <c r="P71" s="41"/>
      <c r="Q71" s="41"/>
      <c r="R71" s="41"/>
      <c r="S71" s="41"/>
      <c r="T71" s="41"/>
      <c r="U71" s="41"/>
      <c r="V71" s="41"/>
      <c r="W71" s="41"/>
      <c r="X71" s="41"/>
      <c r="Y71" s="41"/>
      <c r="Z71" s="241">
        <v>0</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17</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f>-Z73</f>
        <v>-17</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17511</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3591+7077-1221-570</f>
        <v>8877</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43+62</f>
        <v>105</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20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+AB170</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13</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17511</v>
      </c>
      <c r="AA85" s="41"/>
      <c r="AB85" s="100">
        <f>SUM(AB70:AB84)</f>
        <v>9015</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17511</v>
      </c>
      <c r="AA88" s="41"/>
      <c r="AB88" s="100">
        <f>AB85+AB86+AB87</f>
        <v>9015</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-1955</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-3</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-375-4</f>
        <v>-379</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-79</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-2610</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-176</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-190</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-179</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0</v>
      </c>
      <c r="AA101" s="115"/>
      <c r="AB101" s="101">
        <v>0</v>
      </c>
      <c r="AC101" s="117"/>
      <c r="AD101" s="5"/>
    </row>
    <row r="102" spans="1:30" x14ac:dyDescent="0.3">
      <c r="A102" s="113">
        <v>13</v>
      </c>
      <c r="B102" s="60" t="s">
        <v>225</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-300</v>
      </c>
      <c r="AC102" s="117"/>
      <c r="AD102" s="5"/>
    </row>
    <row r="103" spans="1:30" x14ac:dyDescent="0.3">
      <c r="A103" s="113">
        <v>14</v>
      </c>
      <c r="B103" s="60" t="s">
        <v>28</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-25</v>
      </c>
      <c r="AC103" s="117"/>
      <c r="AD103" s="5"/>
    </row>
    <row r="104" spans="1:30" x14ac:dyDescent="0.3">
      <c r="A104" s="113">
        <v>15</v>
      </c>
      <c r="B104" s="60" t="s">
        <v>118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0</v>
      </c>
      <c r="AC104" s="117"/>
      <c r="AD104" s="5"/>
    </row>
    <row r="105" spans="1:30" x14ac:dyDescent="0.3">
      <c r="A105" s="113">
        <v>16</v>
      </c>
      <c r="B105" s="60" t="s">
        <v>202</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163</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-181</v>
      </c>
      <c r="AC106" s="117"/>
      <c r="AD106" s="5"/>
    </row>
    <row r="107" spans="1:30" x14ac:dyDescent="0.3">
      <c r="A107" s="113">
        <v>18</v>
      </c>
      <c r="B107" s="60" t="s">
        <v>298</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-159</v>
      </c>
      <c r="AC107" s="117"/>
      <c r="AD107" s="5"/>
    </row>
    <row r="108" spans="1:30" x14ac:dyDescent="0.3">
      <c r="A108" s="113">
        <v>19</v>
      </c>
      <c r="B108" s="60" t="s">
        <v>299</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-600</v>
      </c>
      <c r="AC108" s="117"/>
      <c r="AD108" s="5"/>
    </row>
    <row r="109" spans="1:30" x14ac:dyDescent="0.3">
      <c r="A109" s="113">
        <v>20</v>
      </c>
      <c r="B109" s="60" t="s">
        <v>300</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-116</v>
      </c>
      <c r="AC109" s="117"/>
      <c r="AD109" s="5"/>
    </row>
    <row r="110" spans="1:30" x14ac:dyDescent="0.3">
      <c r="A110" s="113">
        <v>21</v>
      </c>
      <c r="B110" s="60" t="s">
        <v>301</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-2062</v>
      </c>
      <c r="AC110" s="117"/>
      <c r="AD110" s="5"/>
    </row>
    <row r="111" spans="1:30" x14ac:dyDescent="0.3">
      <c r="A111" s="113">
        <v>22</v>
      </c>
      <c r="B111" s="60" t="s">
        <v>131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137</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294</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v>0</v>
      </c>
      <c r="AC113" s="117"/>
      <c r="AD113" s="5"/>
    </row>
    <row r="114" spans="1:30" x14ac:dyDescent="0.3">
      <c r="A114" s="113">
        <v>25</v>
      </c>
      <c r="B114" s="60" t="s">
        <v>252</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0</v>
      </c>
      <c r="AC114" s="117"/>
      <c r="AD114" s="5"/>
    </row>
    <row r="115" spans="1:30" x14ac:dyDescent="0.3">
      <c r="A115" s="113"/>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16"/>
      <c r="AC115" s="117"/>
      <c r="AD115" s="5"/>
    </row>
    <row r="116" spans="1:30" x14ac:dyDescent="0.3">
      <c r="A116" s="113"/>
      <c r="B116" s="114" t="s">
        <v>29</v>
      </c>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115"/>
      <c r="AB116" s="119"/>
      <c r="AC116" s="117"/>
      <c r="AD116" s="5"/>
    </row>
    <row r="117" spans="1:30" x14ac:dyDescent="0.3">
      <c r="A117" s="113"/>
      <c r="B117" s="41" t="s">
        <v>254</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v>0</v>
      </c>
      <c r="AA117" s="115"/>
      <c r="AB117" s="119"/>
      <c r="AC117" s="117"/>
      <c r="AD117" s="5"/>
    </row>
    <row r="118" spans="1:30" s="23" customFormat="1" x14ac:dyDescent="0.3">
      <c r="A118" s="48"/>
      <c r="B118" s="41" t="s">
        <v>156</v>
      </c>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241">
        <v>0</v>
      </c>
      <c r="AA118" s="100"/>
      <c r="AB118" s="101"/>
      <c r="AC118" s="44"/>
      <c r="AD118" s="22"/>
    </row>
    <row r="119" spans="1:30" s="23" customFormat="1" x14ac:dyDescent="0.3">
      <c r="A119" s="48"/>
      <c r="B119" s="41" t="s">
        <v>157</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303</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304</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274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-14995</v>
      </c>
      <c r="AA122" s="100"/>
      <c r="AB122" s="101"/>
      <c r="AC122" s="44"/>
      <c r="AD122" s="22"/>
    </row>
    <row r="123" spans="1:30" s="23" customFormat="1" x14ac:dyDescent="0.3">
      <c r="A123" s="48"/>
      <c r="B123" s="41" t="s">
        <v>253</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-2516</v>
      </c>
      <c r="AA123" s="100"/>
      <c r="AB123" s="101"/>
      <c r="AC123" s="44"/>
      <c r="AD123" s="22"/>
    </row>
    <row r="124" spans="1:30" s="23" customFormat="1" x14ac:dyDescent="0.3">
      <c r="A124" s="48"/>
      <c r="B124" s="41" t="s">
        <v>179</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0</v>
      </c>
      <c r="AA124" s="100"/>
      <c r="AB124" s="101"/>
      <c r="AC124" s="44"/>
      <c r="AD124" s="22"/>
    </row>
    <row r="125" spans="1:30" s="23" customFormat="1" x14ac:dyDescent="0.3">
      <c r="A125" s="48"/>
      <c r="B125" s="41" t="s">
        <v>142</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0</v>
      </c>
      <c r="AA125" s="100"/>
      <c r="AB125" s="101"/>
      <c r="AC125" s="44"/>
      <c r="AD125" s="22"/>
    </row>
    <row r="126" spans="1:30" s="23" customFormat="1" x14ac:dyDescent="0.3">
      <c r="A126" s="48"/>
      <c r="B126" s="41" t="s">
        <v>143</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180</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164</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203</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30</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f>SUM(Z117:Z129)</f>
        <v>-17511</v>
      </c>
      <c r="AA130" s="100"/>
      <c r="AB130" s="100">
        <f>SUM(AB89:AB128)</f>
        <v>-9015</v>
      </c>
      <c r="AC130" s="44"/>
      <c r="AD130" s="22"/>
    </row>
    <row r="131" spans="1:30" s="23" customFormat="1" x14ac:dyDescent="0.3">
      <c r="A131" s="48"/>
      <c r="B131" s="41" t="s">
        <v>31</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Z88+Z130+Z101</f>
        <v>0</v>
      </c>
      <c r="AA131" s="100"/>
      <c r="AB131" s="100">
        <f>AB88+AB130</f>
        <v>0</v>
      </c>
      <c r="AC131" s="44"/>
      <c r="AD131" s="22"/>
    </row>
    <row r="132" spans="1:30" s="23" customFormat="1" x14ac:dyDescent="0.3">
      <c r="A132" s="1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109"/>
      <c r="AA132" s="109"/>
      <c r="AB132" s="109"/>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20"/>
      <c r="AC133" s="21"/>
      <c r="AD133" s="22"/>
    </row>
    <row r="134" spans="1:30" s="23" customFormat="1" ht="18.600000000000001" thickBot="1" x14ac:dyDescent="0.4">
      <c r="A134" s="86"/>
      <c r="B134" s="87" t="str">
        <f>B53</f>
        <v>PM25 INVESTOR REPORT QUARTER ENDING JULY 2018</v>
      </c>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121"/>
      <c r="AC134" s="90"/>
      <c r="AD134" s="22"/>
    </row>
    <row r="135" spans="1:30" x14ac:dyDescent="0.3">
      <c r="A135" s="122"/>
      <c r="B135" s="123" t="s">
        <v>32</v>
      </c>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5"/>
      <c r="AC135" s="126"/>
      <c r="AD135" s="5"/>
    </row>
    <row r="136" spans="1:30" x14ac:dyDescent="0.3">
      <c r="A136" s="7"/>
      <c r="B136" s="127"/>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4"/>
      <c r="AC136" s="10"/>
      <c r="AD136" s="5"/>
    </row>
    <row r="137" spans="1:30" x14ac:dyDescent="0.3">
      <c r="A137" s="7"/>
      <c r="B137" s="128" t="s">
        <v>206</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s="23" customFormat="1" x14ac:dyDescent="0.3">
      <c r="A138" s="48"/>
      <c r="B138" s="41" t="s">
        <v>213</v>
      </c>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101">
        <f>SUM(D28:G28)*1.5%</f>
        <v>9502.5</v>
      </c>
      <c r="AC138" s="44"/>
      <c r="AD138" s="22"/>
    </row>
    <row r="139" spans="1:30" s="23" customFormat="1" x14ac:dyDescent="0.3">
      <c r="A139" s="48"/>
      <c r="B139" s="41" t="s">
        <v>218</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SUM(D28:F28)*0.015</f>
        <v>9502.5</v>
      </c>
      <c r="AC139" s="44"/>
      <c r="AD139" s="22"/>
    </row>
    <row r="140" spans="1:30" s="23" customFormat="1" x14ac:dyDescent="0.3">
      <c r="A140" s="48"/>
      <c r="B140" s="41" t="s">
        <v>278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c r="AC140" s="44"/>
      <c r="AD140" s="22"/>
    </row>
    <row r="141" spans="1:30" s="23" customFormat="1" x14ac:dyDescent="0.3">
      <c r="A141" s="48"/>
      <c r="B141" s="41" t="s">
        <v>280</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v>0</v>
      </c>
      <c r="AC141" s="44"/>
      <c r="AD141" s="22"/>
    </row>
    <row r="142" spans="1:30" s="23" customFormat="1" x14ac:dyDescent="0.3">
      <c r="A142" s="48"/>
      <c r="B142" s="41" t="s">
        <v>212</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150</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87</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281</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217</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f>SUM(AB139:AB145)</f>
        <v>9502.5</v>
      </c>
      <c r="AC146" s="44"/>
      <c r="AD146" s="22"/>
    </row>
    <row r="147" spans="1:30" x14ac:dyDescent="0.3">
      <c r="A147" s="7"/>
      <c r="B147" s="127"/>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4"/>
      <c r="AC147" s="10"/>
      <c r="AD147" s="5"/>
    </row>
    <row r="148" spans="1:30" x14ac:dyDescent="0.3">
      <c r="A148" s="7"/>
      <c r="B148" s="128" t="s">
        <v>204</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s="23" customFormat="1" x14ac:dyDescent="0.3">
      <c r="A149" s="48"/>
      <c r="B149" s="60" t="s">
        <v>205</v>
      </c>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101">
        <f>SUM(H28:J28)*1.5%</f>
        <v>820.5</v>
      </c>
      <c r="AC149" s="44"/>
      <c r="AD149" s="22"/>
    </row>
    <row r="150" spans="1:30" s="23" customFormat="1" x14ac:dyDescent="0.3">
      <c r="A150" s="48"/>
      <c r="B150" s="60" t="s">
        <v>219</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SUM(H28:J28)*0.015</f>
        <v>820.5</v>
      </c>
      <c r="AC150" s="44"/>
      <c r="AD150" s="22"/>
    </row>
    <row r="151" spans="1:30" s="23" customFormat="1" x14ac:dyDescent="0.3">
      <c r="A151" s="48"/>
      <c r="B151" s="60" t="s">
        <v>93</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c r="AC151" s="44"/>
      <c r="AD151" s="22"/>
    </row>
    <row r="152" spans="1:30" s="23" customFormat="1" x14ac:dyDescent="0.3">
      <c r="A152" s="48"/>
      <c r="B152" s="41" t="s">
        <v>280</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v>0</v>
      </c>
      <c r="AC152" s="44"/>
      <c r="AD152" s="22"/>
    </row>
    <row r="153" spans="1:30" s="23" customFormat="1" x14ac:dyDescent="0.3">
      <c r="A153" s="48"/>
      <c r="B153" s="60" t="s">
        <v>129</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150</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151</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187</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41" t="s">
        <v>281</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60" t="s">
        <v>216</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f>SUM(AB150:AB158)</f>
        <v>820.5</v>
      </c>
      <c r="AC159" s="44"/>
      <c r="AD159" s="22"/>
    </row>
    <row r="160" spans="1:30" x14ac:dyDescent="0.3">
      <c r="A160" s="7"/>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29"/>
      <c r="AC160" s="10"/>
      <c r="AD160" s="5"/>
    </row>
    <row r="161" spans="1:30" x14ac:dyDescent="0.3">
      <c r="A161" s="7"/>
      <c r="B161" s="128" t="s">
        <v>181</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c r="AC161" s="10"/>
      <c r="AD161" s="5"/>
    </row>
    <row r="162" spans="1:30" s="23" customFormat="1" x14ac:dyDescent="0.3">
      <c r="A162" s="132"/>
      <c r="B162" s="233" t="s">
        <v>295</v>
      </c>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4">
        <v>575</v>
      </c>
      <c r="AC162" s="135"/>
      <c r="AD162" s="22"/>
    </row>
    <row r="163" spans="1:30" s="23" customFormat="1" x14ac:dyDescent="0.3">
      <c r="A163" s="132"/>
      <c r="B163" s="233" t="s">
        <v>182</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X64</f>
        <v>-17</v>
      </c>
      <c r="AC163" s="135"/>
      <c r="AD163" s="22"/>
    </row>
    <row r="164" spans="1:30" s="23" customFormat="1" x14ac:dyDescent="0.3">
      <c r="A164" s="132"/>
      <c r="B164" s="233" t="s">
        <v>279</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v>0</v>
      </c>
      <c r="AC164" s="135"/>
      <c r="AD164" s="22"/>
    </row>
    <row r="165" spans="1:30" s="23" customFormat="1" x14ac:dyDescent="0.3">
      <c r="A165" s="132"/>
      <c r="B165" s="233" t="s">
        <v>183</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AB162+AB163</f>
        <v>558</v>
      </c>
      <c r="AC165" s="135"/>
      <c r="AD165" s="22"/>
    </row>
    <row r="166" spans="1:30" x14ac:dyDescent="0.3">
      <c r="A166" s="7"/>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29"/>
      <c r="AC166" s="10"/>
      <c r="AD166" s="5"/>
    </row>
    <row r="167" spans="1:30" x14ac:dyDescent="0.3">
      <c r="A167" s="7"/>
      <c r="B167" s="128"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6"/>
      <c r="AC167" s="10"/>
      <c r="AD167" s="5"/>
    </row>
    <row r="168" spans="1:30" s="23" customFormat="1" x14ac:dyDescent="0.3">
      <c r="A168" s="48"/>
      <c r="B168" s="41" t="s">
        <v>35</v>
      </c>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101">
        <v>0</v>
      </c>
      <c r="AC168" s="44"/>
      <c r="AD168" s="22"/>
    </row>
    <row r="169" spans="1:30" s="23" customFormat="1" x14ac:dyDescent="0.3">
      <c r="A169" s="48"/>
      <c r="B169" s="41" t="s">
        <v>36</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239</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v>0</v>
      </c>
      <c r="AC170" s="44"/>
      <c r="AD170" s="22"/>
    </row>
    <row r="171" spans="1:30" s="23" customFormat="1" x14ac:dyDescent="0.3">
      <c r="A171" s="48"/>
      <c r="B171" s="41" t="s">
        <v>37</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f>AB169+AB168+AB170</f>
        <v>0</v>
      </c>
      <c r="AC171" s="44"/>
      <c r="AD171" s="22"/>
    </row>
    <row r="172" spans="1:30" s="23" customFormat="1" x14ac:dyDescent="0.3">
      <c r="A172" s="48"/>
      <c r="B172" s="41" t="s">
        <v>317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+AB101</f>
        <v>0</v>
      </c>
      <c r="AC172" s="44"/>
      <c r="AD172" s="22"/>
    </row>
    <row r="173" spans="1:30" s="23" customFormat="1" x14ac:dyDescent="0.3">
      <c r="A173" s="48"/>
      <c r="B173" s="41" t="s">
        <v>38</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AB171+AB172</f>
        <v>0</v>
      </c>
      <c r="AC173" s="44"/>
      <c r="AD173" s="22"/>
    </row>
    <row r="174" spans="1:30" s="23" customFormat="1" x14ac:dyDescent="0.3">
      <c r="A174" s="48"/>
      <c r="B174" s="41" t="s">
        <v>124</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-AB87</f>
        <v>0</v>
      </c>
      <c r="AC174" s="44"/>
      <c r="AD174" s="22"/>
    </row>
    <row r="175" spans="1:30" x14ac:dyDescent="0.3">
      <c r="A175" s="7"/>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29"/>
      <c r="AC175" s="10"/>
      <c r="AD175" s="5"/>
    </row>
    <row r="176" spans="1:30" x14ac:dyDescent="0.3">
      <c r="A176" s="7"/>
      <c r="B176" s="128" t="s">
        <v>235</v>
      </c>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136"/>
      <c r="AC176" s="10"/>
      <c r="AD176" s="5"/>
    </row>
    <row r="177" spans="1:262" s="23" customFormat="1" x14ac:dyDescent="0.3">
      <c r="A177" s="48"/>
      <c r="B177" s="41" t="s">
        <v>237</v>
      </c>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101">
        <v>0</v>
      </c>
      <c r="AC177" s="44"/>
      <c r="AD177" s="22"/>
    </row>
    <row r="178" spans="1:262" s="23" customFormat="1" x14ac:dyDescent="0.3">
      <c r="A178" s="48"/>
      <c r="B178" s="41" t="s">
        <v>248</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2516</v>
      </c>
      <c r="AC178" s="44"/>
      <c r="AD178" s="22"/>
    </row>
    <row r="179" spans="1:262" s="23" customFormat="1" x14ac:dyDescent="0.3">
      <c r="A179" s="48"/>
      <c r="B179" s="41" t="s">
        <v>297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v>0</v>
      </c>
      <c r="AC179" s="44"/>
      <c r="AD179" s="22"/>
    </row>
    <row r="180" spans="1:262" s="23" customFormat="1" x14ac:dyDescent="0.3">
      <c r="A180" s="48"/>
      <c r="B180" s="41" t="s">
        <v>238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AB177+AB178-AB179</f>
        <v>2516</v>
      </c>
      <c r="AC180" s="44"/>
      <c r="AD180" s="22"/>
    </row>
    <row r="181" spans="1:262" ht="16.2" thickBot="1" x14ac:dyDescent="0.35">
      <c r="A181" s="7"/>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29"/>
      <c r="AC181" s="10"/>
      <c r="AD181" s="5"/>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7"/>
      <c r="AC182" s="4"/>
      <c r="AD182" s="5"/>
    </row>
    <row r="183" spans="1:262" s="139" customFormat="1" x14ac:dyDescent="0.3">
      <c r="A183" s="7"/>
      <c r="B183" s="128" t="s">
        <v>207</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38"/>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40" customFormat="1" x14ac:dyDescent="0.3">
      <c r="A184" s="48"/>
      <c r="B184" s="41" t="s">
        <v>372</v>
      </c>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101">
        <v>0</v>
      </c>
      <c r="AC184" s="44"/>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40" customFormat="1" x14ac:dyDescent="0.3">
      <c r="A185" s="48"/>
      <c r="B185" s="41" t="s">
        <v>224</v>
      </c>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101">
        <v>0</v>
      </c>
      <c r="AC185" s="44"/>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40" customFormat="1" x14ac:dyDescent="0.3">
      <c r="A186" s="48"/>
      <c r="B186" s="41" t="s">
        <v>262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f>-AB194</f>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265</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221</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+AB185+AB186-AB187</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2" customFormat="1" ht="16.2" thickBot="1" x14ac:dyDescent="0.35">
      <c r="A189" s="141"/>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29"/>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7"/>
      <c r="AC190" s="4"/>
      <c r="AD190" s="5"/>
    </row>
    <row r="191" spans="1:262" s="139" customFormat="1" x14ac:dyDescent="0.3">
      <c r="A191" s="7"/>
      <c r="B191" s="128" t="s">
        <v>220</v>
      </c>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38"/>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40" customFormat="1" x14ac:dyDescent="0.3">
      <c r="A192" s="48"/>
      <c r="B192" s="41" t="s">
        <v>222</v>
      </c>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101">
        <v>300</v>
      </c>
      <c r="AC192" s="44"/>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40" customFormat="1" x14ac:dyDescent="0.3">
      <c r="A193" s="48"/>
      <c r="B193" s="41" t="s">
        <v>226</v>
      </c>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101">
        <v>0</v>
      </c>
      <c r="AC193" s="44"/>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40" customFormat="1" x14ac:dyDescent="0.3">
      <c r="A194" s="48"/>
      <c r="B194" s="60" t="s">
        <v>255</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60" t="s">
        <v>256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v>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41" t="s">
        <v>223</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f>AB192-AB194+AB195</f>
        <v>300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2" customFormat="1" ht="16.2" thickBot="1" x14ac:dyDescent="0.35">
      <c r="A197" s="141"/>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29"/>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7"/>
      <c r="AC198" s="4"/>
      <c r="AD198" s="5"/>
    </row>
    <row r="199" spans="1:262" s="139" customFormat="1" x14ac:dyDescent="0.3">
      <c r="A199" s="7"/>
      <c r="B199" s="128" t="s">
        <v>227</v>
      </c>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38"/>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40" customFormat="1" x14ac:dyDescent="0.3">
      <c r="A200" s="48"/>
      <c r="B200" s="41" t="s">
        <v>373</v>
      </c>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101">
        <v>0</v>
      </c>
      <c r="AC200" s="44"/>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40" customFormat="1" x14ac:dyDescent="0.3">
      <c r="A201" s="48"/>
      <c r="B201" s="41" t="s">
        <v>228</v>
      </c>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101">
        <v>0</v>
      </c>
      <c r="AC201" s="44"/>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40" customFormat="1" x14ac:dyDescent="0.3">
      <c r="A202" s="48"/>
      <c r="B202" s="41" t="s">
        <v>263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f>AB210</f>
        <v>188</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257</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AB84</f>
        <v>13</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371</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AB201+AB202-AB203</f>
        <v>175</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2" customFormat="1" ht="16.2" thickBot="1" x14ac:dyDescent="0.35">
      <c r="A205" s="141"/>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29"/>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7"/>
      <c r="AC206" s="4"/>
      <c r="AD206" s="5"/>
    </row>
    <row r="207" spans="1:262" s="139" customFormat="1" x14ac:dyDescent="0.3">
      <c r="A207" s="7"/>
      <c r="B207" s="128" t="s">
        <v>374</v>
      </c>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38"/>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s="140" customFormat="1" x14ac:dyDescent="0.3">
      <c r="A208" s="48"/>
      <c r="B208" s="41" t="s">
        <v>229</v>
      </c>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101">
        <v>300</v>
      </c>
      <c r="AC208" s="44"/>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40" customFormat="1" x14ac:dyDescent="0.3">
      <c r="A209" s="48"/>
      <c r="B209" s="41" t="s">
        <v>230</v>
      </c>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101">
        <v>0</v>
      </c>
      <c r="AC209" s="44"/>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40" customFormat="1" x14ac:dyDescent="0.3">
      <c r="A210" s="48"/>
      <c r="B210" s="60" t="s">
        <v>296</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188</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60" t="s">
        <v>258</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-AB102</f>
        <v>300</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41" t="s">
        <v>231</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f>AB208-AB210+AB211</f>
        <v>412</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2" customFormat="1" ht="16.2" thickBot="1" x14ac:dyDescent="0.35">
      <c r="A213" s="141"/>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29"/>
      <c r="AC213" s="10"/>
      <c r="AD213" s="5"/>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row>
    <row r="214" spans="1:262" x14ac:dyDescent="0.3">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137"/>
      <c r="AC214" s="4"/>
      <c r="AD214" s="5"/>
    </row>
    <row r="215" spans="1:262" s="139" customFormat="1" x14ac:dyDescent="0.3">
      <c r="A215" s="7"/>
      <c r="B215" s="128" t="s">
        <v>266</v>
      </c>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236" t="s">
        <v>272</v>
      </c>
      <c r="Z215" s="236" t="s">
        <v>273</v>
      </c>
      <c r="AA215" s="12"/>
      <c r="AB215" s="237"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40" customFormat="1" x14ac:dyDescent="0.3">
      <c r="A216" s="48"/>
      <c r="B216" s="41" t="s">
        <v>267</v>
      </c>
      <c r="C216" s="41"/>
      <c r="D216" s="41"/>
      <c r="E216" s="41"/>
      <c r="F216" s="41"/>
      <c r="G216" s="41"/>
      <c r="H216" s="41"/>
      <c r="I216" s="41"/>
      <c r="J216" s="41"/>
      <c r="K216" s="41"/>
      <c r="L216" s="41"/>
      <c r="M216" s="41"/>
      <c r="N216" s="41"/>
      <c r="O216" s="41"/>
      <c r="P216" s="41"/>
      <c r="Q216" s="41"/>
      <c r="R216" s="41"/>
      <c r="S216" s="41"/>
      <c r="T216" s="41"/>
      <c r="U216" s="41"/>
      <c r="V216" s="41"/>
      <c r="W216" s="41"/>
      <c r="X216" s="41"/>
      <c r="Y216" s="101">
        <f>+AB28*0.16</f>
        <v>112935.68000000001</v>
      </c>
      <c r="Z216" s="73"/>
      <c r="AA216" s="41"/>
      <c r="AB216" s="101"/>
      <c r="AC216" s="44"/>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40" customFormat="1" x14ac:dyDescent="0.3">
      <c r="A217" s="48"/>
      <c r="B217" s="41" t="s">
        <v>268</v>
      </c>
      <c r="C217" s="41"/>
      <c r="D217" s="41"/>
      <c r="E217" s="41"/>
      <c r="F217" s="41"/>
      <c r="G217" s="41"/>
      <c r="H217" s="41"/>
      <c r="I217" s="41"/>
      <c r="J217" s="41"/>
      <c r="K217" s="41"/>
      <c r="L217" s="41"/>
      <c r="M217" s="41"/>
      <c r="N217" s="41"/>
      <c r="O217" s="41"/>
      <c r="P217" s="41"/>
      <c r="Q217" s="41"/>
      <c r="R217" s="41"/>
      <c r="S217" s="41"/>
      <c r="T217" s="41"/>
      <c r="U217" s="41"/>
      <c r="V217" s="41"/>
      <c r="W217" s="41"/>
      <c r="X217" s="41"/>
      <c r="Y217" s="101">
        <v>0</v>
      </c>
      <c r="Z217" s="101">
        <v>0</v>
      </c>
      <c r="AA217" s="41"/>
      <c r="AB217" s="101">
        <f>Y217+Z217</f>
        <v>0</v>
      </c>
      <c r="AC217" s="44"/>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40" customFormat="1" x14ac:dyDescent="0.3">
      <c r="A218" s="48"/>
      <c r="B218" s="41" t="s">
        <v>269</v>
      </c>
      <c r="C218" s="41"/>
      <c r="D218" s="41"/>
      <c r="E218" s="41"/>
      <c r="F218" s="41"/>
      <c r="G218" s="41"/>
      <c r="H218" s="41"/>
      <c r="I218" s="41"/>
      <c r="J218" s="41"/>
      <c r="K218" s="41"/>
      <c r="L218" s="41"/>
      <c r="M218" s="41"/>
      <c r="N218" s="41"/>
      <c r="O218" s="41"/>
      <c r="P218" s="41"/>
      <c r="Q218" s="41"/>
      <c r="R218" s="41"/>
      <c r="S218" s="41"/>
      <c r="T218" s="41"/>
      <c r="U218" s="41"/>
      <c r="V218" s="41"/>
      <c r="W218" s="41"/>
      <c r="X218" s="41"/>
      <c r="Y218" s="100">
        <v>0</v>
      </c>
      <c r="Z218" s="100">
        <v>17</v>
      </c>
      <c r="AA218" s="41"/>
      <c r="AB218" s="101">
        <f>Y218+Z218</f>
        <v>17</v>
      </c>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270</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Y217+Y218</f>
        <v>0</v>
      </c>
      <c r="Z219" s="101">
        <f>Z218+Z217</f>
        <v>17</v>
      </c>
      <c r="AA219" s="41"/>
      <c r="AB219" s="101">
        <f>Y219+Z219</f>
        <v>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271</v>
      </c>
      <c r="C220" s="41"/>
      <c r="D220" s="41"/>
      <c r="E220" s="41"/>
      <c r="F220" s="41"/>
      <c r="G220" s="41"/>
      <c r="H220" s="41"/>
      <c r="I220" s="41"/>
      <c r="J220" s="41"/>
      <c r="K220" s="41"/>
      <c r="L220" s="41"/>
      <c r="M220" s="41"/>
      <c r="N220" s="41"/>
      <c r="O220" s="41"/>
      <c r="P220" s="41"/>
      <c r="Q220" s="41"/>
      <c r="R220" s="41"/>
      <c r="S220" s="41"/>
      <c r="T220" s="41"/>
      <c r="U220" s="41"/>
      <c r="V220" s="41"/>
      <c r="W220" s="41"/>
      <c r="X220" s="41"/>
      <c r="Y220" s="101">
        <f>Y216-Y219-Z219</f>
        <v>112918.68000000001</v>
      </c>
      <c r="Z220" s="73"/>
      <c r="AA220" s="41"/>
      <c r="AB220" s="101"/>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2" customFormat="1" ht="16.2" thickBot="1" x14ac:dyDescent="0.35">
      <c r="A221" s="141"/>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29"/>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7"/>
      <c r="AC222" s="4"/>
      <c r="AD222" s="5"/>
    </row>
    <row r="223" spans="1:262" s="139" customFormat="1" x14ac:dyDescent="0.3">
      <c r="A223" s="7"/>
      <c r="B223" s="128" t="s">
        <v>309</v>
      </c>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236"/>
      <c r="Z223" s="236"/>
      <c r="AA223" s="12"/>
      <c r="AB223" s="237"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40" customFormat="1" x14ac:dyDescent="0.3">
      <c r="A224" s="48"/>
      <c r="B224" s="41" t="s">
        <v>306</v>
      </c>
      <c r="C224" s="41"/>
      <c r="D224" s="41"/>
      <c r="E224" s="41"/>
      <c r="F224" s="41"/>
      <c r="G224" s="41"/>
      <c r="H224" s="41"/>
      <c r="I224" s="41"/>
      <c r="J224" s="41"/>
      <c r="K224" s="41"/>
      <c r="L224" s="41"/>
      <c r="M224" s="41"/>
      <c r="N224" s="41"/>
      <c r="O224" s="41"/>
      <c r="P224" s="41"/>
      <c r="Q224" s="41"/>
      <c r="R224" s="41"/>
      <c r="S224" s="41"/>
      <c r="T224" s="41"/>
      <c r="U224" s="41"/>
      <c r="V224" s="41"/>
      <c r="W224" s="41"/>
      <c r="X224" s="41"/>
      <c r="Y224" s="101"/>
      <c r="Z224" s="73"/>
      <c r="AA224" s="41"/>
      <c r="AB224" s="101">
        <v>599000</v>
      </c>
      <c r="AC224" s="44"/>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40" customFormat="1" x14ac:dyDescent="0.3">
      <c r="A225" s="48"/>
      <c r="B225" s="41" t="s">
        <v>307</v>
      </c>
      <c r="C225" s="41"/>
      <c r="D225" s="41"/>
      <c r="E225" s="41"/>
      <c r="F225" s="41"/>
      <c r="G225" s="41"/>
      <c r="H225" s="41"/>
      <c r="I225" s="41"/>
      <c r="J225" s="41"/>
      <c r="K225" s="41"/>
      <c r="L225" s="41"/>
      <c r="M225" s="41"/>
      <c r="N225" s="41"/>
      <c r="O225" s="41"/>
      <c r="P225" s="41"/>
      <c r="Q225" s="41"/>
      <c r="R225" s="41"/>
      <c r="S225" s="41"/>
      <c r="T225" s="41"/>
      <c r="U225" s="41"/>
      <c r="V225" s="41"/>
      <c r="W225" s="41"/>
      <c r="X225" s="41"/>
      <c r="Y225" s="101"/>
      <c r="Z225" s="101"/>
      <c r="AA225" s="41"/>
      <c r="AB225" s="101">
        <v>596744</v>
      </c>
      <c r="AC225" s="44"/>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40" customFormat="1" x14ac:dyDescent="0.3">
      <c r="A226" s="48"/>
      <c r="B226" s="41" t="s">
        <v>308</v>
      </c>
      <c r="C226" s="41"/>
      <c r="D226" s="41"/>
      <c r="E226" s="41"/>
      <c r="F226" s="41"/>
      <c r="G226" s="41"/>
      <c r="H226" s="41"/>
      <c r="I226" s="41"/>
      <c r="J226" s="41"/>
      <c r="K226" s="41"/>
      <c r="L226" s="41"/>
      <c r="M226" s="41"/>
      <c r="N226" s="41"/>
      <c r="O226" s="41"/>
      <c r="P226" s="41"/>
      <c r="Q226" s="41"/>
      <c r="R226" s="41"/>
      <c r="S226" s="41"/>
      <c r="T226" s="41"/>
      <c r="U226" s="41"/>
      <c r="V226" s="41"/>
      <c r="W226" s="41"/>
      <c r="X226" s="41"/>
      <c r="Y226" s="100"/>
      <c r="Z226" s="100"/>
      <c r="AA226" s="41"/>
      <c r="AB226" s="101">
        <f>AB224-AB225</f>
        <v>2256</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2" customFormat="1" ht="16.2" thickBot="1" x14ac:dyDescent="0.35">
      <c r="A227" s="141"/>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29"/>
      <c r="AC227" s="10"/>
      <c r="AD227" s="5"/>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row>
    <row r="228" spans="1:262" x14ac:dyDescent="0.3">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137"/>
      <c r="AC228" s="4"/>
      <c r="AD228" s="5"/>
    </row>
    <row r="229" spans="1:262" x14ac:dyDescent="0.3">
      <c r="A229" s="7"/>
      <c r="B229" s="128" t="s">
        <v>39</v>
      </c>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143"/>
      <c r="AC229" s="10"/>
      <c r="AD229" s="5"/>
    </row>
    <row r="230" spans="1:262" s="23" customFormat="1" x14ac:dyDescent="0.3">
      <c r="A230" s="48"/>
      <c r="B230" s="41" t="s">
        <v>40</v>
      </c>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145">
        <f>(AB88+AB90+AB91+AB92+AB93)/-(AB94)</f>
        <v>2.5283524904214558</v>
      </c>
      <c r="AC230" s="44" t="s">
        <v>81</v>
      </c>
      <c r="AD230" s="22"/>
    </row>
    <row r="231" spans="1:262" s="23" customFormat="1" x14ac:dyDescent="0.3">
      <c r="A231" s="48"/>
      <c r="B231" s="41" t="s">
        <v>41</v>
      </c>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145">
        <v>2.5299999999999998</v>
      </c>
      <c r="AC231" s="44" t="s">
        <v>81</v>
      </c>
      <c r="AD231" s="22"/>
    </row>
    <row r="232" spans="1:262" s="23" customFormat="1" x14ac:dyDescent="0.3">
      <c r="A232" s="48"/>
      <c r="B232" s="41" t="s">
        <v>144</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4">
        <f>(AB88+AB90+AB91+AB92+AB93+AB94)/-(AB95)</f>
        <v>22.664772727272727</v>
      </c>
      <c r="AC232" s="44" t="s">
        <v>81</v>
      </c>
      <c r="AD232" s="22"/>
    </row>
    <row r="233" spans="1:262" s="23" customFormat="1" x14ac:dyDescent="0.3">
      <c r="A233" s="48"/>
      <c r="B233" s="41" t="s">
        <v>145</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22.66</v>
      </c>
      <c r="AC233" s="44" t="s">
        <v>81</v>
      </c>
      <c r="AD233" s="22"/>
    </row>
    <row r="234" spans="1:262" s="23" customFormat="1" x14ac:dyDescent="0.3">
      <c r="A234" s="48"/>
      <c r="B234" s="41" t="s">
        <v>146</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4">
        <f>(AB88+AB90+AB91+AB92+AB93+AB94+AB95)/-(AB97)</f>
        <v>20.068421052631578</v>
      </c>
      <c r="AC234" s="44" t="s">
        <v>81</v>
      </c>
      <c r="AD234" s="22"/>
    </row>
    <row r="235" spans="1:262" s="23" customFormat="1" x14ac:dyDescent="0.3">
      <c r="A235" s="48"/>
      <c r="B235" s="41" t="s">
        <v>147</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20.07</v>
      </c>
      <c r="AC235" s="44" t="s">
        <v>81</v>
      </c>
      <c r="AD235" s="22"/>
    </row>
    <row r="236" spans="1:262" s="23" customFormat="1" x14ac:dyDescent="0.3">
      <c r="A236" s="48"/>
      <c r="B236" s="41" t="s">
        <v>184</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4">
        <f>(AB88+AB90+AB91+AB92+AB93+AB94+AB95+AB97)/-(AB98)</f>
        <v>20.240223463687151</v>
      </c>
      <c r="AC236" s="44" t="s">
        <v>81</v>
      </c>
      <c r="AD236" s="22"/>
    </row>
    <row r="237" spans="1:262" s="23" customFormat="1" x14ac:dyDescent="0.3">
      <c r="A237" s="48"/>
      <c r="B237" s="41" t="s">
        <v>185</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20.239999999999998</v>
      </c>
      <c r="AC237" s="44" t="s">
        <v>81</v>
      </c>
      <c r="AD237" s="22"/>
    </row>
    <row r="238" spans="1:262" s="23" customFormat="1" x14ac:dyDescent="0.3">
      <c r="A238" s="48"/>
      <c r="B238" s="41" t="s">
        <v>165</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4">
        <f>(AB88+AB90+AB91+AB92+AB93+AB94+AB95+AB97+AB98)/-(AB106)</f>
        <v>19.027624309392266</v>
      </c>
      <c r="AC238" s="44" t="s">
        <v>81</v>
      </c>
      <c r="AD238" s="22"/>
    </row>
    <row r="239" spans="1:262" s="23" customFormat="1" x14ac:dyDescent="0.3">
      <c r="A239" s="48"/>
      <c r="B239" s="41" t="s">
        <v>166</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19.03</v>
      </c>
      <c r="AC239" s="44" t="s">
        <v>81</v>
      </c>
      <c r="AD239" s="22"/>
    </row>
    <row r="240" spans="1:262" s="23" customFormat="1" x14ac:dyDescent="0.3">
      <c r="A240" s="1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21"/>
      <c r="AD240" s="22"/>
    </row>
    <row r="241" spans="1:30" s="23" customFormat="1" x14ac:dyDescent="0.3">
      <c r="A241" s="18"/>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1"/>
      <c r="AD241" s="22"/>
    </row>
    <row r="242" spans="1:30" s="23" customFormat="1" ht="18.600000000000001" thickBot="1" x14ac:dyDescent="0.4">
      <c r="A242" s="86"/>
      <c r="B242" s="87" t="str">
        <f>B134</f>
        <v>PM25 INVESTOR REPORT QUARTER ENDING JULY 2018</v>
      </c>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90"/>
      <c r="AD242" s="22"/>
    </row>
    <row r="243" spans="1:30" x14ac:dyDescent="0.3">
      <c r="A243" s="122"/>
      <c r="B243" s="123" t="s">
        <v>42</v>
      </c>
      <c r="C243" s="146"/>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v>43312</v>
      </c>
      <c r="AA243" s="124"/>
      <c r="AB243" s="124"/>
      <c r="AC243" s="126"/>
      <c r="AD243" s="5"/>
    </row>
    <row r="244" spans="1:30" x14ac:dyDescent="0.3">
      <c r="A244" s="148"/>
      <c r="B244" s="149"/>
      <c r="C244" s="150"/>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9"/>
      <c r="AB244" s="9"/>
      <c r="AC244" s="10"/>
      <c r="AD244" s="5"/>
    </row>
    <row r="245" spans="1:30" s="23" customFormat="1" x14ac:dyDescent="0.3">
      <c r="A245" s="48"/>
      <c r="B245" s="41" t="s">
        <v>43</v>
      </c>
      <c r="C245" s="152"/>
      <c r="D245" s="76"/>
      <c r="E245" s="76"/>
      <c r="F245" s="76"/>
      <c r="G245" s="76"/>
      <c r="H245" s="76"/>
      <c r="I245" s="76"/>
      <c r="J245" s="76"/>
      <c r="K245" s="76"/>
      <c r="L245" s="76"/>
      <c r="M245" s="76"/>
      <c r="N245" s="76"/>
      <c r="O245" s="76"/>
      <c r="P245" s="76"/>
      <c r="Q245" s="76"/>
      <c r="R245" s="76"/>
      <c r="S245" s="76"/>
      <c r="T245" s="76"/>
      <c r="U245" s="76"/>
      <c r="V245" s="76"/>
      <c r="W245" s="76"/>
      <c r="X245" s="76"/>
      <c r="Y245" s="76"/>
      <c r="Z245" s="70">
        <v>3.8269999999999998E-2</v>
      </c>
      <c r="AA245" s="41"/>
      <c r="AB245" s="41"/>
      <c r="AC245" s="44"/>
      <c r="AD245" s="22"/>
    </row>
    <row r="246" spans="1:30" s="23" customFormat="1" x14ac:dyDescent="0.3">
      <c r="A246" s="48"/>
      <c r="B246" s="41" t="s">
        <v>132</v>
      </c>
      <c r="C246" s="152"/>
      <c r="D246" s="76"/>
      <c r="E246" s="76"/>
      <c r="F246" s="76"/>
      <c r="G246" s="76"/>
      <c r="H246" s="76"/>
      <c r="I246" s="76"/>
      <c r="J246" s="76"/>
      <c r="K246" s="76"/>
      <c r="L246" s="76"/>
      <c r="M246" s="76"/>
      <c r="N246" s="76"/>
      <c r="O246" s="76"/>
      <c r="P246" s="76"/>
      <c r="Q246" s="76"/>
      <c r="R246" s="76"/>
      <c r="S246" s="76"/>
      <c r="T246" s="76"/>
      <c r="U246" s="76"/>
      <c r="V246" s="76"/>
      <c r="W246" s="76"/>
      <c r="X246" s="76"/>
      <c r="Y246" s="76"/>
      <c r="Z246" s="70">
        <f>+AB34</f>
        <v>1.5543032113429521E-2</v>
      </c>
      <c r="AA246" s="41"/>
      <c r="AB246" s="41"/>
      <c r="AC246" s="44"/>
      <c r="AD246" s="22"/>
    </row>
    <row r="247" spans="1:30" s="23" customFormat="1" x14ac:dyDescent="0.3">
      <c r="A247" s="48"/>
      <c r="B247" s="41" t="s">
        <v>44</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f>Z245-Z246</f>
        <v>2.2726967886570477E-2</v>
      </c>
      <c r="AA247" s="41"/>
      <c r="AB247" s="41"/>
      <c r="AC247" s="44"/>
      <c r="AD247" s="22"/>
    </row>
    <row r="248" spans="1:30" s="23" customFormat="1" x14ac:dyDescent="0.3">
      <c r="A248" s="48"/>
      <c r="B248" s="41" t="s">
        <v>45</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3.7659999999999999E-2</v>
      </c>
      <c r="AA248" s="41"/>
      <c r="AB248" s="41"/>
      <c r="AC248" s="44"/>
      <c r="AD248" s="22"/>
    </row>
    <row r="249" spans="1:30" s="23" customFormat="1" x14ac:dyDescent="0.3">
      <c r="A249" s="48"/>
      <c r="B249" s="41" t="s">
        <v>133</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+AB34</f>
        <v>1.5543032113429521E-2</v>
      </c>
      <c r="AA249" s="41"/>
      <c r="AB249" s="41"/>
      <c r="AC249" s="44"/>
      <c r="AD249" s="22"/>
    </row>
    <row r="250" spans="1:30" s="23" customFormat="1" x14ac:dyDescent="0.3">
      <c r="A250" s="48"/>
      <c r="B250" s="41" t="s">
        <v>46</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f>Z248-Z249</f>
        <v>2.2116967886570478E-2</v>
      </c>
      <c r="AA250" s="41"/>
      <c r="AB250" s="41"/>
      <c r="AC250" s="44"/>
      <c r="AD250" s="22"/>
    </row>
    <row r="251" spans="1:30" s="23" customFormat="1" x14ac:dyDescent="0.3">
      <c r="A251" s="48"/>
      <c r="B251" s="41" t="s">
        <v>119</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(+AB88+AB90)/R66</f>
        <v>1.0002153438133989E-2</v>
      </c>
      <c r="AA251" s="41"/>
      <c r="AB251" s="41"/>
      <c r="AC251" s="44"/>
      <c r="AD251" s="22"/>
    </row>
    <row r="252" spans="1:30" s="23" customFormat="1" x14ac:dyDescent="0.3">
      <c r="A252" s="48"/>
      <c r="B252" s="41" t="s">
        <v>112</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153">
        <v>54923</v>
      </c>
      <c r="AA252" s="41"/>
      <c r="AB252" s="41"/>
      <c r="AC252" s="44"/>
      <c r="AD252" s="22"/>
    </row>
    <row r="253" spans="1:30" s="23" customFormat="1" x14ac:dyDescent="0.3">
      <c r="A253" s="48"/>
      <c r="B253" s="41" t="s">
        <v>148</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153">
        <v>54923</v>
      </c>
      <c r="AA253" s="41"/>
      <c r="AB253" s="41"/>
      <c r="AC253" s="44"/>
      <c r="AD253" s="22"/>
    </row>
    <row r="254" spans="1:30" s="23" customFormat="1" x14ac:dyDescent="0.3">
      <c r="A254" s="48"/>
      <c r="B254" s="41" t="s">
        <v>149</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186</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167</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208</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209</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47</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74">
        <v>18.690000000000001</v>
      </c>
      <c r="AA259" s="41" t="s">
        <v>76</v>
      </c>
      <c r="AB259" s="41"/>
      <c r="AC259" s="44"/>
      <c r="AD259" s="22"/>
    </row>
    <row r="260" spans="1:30" s="23" customFormat="1" x14ac:dyDescent="0.3">
      <c r="A260" s="48"/>
      <c r="B260" s="41" t="s">
        <v>48</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74">
        <v>18.46</v>
      </c>
      <c r="AA260" s="41" t="s">
        <v>76</v>
      </c>
      <c r="AB260" s="41"/>
      <c r="AC260" s="44"/>
      <c r="AD260" s="22"/>
    </row>
    <row r="261" spans="1:30" s="23" customFormat="1" x14ac:dyDescent="0.3">
      <c r="A261" s="48"/>
      <c r="B261" s="41" t="s">
        <v>49</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0">
        <f>(+T57+V57+Z57)/(R57+R63)</f>
        <v>2.4828683360911305E-2</v>
      </c>
      <c r="AA261" s="41"/>
      <c r="AB261" s="41"/>
      <c r="AC261" s="44"/>
      <c r="AD261" s="22"/>
    </row>
    <row r="262" spans="1:30" s="23" customFormat="1" x14ac:dyDescent="0.3">
      <c r="A262" s="48"/>
      <c r="B262" s="41" t="s">
        <v>50</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0">
        <v>7.9299999999999995E-2</v>
      </c>
      <c r="AA262" s="41"/>
      <c r="AB262" s="41"/>
      <c r="AC262" s="44"/>
      <c r="AD262" s="22"/>
    </row>
    <row r="263" spans="1:30" x14ac:dyDescent="0.3">
      <c r="A263" s="148"/>
      <c r="B263" s="154"/>
      <c r="C263" s="154"/>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29"/>
      <c r="AA263" s="102"/>
      <c r="AB263" s="155"/>
      <c r="AC263" s="10"/>
      <c r="AD263" s="5"/>
    </row>
    <row r="264" spans="1:30" x14ac:dyDescent="0.3">
      <c r="A264" s="156"/>
      <c r="B264" s="105" t="s">
        <v>51</v>
      </c>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t="s">
        <v>69</v>
      </c>
      <c r="Z264" s="157" t="s">
        <v>74</v>
      </c>
      <c r="AA264" s="34"/>
      <c r="AB264" s="34"/>
      <c r="AC264" s="37"/>
      <c r="AD264" s="5"/>
    </row>
    <row r="265" spans="1:30" s="23" customFormat="1" x14ac:dyDescent="0.3">
      <c r="A265" s="158"/>
      <c r="B265" s="38" t="s">
        <v>52</v>
      </c>
      <c r="C265" s="10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v>0</v>
      </c>
      <c r="Z265" s="160">
        <v>0</v>
      </c>
      <c r="AA265" s="38"/>
      <c r="AB265" s="161"/>
      <c r="AC265" s="162"/>
      <c r="AD265" s="22"/>
    </row>
    <row r="266" spans="1:30" s="23" customFormat="1" x14ac:dyDescent="0.3">
      <c r="A266" s="163"/>
      <c r="B266" s="41" t="s">
        <v>97</v>
      </c>
      <c r="C266" s="100"/>
      <c r="D266" s="49"/>
      <c r="E266" s="49"/>
      <c r="F266" s="49"/>
      <c r="G266" s="49"/>
      <c r="H266" s="49"/>
      <c r="I266" s="49"/>
      <c r="J266" s="49"/>
      <c r="K266" s="49"/>
      <c r="L266" s="49"/>
      <c r="M266" s="49"/>
      <c r="N266" s="49"/>
      <c r="O266" s="49"/>
      <c r="P266" s="49"/>
      <c r="Q266" s="49"/>
      <c r="R266" s="49"/>
      <c r="S266" s="49"/>
      <c r="T266" s="49"/>
      <c r="U266" s="49"/>
      <c r="V266" s="49"/>
      <c r="W266" s="49"/>
      <c r="X266" s="49"/>
      <c r="Y266" s="164">
        <f>+X318</f>
        <v>0</v>
      </c>
      <c r="Z266" s="165">
        <f>+Z318</f>
        <v>0</v>
      </c>
      <c r="AA266" s="41"/>
      <c r="AB266" s="166"/>
      <c r="AC266" s="167"/>
      <c r="AD266" s="22"/>
    </row>
    <row r="267" spans="1:30" s="23" customFormat="1" x14ac:dyDescent="0.3">
      <c r="A267" s="163"/>
      <c r="B267" s="41" t="s">
        <v>53</v>
      </c>
      <c r="C267" s="100"/>
      <c r="D267" s="49"/>
      <c r="E267" s="49"/>
      <c r="F267" s="49"/>
      <c r="G267" s="49"/>
      <c r="H267" s="49"/>
      <c r="I267" s="49"/>
      <c r="J267" s="49"/>
      <c r="K267" s="49"/>
      <c r="L267" s="49"/>
      <c r="M267" s="49"/>
      <c r="N267" s="49"/>
      <c r="O267" s="49"/>
      <c r="P267" s="49"/>
      <c r="Q267" s="49"/>
      <c r="R267" s="49"/>
      <c r="S267" s="49"/>
      <c r="T267" s="49"/>
      <c r="U267" s="49"/>
      <c r="V267" s="49"/>
      <c r="W267" s="49"/>
      <c r="X267" s="49"/>
      <c r="Y267" s="164">
        <f>+X330</f>
        <v>0</v>
      </c>
      <c r="Z267" s="165">
        <f>+Z330</f>
        <v>0</v>
      </c>
      <c r="AA267" s="41"/>
      <c r="AB267" s="166"/>
      <c r="AC267" s="167"/>
      <c r="AD267" s="22"/>
    </row>
    <row r="268" spans="1:30" x14ac:dyDescent="0.3">
      <c r="A268" s="168"/>
      <c r="B268" s="169" t="s">
        <v>168</v>
      </c>
      <c r="C268" s="170"/>
      <c r="D268" s="60"/>
      <c r="E268" s="60"/>
      <c r="F268" s="60"/>
      <c r="G268" s="60"/>
      <c r="H268" s="60"/>
      <c r="I268" s="60"/>
      <c r="J268" s="60"/>
      <c r="K268" s="60"/>
      <c r="L268" s="60"/>
      <c r="M268" s="60"/>
      <c r="N268" s="60"/>
      <c r="O268" s="60"/>
      <c r="P268" s="60"/>
      <c r="Q268" s="60"/>
      <c r="R268" s="60"/>
      <c r="S268" s="60"/>
      <c r="T268" s="60"/>
      <c r="U268" s="60"/>
      <c r="V268" s="60"/>
      <c r="W268" s="60"/>
      <c r="X268" s="60"/>
      <c r="Y268" s="115"/>
      <c r="Z268" s="165">
        <f>Z57</f>
        <v>0</v>
      </c>
      <c r="AA268" s="60"/>
      <c r="AB268" s="171"/>
      <c r="AC268" s="172"/>
      <c r="AD268" s="5"/>
    </row>
    <row r="269" spans="1:30" x14ac:dyDescent="0.3">
      <c r="A269" s="168"/>
      <c r="B269" s="169" t="s">
        <v>302</v>
      </c>
      <c r="C269" s="170"/>
      <c r="D269" s="60"/>
      <c r="E269" s="60"/>
      <c r="F269" s="60"/>
      <c r="G269" s="60"/>
      <c r="H269" s="60"/>
      <c r="I269" s="60"/>
      <c r="J269" s="60"/>
      <c r="K269" s="60"/>
      <c r="L269" s="60"/>
      <c r="M269" s="60"/>
      <c r="N269" s="60"/>
      <c r="O269" s="60"/>
      <c r="P269" s="60"/>
      <c r="Q269" s="60"/>
      <c r="R269" s="60"/>
      <c r="S269" s="60"/>
      <c r="T269" s="60"/>
      <c r="U269" s="60"/>
      <c r="V269" s="60"/>
      <c r="W269" s="60"/>
      <c r="X269" s="60"/>
      <c r="Y269" s="115"/>
      <c r="Z269" s="165">
        <f>-Z122</f>
        <v>14995</v>
      </c>
      <c r="AA269" s="60"/>
      <c r="AB269" s="171"/>
      <c r="AC269" s="172"/>
      <c r="AD269" s="5"/>
    </row>
    <row r="270" spans="1:30" x14ac:dyDescent="0.3">
      <c r="A270" s="173"/>
      <c r="B270" s="169" t="s">
        <v>54</v>
      </c>
      <c r="C270" s="174"/>
      <c r="D270" s="60"/>
      <c r="E270" s="60"/>
      <c r="F270" s="60"/>
      <c r="G270" s="60"/>
      <c r="H270" s="60"/>
      <c r="I270" s="60"/>
      <c r="J270" s="60"/>
      <c r="K270" s="60"/>
      <c r="L270" s="60"/>
      <c r="M270" s="60"/>
      <c r="N270" s="60"/>
      <c r="O270" s="60"/>
      <c r="P270" s="60"/>
      <c r="Q270" s="60"/>
      <c r="R270" s="60"/>
      <c r="S270" s="60"/>
      <c r="T270" s="60"/>
      <c r="U270" s="60"/>
      <c r="V270" s="60"/>
      <c r="W270" s="60"/>
      <c r="X270" s="60"/>
      <c r="Y270" s="115"/>
      <c r="Z270" s="175"/>
      <c r="AA270" s="60"/>
      <c r="AB270" s="171"/>
      <c r="AC270" s="176"/>
      <c r="AD270" s="5"/>
    </row>
    <row r="271" spans="1:30" s="23" customFormat="1" x14ac:dyDescent="0.3">
      <c r="A271" s="177"/>
      <c r="B271" s="41" t="s">
        <v>55</v>
      </c>
      <c r="C271" s="41"/>
      <c r="D271" s="41"/>
      <c r="E271" s="41"/>
      <c r="F271" s="41"/>
      <c r="G271" s="41"/>
      <c r="H271" s="41"/>
      <c r="I271" s="41"/>
      <c r="J271" s="41"/>
      <c r="K271" s="41"/>
      <c r="L271" s="41"/>
      <c r="M271" s="41"/>
      <c r="N271" s="41"/>
      <c r="O271" s="41"/>
      <c r="P271" s="41"/>
      <c r="Q271" s="41"/>
      <c r="R271" s="41"/>
      <c r="S271" s="41"/>
      <c r="T271" s="41"/>
      <c r="U271" s="41"/>
      <c r="V271" s="41"/>
      <c r="W271" s="41"/>
      <c r="X271" s="41"/>
      <c r="Y271" s="49"/>
      <c r="Z271" s="165">
        <f>AB169</f>
        <v>0</v>
      </c>
      <c r="AA271" s="41"/>
      <c r="AB271" s="166"/>
      <c r="AC271" s="178"/>
      <c r="AD271" s="22"/>
    </row>
    <row r="272" spans="1:30" s="23" customFormat="1" x14ac:dyDescent="0.3">
      <c r="A272" s="163"/>
      <c r="B272" s="41" t="s">
        <v>56</v>
      </c>
      <c r="C272" s="100"/>
      <c r="D272" s="41"/>
      <c r="E272" s="41"/>
      <c r="F272" s="41"/>
      <c r="G272" s="41"/>
      <c r="H272" s="41"/>
      <c r="I272" s="41"/>
      <c r="J272" s="41"/>
      <c r="K272" s="41"/>
      <c r="L272" s="41"/>
      <c r="M272" s="41"/>
      <c r="N272" s="41"/>
      <c r="O272" s="41"/>
      <c r="P272" s="41"/>
      <c r="Q272" s="41"/>
      <c r="R272" s="41"/>
      <c r="S272" s="41"/>
      <c r="T272" s="41"/>
      <c r="U272" s="41"/>
      <c r="V272" s="41"/>
      <c r="W272" s="41"/>
      <c r="X272" s="41"/>
      <c r="Y272" s="49"/>
      <c r="Z272" s="165">
        <f>+Z271</f>
        <v>0</v>
      </c>
      <c r="AA272" s="41"/>
      <c r="AB272" s="166"/>
      <c r="AC272" s="178"/>
      <c r="AD272" s="22"/>
    </row>
    <row r="273" spans="1:30" x14ac:dyDescent="0.3">
      <c r="A273" s="173"/>
      <c r="B273" s="169" t="s">
        <v>125</v>
      </c>
      <c r="C273" s="174"/>
      <c r="D273" s="60"/>
      <c r="E273" s="60"/>
      <c r="F273" s="60"/>
      <c r="G273" s="60"/>
      <c r="H273" s="60"/>
      <c r="I273" s="60"/>
      <c r="J273" s="60"/>
      <c r="K273" s="60"/>
      <c r="L273" s="60"/>
      <c r="M273" s="60"/>
      <c r="N273" s="60"/>
      <c r="O273" s="60"/>
      <c r="P273" s="60"/>
      <c r="Q273" s="60"/>
      <c r="R273" s="60"/>
      <c r="S273" s="60"/>
      <c r="T273" s="60"/>
      <c r="U273" s="60"/>
      <c r="V273" s="60"/>
      <c r="W273" s="60"/>
      <c r="X273" s="60"/>
      <c r="Y273" s="179"/>
      <c r="Z273" s="175"/>
      <c r="AA273" s="60"/>
      <c r="AB273" s="171"/>
      <c r="AC273" s="176"/>
      <c r="AD273" s="5"/>
    </row>
    <row r="274" spans="1:30" s="23" customFormat="1" x14ac:dyDescent="0.3">
      <c r="A274" s="177"/>
      <c r="B274" s="41" t="s">
        <v>134</v>
      </c>
      <c r="C274" s="41"/>
      <c r="D274" s="41"/>
      <c r="E274" s="41"/>
      <c r="F274" s="41"/>
      <c r="G274" s="41"/>
      <c r="H274" s="41"/>
      <c r="I274" s="41"/>
      <c r="J274" s="41"/>
      <c r="K274" s="41"/>
      <c r="L274" s="41"/>
      <c r="M274" s="41"/>
      <c r="N274" s="41"/>
      <c r="O274" s="41"/>
      <c r="P274" s="41"/>
      <c r="Q274" s="41"/>
      <c r="R274" s="41"/>
      <c r="S274" s="41"/>
      <c r="T274" s="41"/>
      <c r="U274" s="41"/>
      <c r="V274" s="41"/>
      <c r="W274" s="41"/>
      <c r="X274" s="41"/>
      <c r="Y274" s="49">
        <v>0</v>
      </c>
      <c r="Z274" s="165">
        <v>0</v>
      </c>
      <c r="AA274" s="41"/>
      <c r="AB274" s="166"/>
      <c r="AC274" s="178"/>
      <c r="AD274" s="22"/>
    </row>
    <row r="275" spans="1:30" s="23" customFormat="1" x14ac:dyDescent="0.3">
      <c r="A275" s="163"/>
      <c r="B275" s="41" t="s">
        <v>57</v>
      </c>
      <c r="C275" s="73"/>
      <c r="D275" s="41"/>
      <c r="E275" s="41"/>
      <c r="F275" s="41"/>
      <c r="G275" s="41"/>
      <c r="H275" s="41"/>
      <c r="I275" s="41"/>
      <c r="J275" s="41"/>
      <c r="K275" s="41"/>
      <c r="L275" s="41"/>
      <c r="M275" s="41"/>
      <c r="N275" s="41"/>
      <c r="O275" s="41"/>
      <c r="P275" s="41"/>
      <c r="Q275" s="41"/>
      <c r="R275" s="41"/>
      <c r="S275" s="41"/>
      <c r="T275" s="41"/>
      <c r="U275" s="41"/>
      <c r="V275" s="41"/>
      <c r="W275" s="41"/>
      <c r="X275" s="41"/>
      <c r="Y275" s="41"/>
      <c r="Z275" s="180">
        <v>0</v>
      </c>
      <c r="AA275" s="41"/>
      <c r="AB275" s="166"/>
      <c r="AC275" s="178"/>
      <c r="AD275" s="22"/>
    </row>
    <row r="276" spans="1:30" s="23" customFormat="1" x14ac:dyDescent="0.3">
      <c r="A276" s="163"/>
      <c r="B276" s="41" t="s">
        <v>58</v>
      </c>
      <c r="C276" s="73"/>
      <c r="D276" s="41"/>
      <c r="E276" s="41"/>
      <c r="F276" s="41"/>
      <c r="G276" s="41"/>
      <c r="H276" s="41"/>
      <c r="I276" s="41"/>
      <c r="J276" s="41"/>
      <c r="K276" s="41"/>
      <c r="L276" s="41"/>
      <c r="M276" s="41"/>
      <c r="N276" s="41"/>
      <c r="O276" s="41"/>
      <c r="P276" s="41"/>
      <c r="Q276" s="41"/>
      <c r="R276" s="41"/>
      <c r="S276" s="41"/>
      <c r="T276" s="41"/>
      <c r="U276" s="41"/>
      <c r="V276" s="41"/>
      <c r="W276" s="41"/>
      <c r="X276" s="41"/>
      <c r="Y276" s="41"/>
      <c r="Z276" s="180">
        <v>0</v>
      </c>
      <c r="AA276" s="41"/>
      <c r="AB276" s="166"/>
      <c r="AC276" s="178"/>
      <c r="AD276" s="22"/>
    </row>
    <row r="277" spans="1:30" x14ac:dyDescent="0.3">
      <c r="A277" s="168"/>
      <c r="B277" s="169" t="s">
        <v>116</v>
      </c>
      <c r="C277" s="181"/>
      <c r="D277" s="60"/>
      <c r="E277" s="60"/>
      <c r="F277" s="60"/>
      <c r="G277" s="60"/>
      <c r="H277" s="60"/>
      <c r="I277" s="60"/>
      <c r="J277" s="60"/>
      <c r="K277" s="60"/>
      <c r="L277" s="60"/>
      <c r="M277" s="60"/>
      <c r="N277" s="60"/>
      <c r="O277" s="60"/>
      <c r="P277" s="60"/>
      <c r="Q277" s="60"/>
      <c r="R277" s="60"/>
      <c r="S277" s="60"/>
      <c r="T277" s="60"/>
      <c r="U277" s="60"/>
      <c r="V277" s="60"/>
      <c r="W277" s="60"/>
      <c r="X277" s="60"/>
      <c r="Y277" s="115"/>
      <c r="Z277" s="182"/>
      <c r="AA277" s="60"/>
      <c r="AB277" s="171"/>
      <c r="AC277" s="176"/>
      <c r="AD277" s="5"/>
    </row>
    <row r="278" spans="1:30" s="23" customFormat="1" x14ac:dyDescent="0.3">
      <c r="A278" s="163"/>
      <c r="B278" s="41" t="s">
        <v>134</v>
      </c>
      <c r="C278" s="73"/>
      <c r="D278" s="41"/>
      <c r="E278" s="41"/>
      <c r="F278" s="41"/>
      <c r="G278" s="41"/>
      <c r="H278" s="41"/>
      <c r="I278" s="41"/>
      <c r="J278" s="41"/>
      <c r="K278" s="41"/>
      <c r="L278" s="41"/>
      <c r="M278" s="41"/>
      <c r="N278" s="41"/>
      <c r="O278" s="41"/>
      <c r="P278" s="41"/>
      <c r="Q278" s="41"/>
      <c r="R278" s="41"/>
      <c r="S278" s="41"/>
      <c r="T278" s="41"/>
      <c r="U278" s="41"/>
      <c r="V278" s="41"/>
      <c r="W278" s="41"/>
      <c r="X278" s="41"/>
      <c r="Y278" s="49">
        <v>0</v>
      </c>
      <c r="Z278" s="165">
        <v>0</v>
      </c>
      <c r="AA278" s="41"/>
      <c r="AB278" s="166"/>
      <c r="AC278" s="178"/>
      <c r="AD278" s="22"/>
    </row>
    <row r="279" spans="1:30" s="23" customFormat="1" x14ac:dyDescent="0.3">
      <c r="A279" s="163"/>
      <c r="B279" s="41" t="s">
        <v>117</v>
      </c>
      <c r="C279" s="73"/>
      <c r="D279" s="41"/>
      <c r="E279" s="41"/>
      <c r="F279" s="41"/>
      <c r="G279" s="41"/>
      <c r="H279" s="41"/>
      <c r="I279" s="41"/>
      <c r="J279" s="41"/>
      <c r="K279" s="41"/>
      <c r="L279" s="41"/>
      <c r="M279" s="41"/>
      <c r="N279" s="41"/>
      <c r="O279" s="41"/>
      <c r="P279" s="41"/>
      <c r="Q279" s="41"/>
      <c r="R279" s="41"/>
      <c r="S279" s="41"/>
      <c r="T279" s="41"/>
      <c r="U279" s="41"/>
      <c r="V279" s="41"/>
      <c r="W279" s="41"/>
      <c r="X279" s="41"/>
      <c r="Y279" s="41"/>
      <c r="Z279" s="180">
        <v>0</v>
      </c>
      <c r="AA279" s="41"/>
      <c r="AB279" s="166"/>
      <c r="AC279" s="178"/>
      <c r="AD279" s="22"/>
    </row>
    <row r="280" spans="1:30" x14ac:dyDescent="0.3">
      <c r="A280" s="168"/>
      <c r="B280" s="174"/>
      <c r="C280" s="181"/>
      <c r="D280" s="60"/>
      <c r="E280" s="60"/>
      <c r="F280" s="60"/>
      <c r="G280" s="60"/>
      <c r="H280" s="60"/>
      <c r="I280" s="60"/>
      <c r="J280" s="60"/>
      <c r="K280" s="60"/>
      <c r="L280" s="60"/>
      <c r="M280" s="60"/>
      <c r="N280" s="60"/>
      <c r="O280" s="60"/>
      <c r="P280" s="60"/>
      <c r="Q280" s="60"/>
      <c r="R280" s="60"/>
      <c r="S280" s="60"/>
      <c r="T280" s="60"/>
      <c r="U280" s="60"/>
      <c r="V280" s="60"/>
      <c r="W280" s="60"/>
      <c r="X280" s="60"/>
      <c r="Y280" s="115"/>
      <c r="Z280" s="182"/>
      <c r="AA280" s="60"/>
      <c r="AB280" s="171"/>
      <c r="AC280" s="176"/>
      <c r="AD280" s="5"/>
    </row>
    <row r="281" spans="1:30" x14ac:dyDescent="0.3">
      <c r="A281" s="168"/>
      <c r="B281" s="174"/>
      <c r="C281" s="181"/>
      <c r="D281" s="60"/>
      <c r="E281" s="60"/>
      <c r="F281" s="60"/>
      <c r="G281" s="60"/>
      <c r="H281" s="60"/>
      <c r="I281" s="60"/>
      <c r="J281" s="60"/>
      <c r="K281" s="60"/>
      <c r="L281" s="60"/>
      <c r="M281" s="60"/>
      <c r="N281" s="60"/>
      <c r="O281" s="60"/>
      <c r="P281" s="60"/>
      <c r="Q281" s="60"/>
      <c r="R281" s="60"/>
      <c r="S281" s="60"/>
      <c r="T281" s="60"/>
      <c r="U281" s="60"/>
      <c r="V281" s="60"/>
      <c r="W281" s="60"/>
      <c r="X281" s="60"/>
      <c r="Y281" s="60"/>
      <c r="Z281" s="183"/>
      <c r="AA281" s="60"/>
      <c r="AB281" s="171"/>
      <c r="AC281" s="176"/>
      <c r="AD281" s="5"/>
    </row>
    <row r="282" spans="1:30" ht="18" x14ac:dyDescent="0.35">
      <c r="A282" s="168"/>
      <c r="B282" s="184" t="s">
        <v>109</v>
      </c>
      <c r="C282" s="181"/>
      <c r="D282" s="60"/>
      <c r="E282" s="60"/>
      <c r="F282" s="60"/>
      <c r="G282" s="60"/>
      <c r="H282" s="60"/>
      <c r="I282" s="60"/>
      <c r="J282" s="60"/>
      <c r="K282" s="60"/>
      <c r="L282" s="185"/>
      <c r="M282" s="185"/>
      <c r="N282" s="185"/>
      <c r="O282" s="185"/>
      <c r="P282" s="185"/>
      <c r="Q282" s="185"/>
      <c r="R282" s="185"/>
      <c r="S282" s="185"/>
      <c r="T282" s="185"/>
      <c r="U282" s="185"/>
      <c r="V282" s="185"/>
      <c r="W282" s="60"/>
      <c r="X282" s="186" t="s">
        <v>169</v>
      </c>
      <c r="Y282" s="185"/>
      <c r="Z282" s="183"/>
      <c r="AA282" s="60"/>
      <c r="AB282" s="171"/>
      <c r="AC282" s="176"/>
      <c r="AD282" s="5"/>
    </row>
    <row r="283" spans="1:30" ht="18" x14ac:dyDescent="0.35">
      <c r="A283" s="187"/>
      <c r="B283" s="188"/>
      <c r="C283" s="189"/>
      <c r="D283" s="102"/>
      <c r="E283" s="102"/>
      <c r="F283" s="102"/>
      <c r="G283" s="102"/>
      <c r="H283" s="102"/>
      <c r="I283" s="102"/>
      <c r="J283" s="102"/>
      <c r="K283" s="102"/>
      <c r="L283" s="190"/>
      <c r="M283" s="190"/>
      <c r="N283" s="190"/>
      <c r="O283" s="190"/>
      <c r="P283" s="190"/>
      <c r="Q283" s="190"/>
      <c r="R283" s="190"/>
      <c r="S283" s="190"/>
      <c r="T283" s="190"/>
      <c r="U283" s="190"/>
      <c r="V283" s="190"/>
      <c r="W283" s="102"/>
      <c r="X283" s="102"/>
      <c r="Y283" s="102"/>
      <c r="Z283" s="191"/>
      <c r="AA283" s="102"/>
      <c r="AB283" s="155"/>
      <c r="AC283" s="192"/>
      <c r="AD283" s="5"/>
    </row>
    <row r="284" spans="1:30" x14ac:dyDescent="0.3">
      <c r="A284" s="33"/>
      <c r="B284" s="105" t="s">
        <v>126</v>
      </c>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57" t="s">
        <v>69</v>
      </c>
      <c r="Y284" s="106" t="s">
        <v>70</v>
      </c>
      <c r="Z284" s="157" t="s">
        <v>75</v>
      </c>
      <c r="AA284" s="106" t="s">
        <v>70</v>
      </c>
      <c r="AB284" s="34"/>
      <c r="AC284" s="193"/>
      <c r="AD284" s="5"/>
    </row>
    <row r="285" spans="1:30" s="23" customFormat="1" x14ac:dyDescent="0.3">
      <c r="A285" s="18"/>
      <c r="B285" s="109" t="s">
        <v>59</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09">
        <f>+X297+X309+X321</f>
        <v>4156</v>
      </c>
      <c r="Y285" s="195">
        <f>X285/$X$294</f>
        <v>0.99951899951899947</v>
      </c>
      <c r="Z285" s="110">
        <f>+Z297+Z309+Z321</f>
        <v>702479</v>
      </c>
      <c r="AA285" s="195">
        <f t="shared" ref="AA285:AA292" si="0">Z285/$Z$294</f>
        <v>0.99958023489770542</v>
      </c>
      <c r="AB285" s="161"/>
      <c r="AC285" s="196"/>
      <c r="AD285" s="22"/>
    </row>
    <row r="286" spans="1:30" s="23" customFormat="1" x14ac:dyDescent="0.3">
      <c r="A286" s="48"/>
      <c r="B286" s="100" t="s">
        <v>60</v>
      </c>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8">
        <f>+X298+X310+X322</f>
        <v>1</v>
      </c>
      <c r="Y286" s="199">
        <f t="shared" ref="Y286:Y292" si="1">X286/$X$294</f>
        <v>2.4050024050024051E-4</v>
      </c>
      <c r="Z286" s="200">
        <f>+Z298+Z310+Z322</f>
        <v>73</v>
      </c>
      <c r="AA286" s="201">
        <f t="shared" si="0"/>
        <v>1.0387407616104182E-4</v>
      </c>
      <c r="AB286" s="166"/>
      <c r="AC286" s="178"/>
      <c r="AD286" s="22"/>
    </row>
    <row r="287" spans="1:30" s="23" customFormat="1" x14ac:dyDescent="0.3">
      <c r="A287" s="48"/>
      <c r="B287" s="100" t="s">
        <v>61</v>
      </c>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202">
        <f t="shared" ref="X287:X291" si="2">+X299+X311+X323</f>
        <v>1</v>
      </c>
      <c r="Y287" s="203">
        <f t="shared" si="1"/>
        <v>2.4050024050024051E-4</v>
      </c>
      <c r="Z287" s="134">
        <f t="shared" ref="Z287:Z291" si="3">+Z299+Z311+Z323</f>
        <v>222</v>
      </c>
      <c r="AA287" s="201">
        <f t="shared" si="0"/>
        <v>3.1589102613357919E-4</v>
      </c>
      <c r="AB287" s="166"/>
      <c r="AC287" s="178"/>
      <c r="AD287" s="22"/>
    </row>
    <row r="288" spans="1:30" s="23" customFormat="1" x14ac:dyDescent="0.3">
      <c r="A288" s="48"/>
      <c r="B288" s="100" t="s">
        <v>100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202">
        <f t="shared" si="2"/>
        <v>0</v>
      </c>
      <c r="Y288" s="203">
        <f t="shared" si="1"/>
        <v>0</v>
      </c>
      <c r="Z288" s="134">
        <f t="shared" si="3"/>
        <v>0</v>
      </c>
      <c r="AA288" s="201">
        <f t="shared" si="0"/>
        <v>0</v>
      </c>
      <c r="AB288" s="166"/>
      <c r="AC288" s="178"/>
      <c r="AD288" s="22"/>
    </row>
    <row r="289" spans="1:31" s="23" customFormat="1" x14ac:dyDescent="0.3">
      <c r="A289" s="48"/>
      <c r="B289" s="100" t="s">
        <v>101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2"/>
        <v>0</v>
      </c>
      <c r="Y289" s="203">
        <f t="shared" si="1"/>
        <v>0</v>
      </c>
      <c r="Z289" s="134">
        <f t="shared" si="3"/>
        <v>0</v>
      </c>
      <c r="AA289" s="201">
        <f t="shared" si="0"/>
        <v>0</v>
      </c>
      <c r="AB289" s="166"/>
      <c r="AC289" s="178"/>
      <c r="AD289" s="22"/>
    </row>
    <row r="290" spans="1:31" s="23" customFormat="1" x14ac:dyDescent="0.3">
      <c r="A290" s="48"/>
      <c r="B290" s="100" t="s">
        <v>102</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+X302+X314+X326</f>
        <v>0</v>
      </c>
      <c r="Y290" s="203">
        <f t="shared" si="1"/>
        <v>0</v>
      </c>
      <c r="Z290" s="134">
        <f t="shared" si="3"/>
        <v>0</v>
      </c>
      <c r="AA290" s="201">
        <f t="shared" si="0"/>
        <v>0</v>
      </c>
      <c r="AB290" s="166"/>
      <c r="AC290" s="178"/>
      <c r="AD290" s="22"/>
    </row>
    <row r="291" spans="1:31" s="23" customFormat="1" x14ac:dyDescent="0.3">
      <c r="A291" s="48"/>
      <c r="B291" s="100" t="s">
        <v>103</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4">
        <f t="shared" si="2"/>
        <v>0</v>
      </c>
      <c r="Y291" s="205">
        <f t="shared" si="1"/>
        <v>0</v>
      </c>
      <c r="Z291" s="206">
        <f t="shared" si="3"/>
        <v>0</v>
      </c>
      <c r="AA291" s="201">
        <f t="shared" si="0"/>
        <v>0</v>
      </c>
      <c r="AB291" s="166"/>
      <c r="AC291" s="178"/>
      <c r="AD291" s="22"/>
    </row>
    <row r="292" spans="1:31" s="23" customFormat="1" x14ac:dyDescent="0.3">
      <c r="A292" s="48"/>
      <c r="B292" s="100" t="s">
        <v>104</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09">
        <f>+X304+X316+X328</f>
        <v>0</v>
      </c>
      <c r="Y292" s="201">
        <f t="shared" si="1"/>
        <v>0</v>
      </c>
      <c r="Z292" s="110">
        <f>+Z304+Z316+Z328</f>
        <v>0</v>
      </c>
      <c r="AA292" s="201">
        <f t="shared" si="0"/>
        <v>0</v>
      </c>
      <c r="AB292" s="166"/>
      <c r="AC292" s="178"/>
      <c r="AD292" s="22"/>
    </row>
    <row r="293" spans="1:31" s="23" customFormat="1" x14ac:dyDescent="0.3">
      <c r="A293" s="48"/>
      <c r="B293" s="100"/>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00"/>
      <c r="Y293" s="201"/>
      <c r="Z293" s="101"/>
      <c r="AA293" s="201"/>
      <c r="AB293" s="166"/>
      <c r="AC293" s="178"/>
      <c r="AD293" s="22"/>
    </row>
    <row r="294" spans="1:31" s="23" customFormat="1" x14ac:dyDescent="0.3">
      <c r="A294" s="48"/>
      <c r="B294" s="41" t="s">
        <v>80</v>
      </c>
      <c r="C294" s="41"/>
      <c r="D294" s="207"/>
      <c r="E294" s="207"/>
      <c r="F294" s="207"/>
      <c r="G294" s="207"/>
      <c r="H294" s="207"/>
      <c r="I294" s="207"/>
      <c r="J294" s="207"/>
      <c r="K294" s="207"/>
      <c r="L294" s="207"/>
      <c r="M294" s="207"/>
      <c r="N294" s="207"/>
      <c r="O294" s="207"/>
      <c r="P294" s="207"/>
      <c r="Q294" s="207"/>
      <c r="R294" s="207"/>
      <c r="S294" s="207"/>
      <c r="T294" s="207"/>
      <c r="U294" s="207"/>
      <c r="V294" s="207"/>
      <c r="W294" s="207"/>
      <c r="X294" s="100">
        <f>SUM(X285:X293)</f>
        <v>4158</v>
      </c>
      <c r="Y294" s="201">
        <f>SUM(Y285:Y293)</f>
        <v>1</v>
      </c>
      <c r="Z294" s="101">
        <f>SUM(Z285:Z293)</f>
        <v>702774</v>
      </c>
      <c r="AA294" s="201">
        <f>SUM(AA285:AA293)</f>
        <v>1</v>
      </c>
      <c r="AB294" s="41"/>
      <c r="AC294" s="44"/>
      <c r="AD294" s="22"/>
    </row>
    <row r="295" spans="1:31" x14ac:dyDescent="0.3">
      <c r="A295" s="7"/>
      <c r="B295" s="154"/>
      <c r="C295" s="189"/>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91"/>
      <c r="AA295" s="102"/>
      <c r="AB295" s="102"/>
      <c r="AC295" s="10"/>
      <c r="AD295" s="5"/>
    </row>
    <row r="296" spans="1:31" x14ac:dyDescent="0.3">
      <c r="A296" s="33"/>
      <c r="B296" s="105" t="s">
        <v>105</v>
      </c>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57" t="s">
        <v>69</v>
      </c>
      <c r="Y296" s="106" t="s">
        <v>70</v>
      </c>
      <c r="Z296" s="157" t="s">
        <v>75</v>
      </c>
      <c r="AA296" s="106" t="s">
        <v>70</v>
      </c>
      <c r="AB296" s="34"/>
      <c r="AC296" s="193"/>
      <c r="AD296" s="5"/>
    </row>
    <row r="297" spans="1:31" s="23" customFormat="1" x14ac:dyDescent="0.3">
      <c r="A297" s="18"/>
      <c r="B297" s="109" t="s">
        <v>59</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109">
        <v>4156</v>
      </c>
      <c r="Y297" s="195">
        <f>X297/$X$306</f>
        <v>0.99951899951899947</v>
      </c>
      <c r="Z297" s="110">
        <v>702479</v>
      </c>
      <c r="AA297" s="195">
        <f>Z297/$Z$306</f>
        <v>0.99958023489770542</v>
      </c>
      <c r="AB297" s="161"/>
      <c r="AC297" s="196"/>
      <c r="AD297" s="22"/>
    </row>
    <row r="298" spans="1:31" s="23" customFormat="1" x14ac:dyDescent="0.3">
      <c r="A298" s="48"/>
      <c r="B298" s="100" t="s">
        <v>60</v>
      </c>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00">
        <v>1</v>
      </c>
      <c r="Y298" s="201">
        <f t="shared" ref="Y298:Y304" si="4">X298/$X$306</f>
        <v>2.4050024050024051E-4</v>
      </c>
      <c r="Z298" s="101">
        <v>73</v>
      </c>
      <c r="AA298" s="201">
        <f t="shared" ref="AA298:AA304" si="5">Z298/$Z$306</f>
        <v>1.0387407616104182E-4</v>
      </c>
      <c r="AB298" s="166"/>
      <c r="AC298" s="178"/>
      <c r="AD298" s="22"/>
      <c r="AE298" s="118"/>
    </row>
    <row r="299" spans="1:31" s="23" customFormat="1" x14ac:dyDescent="0.3">
      <c r="A299" s="48"/>
      <c r="B299" s="100" t="s">
        <v>61</v>
      </c>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00">
        <v>1</v>
      </c>
      <c r="Y299" s="201">
        <f t="shared" si="4"/>
        <v>2.4050024050024051E-4</v>
      </c>
      <c r="Z299" s="101">
        <v>222</v>
      </c>
      <c r="AA299" s="201">
        <f t="shared" si="5"/>
        <v>3.1589102613357919E-4</v>
      </c>
      <c r="AB299" s="166"/>
      <c r="AC299" s="178"/>
      <c r="AD299" s="22"/>
    </row>
    <row r="300" spans="1:31" s="23" customFormat="1" x14ac:dyDescent="0.3">
      <c r="A300" s="48"/>
      <c r="B300" s="100" t="s">
        <v>100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0</v>
      </c>
      <c r="Y300" s="201">
        <f t="shared" si="4"/>
        <v>0</v>
      </c>
      <c r="Z300" s="101">
        <v>0</v>
      </c>
      <c r="AA300" s="201">
        <f t="shared" si="5"/>
        <v>0</v>
      </c>
      <c r="AB300" s="166"/>
      <c r="AC300" s="178"/>
      <c r="AD300" s="22"/>
      <c r="AE300" s="118"/>
    </row>
    <row r="301" spans="1:31" s="23" customFormat="1" x14ac:dyDescent="0.3">
      <c r="A301" s="48"/>
      <c r="B301" s="100" t="s">
        <v>101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0</v>
      </c>
      <c r="Y301" s="201">
        <f t="shared" si="4"/>
        <v>0</v>
      </c>
      <c r="Z301" s="101">
        <v>0</v>
      </c>
      <c r="AA301" s="201">
        <f t="shared" si="5"/>
        <v>0</v>
      </c>
      <c r="AB301" s="166"/>
      <c r="AC301" s="178"/>
      <c r="AD301" s="22"/>
    </row>
    <row r="302" spans="1:31" s="23" customFormat="1" x14ac:dyDescent="0.3">
      <c r="A302" s="48"/>
      <c r="B302" s="100" t="s">
        <v>102</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 t="shared" si="4"/>
        <v>0</v>
      </c>
      <c r="Z302" s="101">
        <v>0</v>
      </c>
      <c r="AA302" s="201">
        <f t="shared" si="5"/>
        <v>0</v>
      </c>
      <c r="AB302" s="166"/>
      <c r="AC302" s="178"/>
      <c r="AD302" s="22"/>
      <c r="AE302" s="118"/>
    </row>
    <row r="303" spans="1:31" s="23" customFormat="1" x14ac:dyDescent="0.3">
      <c r="A303" s="48"/>
      <c r="B303" s="100" t="s">
        <v>103</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X303/$X$306</f>
        <v>0</v>
      </c>
      <c r="Z303" s="101">
        <v>0</v>
      </c>
      <c r="AA303" s="201">
        <f t="shared" si="5"/>
        <v>0</v>
      </c>
      <c r="AB303" s="166"/>
      <c r="AC303" s="178"/>
      <c r="AD303" s="22"/>
    </row>
    <row r="304" spans="1:31" s="23" customFormat="1" x14ac:dyDescent="0.3">
      <c r="A304" s="48"/>
      <c r="B304" s="100" t="s">
        <v>104</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4"/>
        <v>0</v>
      </c>
      <c r="Z304" s="101">
        <v>0</v>
      </c>
      <c r="AA304" s="201">
        <f t="shared" si="5"/>
        <v>0</v>
      </c>
      <c r="AB304" s="166"/>
      <c r="AC304" s="178"/>
      <c r="AD304" s="22"/>
      <c r="AE304" s="118"/>
    </row>
    <row r="305" spans="1:30" s="23" customFormat="1" x14ac:dyDescent="0.3">
      <c r="A305" s="48"/>
      <c r="B305" s="100"/>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c r="Y305" s="201"/>
      <c r="Z305" s="101"/>
      <c r="AA305" s="201"/>
      <c r="AB305" s="166"/>
      <c r="AC305" s="178"/>
      <c r="AD305" s="22"/>
    </row>
    <row r="306" spans="1:30" s="23" customFormat="1" x14ac:dyDescent="0.3">
      <c r="A306" s="48"/>
      <c r="B306" s="41" t="s">
        <v>80</v>
      </c>
      <c r="C306" s="41"/>
      <c r="D306" s="207"/>
      <c r="E306" s="207"/>
      <c r="F306" s="207"/>
      <c r="G306" s="207"/>
      <c r="H306" s="207"/>
      <c r="I306" s="207"/>
      <c r="J306" s="207"/>
      <c r="K306" s="207"/>
      <c r="L306" s="207"/>
      <c r="M306" s="207"/>
      <c r="N306" s="207"/>
      <c r="O306" s="207"/>
      <c r="P306" s="207"/>
      <c r="Q306" s="207"/>
      <c r="R306" s="207"/>
      <c r="S306" s="207"/>
      <c r="T306" s="207"/>
      <c r="U306" s="207"/>
      <c r="V306" s="207"/>
      <c r="W306" s="207"/>
      <c r="X306" s="100">
        <f>SUM(X297:X305)</f>
        <v>4158</v>
      </c>
      <c r="Y306" s="201">
        <f>SUM(Y297:Y305)</f>
        <v>1</v>
      </c>
      <c r="Z306" s="101">
        <f>SUM(Z297:Z305)</f>
        <v>702774</v>
      </c>
      <c r="AA306" s="201">
        <f>SUM(AA297:AA305)</f>
        <v>1</v>
      </c>
      <c r="AB306" s="41"/>
      <c r="AC306" s="44"/>
      <c r="AD306" s="22"/>
    </row>
    <row r="307" spans="1:30" x14ac:dyDescent="0.3">
      <c r="A307" s="7"/>
      <c r="B307" s="102"/>
      <c r="C307" s="102"/>
      <c r="D307" s="208"/>
      <c r="E307" s="208"/>
      <c r="F307" s="208"/>
      <c r="G307" s="208"/>
      <c r="H307" s="208"/>
      <c r="I307" s="208"/>
      <c r="J307" s="208"/>
      <c r="K307" s="208"/>
      <c r="L307" s="208"/>
      <c r="M307" s="208"/>
      <c r="N307" s="208"/>
      <c r="O307" s="208"/>
      <c r="P307" s="208"/>
      <c r="Q307" s="208"/>
      <c r="R307" s="208"/>
      <c r="S307" s="208"/>
      <c r="T307" s="208"/>
      <c r="U307" s="208"/>
      <c r="V307" s="208"/>
      <c r="W307" s="208"/>
      <c r="X307" s="103"/>
      <c r="Y307" s="209"/>
      <c r="Z307" s="210"/>
      <c r="AA307" s="209"/>
      <c r="AB307" s="102"/>
      <c r="AC307" s="10"/>
      <c r="AD307" s="5"/>
    </row>
    <row r="308" spans="1:30" x14ac:dyDescent="0.3">
      <c r="A308" s="33"/>
      <c r="B308" s="105" t="s">
        <v>121</v>
      </c>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57" t="s">
        <v>69</v>
      </c>
      <c r="Y308" s="106" t="s">
        <v>70</v>
      </c>
      <c r="Z308" s="157" t="s">
        <v>75</v>
      </c>
      <c r="AA308" s="106" t="s">
        <v>70</v>
      </c>
      <c r="AB308" s="34"/>
      <c r="AC308" s="37"/>
      <c r="AD308" s="5"/>
    </row>
    <row r="309" spans="1:30" s="23" customFormat="1" x14ac:dyDescent="0.3">
      <c r="A309" s="18"/>
      <c r="B309" s="109" t="s">
        <v>59</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109">
        <v>0</v>
      </c>
      <c r="Y309" s="195">
        <v>0</v>
      </c>
      <c r="Z309" s="110">
        <v>0</v>
      </c>
      <c r="AA309" s="195">
        <v>0</v>
      </c>
      <c r="AB309" s="38"/>
      <c r="AC309" s="21"/>
      <c r="AD309" s="22"/>
    </row>
    <row r="310" spans="1:30" s="23" customFormat="1" x14ac:dyDescent="0.3">
      <c r="A310" s="48"/>
      <c r="B310" s="100" t="s">
        <v>60</v>
      </c>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00">
        <v>0</v>
      </c>
      <c r="Y310" s="201">
        <v>0</v>
      </c>
      <c r="Z310" s="101">
        <v>0</v>
      </c>
      <c r="AA310" s="201">
        <v>0</v>
      </c>
      <c r="AB310" s="41"/>
      <c r="AC310" s="44"/>
      <c r="AD310" s="22"/>
    </row>
    <row r="311" spans="1:30" s="23" customFormat="1" x14ac:dyDescent="0.3">
      <c r="A311" s="48"/>
      <c r="B311" s="100" t="s">
        <v>61</v>
      </c>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00">
        <v>0</v>
      </c>
      <c r="Y311" s="201">
        <v>0</v>
      </c>
      <c r="Z311" s="101">
        <v>0</v>
      </c>
      <c r="AA311" s="201">
        <v>0</v>
      </c>
      <c r="AB311" s="41"/>
      <c r="AC311" s="44"/>
      <c r="AD311" s="22"/>
    </row>
    <row r="312" spans="1:30" s="23" customFormat="1" x14ac:dyDescent="0.3">
      <c r="A312" s="48"/>
      <c r="B312" s="100" t="s">
        <v>100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0" s="23" customFormat="1" x14ac:dyDescent="0.3">
      <c r="A313" s="48"/>
      <c r="B313" s="100" t="s">
        <v>101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0" s="23" customFormat="1" x14ac:dyDescent="0.3">
      <c r="A314" s="48"/>
      <c r="B314" s="100" t="s">
        <v>102</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0" s="23" customFormat="1" x14ac:dyDescent="0.3">
      <c r="A315" s="48"/>
      <c r="B315" s="100" t="s">
        <v>103</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0" s="23" customFormat="1" x14ac:dyDescent="0.3">
      <c r="A316" s="48"/>
      <c r="B316" s="100" t="s">
        <v>104</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0" s="23" customFormat="1" x14ac:dyDescent="0.3">
      <c r="A317" s="48"/>
      <c r="B317" s="100"/>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c r="Y317" s="201"/>
      <c r="Z317" s="101"/>
      <c r="AA317" s="201"/>
      <c r="AB317" s="41"/>
      <c r="AC317" s="44"/>
      <c r="AD317" s="22"/>
    </row>
    <row r="318" spans="1:30" s="23" customFormat="1" x14ac:dyDescent="0.3">
      <c r="A318" s="48"/>
      <c r="B318" s="41" t="s">
        <v>80</v>
      </c>
      <c r="C318" s="41"/>
      <c r="D318" s="207"/>
      <c r="E318" s="207"/>
      <c r="F318" s="207"/>
      <c r="G318" s="207"/>
      <c r="H318" s="207"/>
      <c r="I318" s="207"/>
      <c r="J318" s="207"/>
      <c r="K318" s="207"/>
      <c r="L318" s="207"/>
      <c r="M318" s="207"/>
      <c r="N318" s="207"/>
      <c r="O318" s="207"/>
      <c r="P318" s="207"/>
      <c r="Q318" s="207"/>
      <c r="R318" s="207"/>
      <c r="S318" s="207"/>
      <c r="T318" s="207"/>
      <c r="U318" s="207"/>
      <c r="V318" s="207"/>
      <c r="W318" s="207"/>
      <c r="X318" s="100">
        <f>SUM(X309:X317)</f>
        <v>0</v>
      </c>
      <c r="Y318" s="201">
        <f>SUM(Y309:Y317)</f>
        <v>0</v>
      </c>
      <c r="Z318" s="101">
        <f>SUM(Z309:Z317)</f>
        <v>0</v>
      </c>
      <c r="AA318" s="201">
        <f>SUM(AA309:AA317)</f>
        <v>0</v>
      </c>
      <c r="AB318" s="41"/>
      <c r="AC318" s="44"/>
      <c r="AD318" s="22"/>
    </row>
    <row r="319" spans="1:30" x14ac:dyDescent="0.3">
      <c r="A319" s="7"/>
      <c r="B319" s="102"/>
      <c r="C319" s="102"/>
      <c r="D319" s="208"/>
      <c r="E319" s="208"/>
      <c r="F319" s="208"/>
      <c r="G319" s="208"/>
      <c r="H319" s="208"/>
      <c r="I319" s="208"/>
      <c r="J319" s="208"/>
      <c r="K319" s="208"/>
      <c r="L319" s="208"/>
      <c r="M319" s="208"/>
      <c r="N319" s="208"/>
      <c r="O319" s="208"/>
      <c r="P319" s="208"/>
      <c r="Q319" s="208"/>
      <c r="R319" s="208"/>
      <c r="S319" s="208"/>
      <c r="T319" s="208"/>
      <c r="U319" s="208"/>
      <c r="V319" s="208"/>
      <c r="W319" s="208"/>
      <c r="X319" s="103"/>
      <c r="Y319" s="209"/>
      <c r="Z319" s="210"/>
      <c r="AA319" s="209"/>
      <c r="AB319" s="102"/>
      <c r="AC319" s="10"/>
      <c r="AD319" s="5"/>
    </row>
    <row r="320" spans="1:30" x14ac:dyDescent="0.3">
      <c r="A320" s="33"/>
      <c r="B320" s="105" t="s">
        <v>106</v>
      </c>
      <c r="C320" s="34"/>
      <c r="D320" s="211"/>
      <c r="E320" s="211"/>
      <c r="F320" s="211"/>
      <c r="G320" s="211"/>
      <c r="H320" s="211"/>
      <c r="I320" s="211"/>
      <c r="J320" s="211"/>
      <c r="K320" s="211"/>
      <c r="L320" s="211"/>
      <c r="M320" s="211"/>
      <c r="N320" s="211"/>
      <c r="O320" s="211"/>
      <c r="P320" s="211"/>
      <c r="Q320" s="211"/>
      <c r="R320" s="211"/>
      <c r="S320" s="211"/>
      <c r="T320" s="211"/>
      <c r="U320" s="211"/>
      <c r="V320" s="211"/>
      <c r="W320" s="211"/>
      <c r="X320" s="157" t="s">
        <v>69</v>
      </c>
      <c r="Y320" s="106" t="s">
        <v>70</v>
      </c>
      <c r="Z320" s="157" t="s">
        <v>75</v>
      </c>
      <c r="AA320" s="106" t="s">
        <v>70</v>
      </c>
      <c r="AB320" s="34"/>
      <c r="AC320" s="37"/>
      <c r="AD320" s="5"/>
    </row>
    <row r="321" spans="1:30" s="23" customFormat="1" x14ac:dyDescent="0.3">
      <c r="A321" s="18"/>
      <c r="B321" s="109" t="s">
        <v>59</v>
      </c>
      <c r="C321" s="38"/>
      <c r="D321" s="212"/>
      <c r="E321" s="212"/>
      <c r="F321" s="212"/>
      <c r="G321" s="212"/>
      <c r="H321" s="212"/>
      <c r="I321" s="212"/>
      <c r="J321" s="212"/>
      <c r="K321" s="212"/>
      <c r="L321" s="212"/>
      <c r="M321" s="212"/>
      <c r="N321" s="212"/>
      <c r="O321" s="212"/>
      <c r="P321" s="212"/>
      <c r="Q321" s="212"/>
      <c r="R321" s="212"/>
      <c r="S321" s="212"/>
      <c r="T321" s="212"/>
      <c r="U321" s="212"/>
      <c r="V321" s="212"/>
      <c r="W321" s="212"/>
      <c r="X321" s="109">
        <v>0</v>
      </c>
      <c r="Y321" s="195">
        <v>0</v>
      </c>
      <c r="Z321" s="110">
        <v>0</v>
      </c>
      <c r="AA321" s="195">
        <v>0</v>
      </c>
      <c r="AB321" s="38"/>
      <c r="AC321" s="21"/>
      <c r="AD321" s="22"/>
    </row>
    <row r="322" spans="1:30" s="23" customFormat="1" x14ac:dyDescent="0.3">
      <c r="A322" s="48"/>
      <c r="B322" s="100" t="s">
        <v>60</v>
      </c>
      <c r="C322" s="41"/>
      <c r="D322" s="207"/>
      <c r="E322" s="207"/>
      <c r="F322" s="207"/>
      <c r="G322" s="207"/>
      <c r="H322" s="207"/>
      <c r="I322" s="207"/>
      <c r="J322" s="207"/>
      <c r="K322" s="207"/>
      <c r="L322" s="207"/>
      <c r="M322" s="207"/>
      <c r="N322" s="207"/>
      <c r="O322" s="207"/>
      <c r="P322" s="207"/>
      <c r="Q322" s="207"/>
      <c r="R322" s="207"/>
      <c r="S322" s="207"/>
      <c r="T322" s="207"/>
      <c r="U322" s="207"/>
      <c r="V322" s="207"/>
      <c r="W322" s="207"/>
      <c r="X322" s="100">
        <v>0</v>
      </c>
      <c r="Y322" s="201">
        <v>0</v>
      </c>
      <c r="Z322" s="101">
        <v>0</v>
      </c>
      <c r="AA322" s="201">
        <v>0</v>
      </c>
      <c r="AB322" s="41"/>
      <c r="AC322" s="44"/>
      <c r="AD322" s="22"/>
    </row>
    <row r="323" spans="1:30" s="23" customFormat="1" x14ac:dyDescent="0.3">
      <c r="A323" s="48"/>
      <c r="B323" s="100" t="s">
        <v>61</v>
      </c>
      <c r="C323" s="41"/>
      <c r="D323" s="207"/>
      <c r="E323" s="207"/>
      <c r="F323" s="207"/>
      <c r="G323" s="207"/>
      <c r="H323" s="207"/>
      <c r="I323" s="207"/>
      <c r="J323" s="207"/>
      <c r="K323" s="207"/>
      <c r="L323" s="207"/>
      <c r="M323" s="207"/>
      <c r="N323" s="207"/>
      <c r="O323" s="207"/>
      <c r="P323" s="207"/>
      <c r="Q323" s="207"/>
      <c r="R323" s="207"/>
      <c r="S323" s="207"/>
      <c r="T323" s="207"/>
      <c r="U323" s="207"/>
      <c r="V323" s="207"/>
      <c r="W323" s="207"/>
      <c r="X323" s="100">
        <v>0</v>
      </c>
      <c r="Y323" s="201">
        <v>0</v>
      </c>
      <c r="Z323" s="101">
        <v>0</v>
      </c>
      <c r="AA323" s="201">
        <v>0</v>
      </c>
      <c r="AB323" s="41"/>
      <c r="AC323" s="44"/>
      <c r="AD323" s="22"/>
    </row>
    <row r="324" spans="1:30" s="23" customFormat="1" x14ac:dyDescent="0.3">
      <c r="A324" s="48"/>
      <c r="B324" s="100" t="s">
        <v>100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101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102</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103</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104</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c r="Y329" s="201"/>
      <c r="Z329" s="101"/>
      <c r="AA329" s="201"/>
      <c r="AB329" s="41"/>
      <c r="AC329" s="44"/>
      <c r="AD329" s="22"/>
    </row>
    <row r="330" spans="1:30" s="23" customFormat="1" x14ac:dyDescent="0.3">
      <c r="A330" s="48"/>
      <c r="B330" s="41" t="s">
        <v>80</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f>SUM(X321:X328)</f>
        <v>0</v>
      </c>
      <c r="Y330" s="201">
        <f>SUM(Y321:Y328)</f>
        <v>0</v>
      </c>
      <c r="Z330" s="101">
        <f>SUM(Z321:Z328)</f>
        <v>0</v>
      </c>
      <c r="AA330" s="201">
        <f>SUM(AA321:AA328)</f>
        <v>0</v>
      </c>
      <c r="AB330" s="41"/>
      <c r="AC330" s="44"/>
      <c r="AD330" s="22"/>
    </row>
    <row r="331" spans="1:30" s="23" customFormat="1" x14ac:dyDescent="0.3">
      <c r="A331" s="48"/>
      <c r="B331" s="41"/>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5" t="s">
        <v>139</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213">
        <f>X330+X318+X306</f>
        <v>4158</v>
      </c>
      <c r="Y332" s="201"/>
      <c r="Z332" s="214">
        <f>+Z330+Z318+Z306</f>
        <v>702774</v>
      </c>
      <c r="AA332" s="201"/>
      <c r="AB332" s="41"/>
      <c r="AC332" s="44"/>
      <c r="AD332" s="22"/>
    </row>
    <row r="333" spans="1:30" s="23" customFormat="1" x14ac:dyDescent="0.3">
      <c r="A333" s="48"/>
      <c r="B333" s="45" t="s">
        <v>259</v>
      </c>
      <c r="C333" s="45"/>
      <c r="D333" s="215"/>
      <c r="E333" s="215"/>
      <c r="F333" s="215"/>
      <c r="G333" s="215"/>
      <c r="H333" s="215"/>
      <c r="I333" s="215"/>
      <c r="J333" s="215"/>
      <c r="K333" s="215"/>
      <c r="L333" s="215"/>
      <c r="M333" s="215"/>
      <c r="N333" s="215"/>
      <c r="O333" s="215"/>
      <c r="P333" s="215"/>
      <c r="Q333" s="215"/>
      <c r="R333" s="215"/>
      <c r="S333" s="215"/>
      <c r="T333" s="215"/>
      <c r="U333" s="215"/>
      <c r="V333" s="215"/>
      <c r="W333" s="215"/>
      <c r="X333" s="213"/>
      <c r="Y333" s="216"/>
      <c r="Z333" s="214">
        <f>+AB63+AB64</f>
        <v>3074</v>
      </c>
      <c r="AA333" s="201"/>
      <c r="AB333" s="41"/>
      <c r="AC333" s="44"/>
      <c r="AD333" s="22"/>
    </row>
    <row r="334" spans="1:30" s="23" customFormat="1" x14ac:dyDescent="0.3">
      <c r="A334" s="48"/>
      <c r="B334" s="45" t="s">
        <v>107</v>
      </c>
      <c r="C334" s="45"/>
      <c r="D334" s="215"/>
      <c r="E334" s="215"/>
      <c r="F334" s="215"/>
      <c r="G334" s="215"/>
      <c r="H334" s="215"/>
      <c r="I334" s="215"/>
      <c r="J334" s="215"/>
      <c r="K334" s="215"/>
      <c r="L334" s="215"/>
      <c r="M334" s="215"/>
      <c r="N334" s="215"/>
      <c r="O334" s="215"/>
      <c r="P334" s="215"/>
      <c r="Q334" s="215"/>
      <c r="R334" s="215"/>
      <c r="S334" s="215"/>
      <c r="T334" s="215"/>
      <c r="U334" s="215"/>
      <c r="V334" s="215"/>
      <c r="W334" s="215"/>
      <c r="X334" s="213"/>
      <c r="Y334" s="216"/>
      <c r="Z334" s="214">
        <f>+Z332+Z333</f>
        <v>705848</v>
      </c>
      <c r="AA334" s="201"/>
      <c r="AB334" s="41"/>
      <c r="AC334" s="44"/>
      <c r="AD334" s="22"/>
    </row>
    <row r="335" spans="1:30" s="23" customFormat="1" x14ac:dyDescent="0.3">
      <c r="A335" s="48"/>
      <c r="B335" s="45" t="s">
        <v>275</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213"/>
      <c r="Y335" s="201"/>
      <c r="Z335" s="214">
        <f>+AB66</f>
        <v>705848</v>
      </c>
      <c r="AA335" s="201"/>
      <c r="AB335" s="41"/>
      <c r="AC335" s="44"/>
      <c r="AD335" s="22"/>
    </row>
    <row r="336" spans="1:30" s="23" customFormat="1" x14ac:dyDescent="0.3">
      <c r="A336" s="48"/>
      <c r="B336" s="45"/>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213"/>
      <c r="Y336" s="201"/>
      <c r="Z336" s="214"/>
      <c r="AA336" s="201"/>
      <c r="AB336" s="41"/>
      <c r="AC336" s="44"/>
      <c r="AD336" s="22"/>
    </row>
    <row r="337" spans="1:30" s="23" customFormat="1" x14ac:dyDescent="0.3">
      <c r="A337" s="48"/>
      <c r="B337" s="45" t="s">
        <v>234</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39">
        <f>(D30*0.375+F30*0.05+H30*0.05+J30+L30)/AB30</f>
        <v>0.38325956863234012</v>
      </c>
      <c r="AA337" s="201"/>
      <c r="AB337" s="41"/>
      <c r="AC337" s="44"/>
      <c r="AD337" s="22"/>
    </row>
    <row r="338" spans="1:30" s="23" customFormat="1" x14ac:dyDescent="0.3">
      <c r="A338" s="18"/>
      <c r="B338" s="20"/>
      <c r="C338" s="20"/>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8"/>
      <c r="AA338" s="217"/>
      <c r="AB338" s="20"/>
      <c r="AC338" s="21"/>
      <c r="AD338" s="22"/>
    </row>
    <row r="339" spans="1:30" s="23" customFormat="1" x14ac:dyDescent="0.3">
      <c r="A339" s="18"/>
      <c r="B339" s="19" t="s">
        <v>62</v>
      </c>
      <c r="C339" s="20"/>
      <c r="D339" s="219" t="s">
        <v>66</v>
      </c>
      <c r="E339" s="19"/>
      <c r="F339" s="19" t="s">
        <v>67</v>
      </c>
      <c r="G339" s="20"/>
      <c r="H339" s="19"/>
      <c r="I339" s="20"/>
      <c r="J339" s="20"/>
      <c r="K339" s="20"/>
      <c r="L339" s="20"/>
      <c r="M339" s="20"/>
      <c r="N339" s="20"/>
      <c r="O339" s="20"/>
      <c r="P339" s="20"/>
      <c r="Q339" s="20"/>
      <c r="R339" s="20"/>
      <c r="S339" s="20"/>
      <c r="T339" s="20"/>
      <c r="U339" s="20"/>
      <c r="V339" s="20"/>
      <c r="W339" s="20"/>
      <c r="X339" s="20"/>
      <c r="Y339" s="20"/>
      <c r="Z339" s="20"/>
      <c r="AA339" s="20"/>
      <c r="AB339" s="20"/>
      <c r="AC339" s="21"/>
      <c r="AD339" s="22"/>
    </row>
    <row r="340" spans="1:30" s="23" customFormat="1" x14ac:dyDescent="0.3">
      <c r="A340" s="18"/>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1"/>
      <c r="AD340" s="22"/>
    </row>
    <row r="341" spans="1:30" s="23" customFormat="1" x14ac:dyDescent="0.3">
      <c r="A341" s="18"/>
      <c r="B341" s="19" t="s">
        <v>152</v>
      </c>
      <c r="C341" s="19"/>
      <c r="D341" s="220" t="s">
        <v>122</v>
      </c>
      <c r="E341" s="19"/>
      <c r="F341" s="19" t="s">
        <v>170</v>
      </c>
      <c r="G341" s="19"/>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19" t="s">
        <v>153</v>
      </c>
      <c r="C342" s="19"/>
      <c r="D342" s="220" t="s">
        <v>98</v>
      </c>
      <c r="E342" s="19"/>
      <c r="F342" s="19" t="s">
        <v>171</v>
      </c>
      <c r="G342" s="19"/>
      <c r="H342" s="19"/>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x14ac:dyDescent="0.3">
      <c r="A343" s="221"/>
      <c r="B343" s="222"/>
      <c r="C343" s="222"/>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4"/>
      <c r="AD343" s="5"/>
    </row>
    <row r="344" spans="1:30" x14ac:dyDescent="0.3">
      <c r="A344" s="221"/>
      <c r="B344" s="222"/>
      <c r="C344" s="222"/>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4"/>
      <c r="AD344" s="5"/>
    </row>
    <row r="345" spans="1:30" ht="18.600000000000001" thickBot="1" x14ac:dyDescent="0.4">
      <c r="A345" s="221"/>
      <c r="B345" s="225" t="str">
        <f>B242</f>
        <v>PM25 INVESTOR REPORT QUARTER ENDING JULY 2018</v>
      </c>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6"/>
      <c r="AD345" s="5"/>
    </row>
    <row r="346" spans="1:30"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27"/>
      <c r="AC346" s="227"/>
    </row>
  </sheetData>
  <hyperlinks>
    <hyperlink ref="X282" r:id="rId1" display="http://www.paragon-group.co.uk" xr:uid="{00000000-0004-0000-0000-000000000000}"/>
    <hyperlink ref="K9" r:id="rId2" display="http://www.paragon-group.co.uk" xr:uid="{00000000-0004-0000-0000-000001000000}"/>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4" max="18" man="1"/>
    <brk id="242" max="18" man="1"/>
  </rowBreaks>
  <colBreaks count="1" manualBreakCount="1">
    <brk id="29" max="299"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0AFB-002D-49EE-8A16-FF5E4026790A}">
  <sheetPr>
    <tabColor rgb="FF2D2926"/>
  </sheetPr>
  <dimension ref="A1:JB393"/>
  <sheetViews>
    <sheetView showGridLines="0" showOutlineSymbols="0" zoomScale="60" zoomScaleNormal="60" workbookViewId="0">
      <selection activeCell="AB63" sqref="AB63"/>
    </sheetView>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44158</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510534</v>
      </c>
      <c r="E29" s="55"/>
      <c r="F29" s="55">
        <f t="shared" ref="F29:L29" si="0">F28*F32</f>
        <v>33500</v>
      </c>
      <c r="G29" s="55"/>
      <c r="H29" s="55">
        <f t="shared" si="0"/>
        <v>30000</v>
      </c>
      <c r="I29" s="55"/>
      <c r="J29" s="55">
        <f t="shared" si="0"/>
        <v>24700</v>
      </c>
      <c r="K29" s="55"/>
      <c r="L29" s="55">
        <f t="shared" si="0"/>
        <v>17648</v>
      </c>
      <c r="M29" s="55"/>
      <c r="N29" s="55">
        <f>N28*N32</f>
        <v>9237.6903299999994</v>
      </c>
      <c r="O29" s="55"/>
      <c r="P29" s="55">
        <v>0</v>
      </c>
      <c r="Q29" s="55"/>
      <c r="R29" s="55" t="s">
        <v>83</v>
      </c>
      <c r="S29" s="55"/>
      <c r="T29" s="55" t="s">
        <v>83</v>
      </c>
      <c r="U29" s="55"/>
      <c r="V29" s="55" t="s">
        <v>83</v>
      </c>
      <c r="W29" s="51"/>
      <c r="X29" s="55" t="s">
        <v>83</v>
      </c>
      <c r="Y29" s="51"/>
      <c r="Z29" s="51"/>
      <c r="AA29" s="50"/>
      <c r="AB29" s="51">
        <f>SUM(D29:L29)</f>
        <v>616382</v>
      </c>
      <c r="AC29" s="52"/>
      <c r="AD29" s="22"/>
    </row>
    <row r="30" spans="1:33" s="23" customFormat="1" x14ac:dyDescent="0.3">
      <c r="A30" s="48"/>
      <c r="B30" s="45" t="s">
        <v>92</v>
      </c>
      <c r="C30" s="50"/>
      <c r="D30" s="58">
        <f>D28*D31</f>
        <v>493854</v>
      </c>
      <c r="E30" s="58"/>
      <c r="F30" s="58">
        <f>F28</f>
        <v>33500</v>
      </c>
      <c r="G30" s="58"/>
      <c r="H30" s="58">
        <f>H28</f>
        <v>30000</v>
      </c>
      <c r="I30" s="58"/>
      <c r="J30" s="58">
        <f>J28</f>
        <v>24700</v>
      </c>
      <c r="K30" s="58"/>
      <c r="L30" s="58">
        <f>L28</f>
        <v>17648</v>
      </c>
      <c r="M30" s="58"/>
      <c r="N30" s="58">
        <f>N28*N31</f>
        <v>8981.3275199999989</v>
      </c>
      <c r="O30" s="58"/>
      <c r="P30" s="58">
        <v>0</v>
      </c>
      <c r="Q30" s="58"/>
      <c r="R30" s="58" t="s">
        <v>83</v>
      </c>
      <c r="S30" s="58"/>
      <c r="T30" s="58" t="s">
        <v>83</v>
      </c>
      <c r="U30" s="58"/>
      <c r="V30" s="58" t="s">
        <v>83</v>
      </c>
      <c r="W30" s="57"/>
      <c r="X30" s="58" t="s">
        <v>83</v>
      </c>
      <c r="Y30" s="51"/>
      <c r="Z30" s="51"/>
      <c r="AA30" s="50"/>
      <c r="AB30" s="57">
        <f>SUM(D30:L30)</f>
        <v>599702</v>
      </c>
      <c r="AC30" s="52"/>
      <c r="AD30" s="22"/>
      <c r="AE30" s="238"/>
    </row>
    <row r="31" spans="1:33" s="67" customFormat="1" x14ac:dyDescent="0.3">
      <c r="A31" s="59"/>
      <c r="B31" s="169" t="s">
        <v>88</v>
      </c>
      <c r="C31" s="63"/>
      <c r="D31" s="61">
        <v>0.82308999999999999</v>
      </c>
      <c r="E31" s="61"/>
      <c r="F31" s="61">
        <v>1</v>
      </c>
      <c r="G31" s="61"/>
      <c r="H31" s="61">
        <v>1</v>
      </c>
      <c r="I31" s="61"/>
      <c r="J31" s="61">
        <v>1</v>
      </c>
      <c r="K31" s="61"/>
      <c r="L31" s="61">
        <v>1</v>
      </c>
      <c r="M31" s="61"/>
      <c r="N31" s="61">
        <v>0.82223999999999997</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0.85089000000000004</v>
      </c>
      <c r="E32" s="61"/>
      <c r="F32" s="61">
        <v>1</v>
      </c>
      <c r="G32" s="61"/>
      <c r="H32" s="61">
        <v>1</v>
      </c>
      <c r="I32" s="61"/>
      <c r="J32" s="61">
        <v>1</v>
      </c>
      <c r="K32" s="61"/>
      <c r="L32" s="61">
        <v>1</v>
      </c>
      <c r="M32" s="61"/>
      <c r="N32" s="61">
        <v>0.84570999999999996</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7.2338000000000003E-3</v>
      </c>
      <c r="E34" s="71"/>
      <c r="F34" s="71">
        <v>1.0233799999999999E-2</v>
      </c>
      <c r="G34" s="71"/>
      <c r="H34" s="71">
        <v>1.3733799999999999E-2</v>
      </c>
      <c r="I34" s="71"/>
      <c r="J34" s="71">
        <v>1.67338E-2</v>
      </c>
      <c r="K34" s="71"/>
      <c r="L34" s="71">
        <v>2.6733799999999999E-2</v>
      </c>
      <c r="M34" s="71"/>
      <c r="N34" s="71">
        <v>4.0733800000000001E-2</v>
      </c>
      <c r="O34" s="71"/>
      <c r="P34" s="71">
        <v>4.0733800000000001E-2</v>
      </c>
      <c r="Q34" s="71"/>
      <c r="R34" s="71" t="s">
        <v>83</v>
      </c>
      <c r="S34" s="71"/>
      <c r="T34" s="71" t="s">
        <v>83</v>
      </c>
      <c r="U34" s="71"/>
      <c r="V34" s="71" t="s">
        <v>83</v>
      </c>
      <c r="W34" s="70"/>
      <c r="X34" s="71" t="s">
        <v>83</v>
      </c>
      <c r="Y34" s="49"/>
      <c r="Z34" s="49"/>
      <c r="AA34" s="41"/>
      <c r="AB34" s="70">
        <f>SUMPRODUCT(D34:L34,D29:L29)/AB29</f>
        <v>8.6522158525070489E-3</v>
      </c>
      <c r="AC34" s="44"/>
      <c r="AD34" s="22"/>
    </row>
    <row r="35" spans="1:30" s="23" customFormat="1" x14ac:dyDescent="0.3">
      <c r="A35" s="48"/>
      <c r="B35" s="41" t="s">
        <v>10</v>
      </c>
      <c r="C35" s="72"/>
      <c r="D35" s="71">
        <v>9.4225000000000003E-3</v>
      </c>
      <c r="E35" s="71"/>
      <c r="F35" s="71">
        <v>1.24225E-2</v>
      </c>
      <c r="G35" s="71"/>
      <c r="H35" s="71">
        <v>1.5922499999999999E-2</v>
      </c>
      <c r="I35" s="71"/>
      <c r="J35" s="71">
        <v>1.8922499999999998E-2</v>
      </c>
      <c r="K35" s="71"/>
      <c r="L35" s="71">
        <v>2.89225E-2</v>
      </c>
      <c r="M35" s="71"/>
      <c r="N35" s="71">
        <v>4.2922500000000002E-2</v>
      </c>
      <c r="O35" s="71"/>
      <c r="P35" s="71">
        <v>4.2922500000000002E-2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0.21433055113454583</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44151</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94</v>
      </c>
      <c r="Y47" s="41"/>
      <c r="Z47" s="79">
        <v>43966</v>
      </c>
      <c r="AA47" s="80"/>
      <c r="AB47" s="79">
        <v>44059</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91</v>
      </c>
      <c r="Y48" s="41"/>
      <c r="Z48" s="79">
        <v>44060</v>
      </c>
      <c r="AA48" s="80"/>
      <c r="AB48" s="79">
        <v>44150</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44150</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356</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616077</v>
      </c>
      <c r="S57" s="241"/>
      <c r="T57" s="240">
        <f>391+123</f>
        <v>514</v>
      </c>
      <c r="U57" s="241"/>
      <c r="V57" s="241">
        <v>15867</v>
      </c>
      <c r="W57" s="241"/>
      <c r="X57" s="241">
        <v>0</v>
      </c>
      <c r="Y57" s="241"/>
      <c r="Z57" s="241">
        <v>0</v>
      </c>
      <c r="AA57" s="241"/>
      <c r="AB57" s="240">
        <f>R57-T57-V57+X57-Z57</f>
        <v>599696</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616077</v>
      </c>
      <c r="S60" s="241"/>
      <c r="T60" s="241">
        <f>T57+T58</f>
        <v>514</v>
      </c>
      <c r="U60" s="241"/>
      <c r="V60" s="241">
        <f>SUM(V57:V59)</f>
        <v>15867</v>
      </c>
      <c r="W60" s="241"/>
      <c r="X60" s="241">
        <f>SUM(X57:X59)</f>
        <v>0</v>
      </c>
      <c r="Y60" s="241"/>
      <c r="Z60" s="241">
        <f>SUM(Z57:Z59)</f>
        <v>0</v>
      </c>
      <c r="AA60" s="241"/>
      <c r="AB60" s="241">
        <f>SUM(AB57:AB59)</f>
        <v>599696</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305</v>
      </c>
      <c r="S63" s="241"/>
      <c r="T63" s="241">
        <v>0</v>
      </c>
      <c r="U63" s="241"/>
      <c r="V63" s="241">
        <f>-305+6</f>
        <v>-299</v>
      </c>
      <c r="W63" s="241"/>
      <c r="X63" s="241"/>
      <c r="Y63" s="241"/>
      <c r="Z63" s="241"/>
      <c r="AA63" s="241"/>
      <c r="AB63" s="241">
        <f>+R63+V63</f>
        <v>6</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616382</v>
      </c>
      <c r="S66" s="241"/>
      <c r="T66" s="241"/>
      <c r="U66" s="241"/>
      <c r="V66" s="241"/>
      <c r="W66" s="241"/>
      <c r="X66" s="241"/>
      <c r="Y66" s="241"/>
      <c r="Z66" s="241"/>
      <c r="AA66" s="241"/>
      <c r="AB66" s="241">
        <f>SUM(AB60:AB65)</f>
        <v>599702</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44134</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305</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+T57+V57+Z57+2</f>
        <v>16383</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1356+5534-242-908</f>
        <v>5740</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46+170</f>
        <v>216</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256</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1954</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16688</v>
      </c>
      <c r="AA85" s="41"/>
      <c r="AB85" s="100">
        <f>SUM(AB70:AB84)</f>
        <v>8166</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16688</v>
      </c>
      <c r="AA88" s="41"/>
      <c r="AB88" s="100">
        <f>AB85+AB86+AB87</f>
        <v>8166</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-311-9-7</f>
        <v>-327</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-1017</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-918</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-85</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-103</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-103</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-2</v>
      </c>
      <c r="AA101" s="115"/>
      <c r="AB101" s="101">
        <v>2</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-2250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-118</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-94</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-256</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-16-142</f>
        <v>-158</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-2714</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0</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-16680</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-16680</v>
      </c>
      <c r="AA131" s="100"/>
      <c r="AB131" s="100">
        <f>SUM(AB89:AB129)</f>
        <v>-8166</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6</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OCTOBER 2020</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+'July 20'!AB147</f>
        <v>8417.5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-256</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8161.5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+'July 20'!AB160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+'July 20'!AB166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-2</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-2</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2</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+'July 20'!AB182</f>
        <v>305</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-305</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0</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0</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+'July 20'!AB190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+'July 20'!AB198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+'July 20'!AB206</f>
        <v>1181</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1815</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1954</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1042</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+'July 20'!AB214</f>
        <v>1999</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1815</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2250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2434</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+'July 20'!Y221</f>
        <v>0</v>
      </c>
      <c r="Z219" s="101">
        <f>+'July 20'!Z221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517800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515677</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2123</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7.4291938997821347</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3.42</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69.435294117647061</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34.14</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56.475728155339809</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30.47</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55.475728155339809</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31.08</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47.550847457627121</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29.29</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OCTOBER 2020</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44134</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3.8350000000000002E-2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8.6522158525070489E-3</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2.9697784147492953E-2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1.3248277853668666E-2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16.21</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2.6576051863941515E-2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0.12280000000000001</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0</v>
      </c>
      <c r="Z268" s="165">
        <f>+Z320</f>
        <v>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-2</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'July 20'!Z274+Z273</f>
        <v>4</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1</v>
      </c>
      <c r="Z280" s="165">
        <v>498</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1</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3586</v>
      </c>
      <c r="Y287" s="195">
        <f>X287/$X$296</f>
        <v>0.99749652294853963</v>
      </c>
      <c r="Z287" s="110">
        <f t="shared" ref="Z287:Z294" si="2">+Z299+Z311+Z333</f>
        <v>598099</v>
      </c>
      <c r="AA287" s="195">
        <f t="shared" ref="AA287:AA294" si="3">Z287/$Z$296</f>
        <v>0.99733698407192983</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1</v>
      </c>
      <c r="Y288" s="199">
        <f t="shared" ref="Y288:Y294" si="4">X288/$X$296</f>
        <v>2.7816411682892909E-4</v>
      </c>
      <c r="Z288" s="200">
        <f t="shared" si="2"/>
        <v>77</v>
      </c>
      <c r="AA288" s="201">
        <f t="shared" si="3"/>
        <v>1.2839838851684855E-4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3</v>
      </c>
      <c r="Y289" s="203">
        <f t="shared" si="4"/>
        <v>8.3449235048678721E-4</v>
      </c>
      <c r="Z289" s="134">
        <f t="shared" si="2"/>
        <v>780</v>
      </c>
      <c r="AA289" s="201">
        <f t="shared" si="3"/>
        <v>1.3006590005602838E-3</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3</v>
      </c>
      <c r="Y291" s="203">
        <f t="shared" si="4"/>
        <v>8.3449235048678721E-4</v>
      </c>
      <c r="Z291" s="134">
        <f t="shared" si="2"/>
        <v>528</v>
      </c>
      <c r="AA291" s="201">
        <f t="shared" si="3"/>
        <v>8.8044609268696141E-4</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1</v>
      </c>
      <c r="Y292" s="203">
        <f t="shared" si="4"/>
        <v>2.7816411682892909E-4</v>
      </c>
      <c r="Z292" s="134">
        <f t="shared" si="2"/>
        <v>183</v>
      </c>
      <c r="AA292" s="201">
        <f t="shared" si="3"/>
        <v>3.0515461166991277E-4</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0</v>
      </c>
      <c r="Y293" s="205">
        <f t="shared" si="4"/>
        <v>0</v>
      </c>
      <c r="Z293" s="206">
        <f t="shared" si="2"/>
        <v>0</v>
      </c>
      <c r="AA293" s="201">
        <f t="shared" si="3"/>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1</v>
      </c>
      <c r="Y294" s="201">
        <f t="shared" si="4"/>
        <v>2.7816411682892909E-4</v>
      </c>
      <c r="Z294" s="110">
        <f t="shared" si="2"/>
        <v>29</v>
      </c>
      <c r="AA294" s="201">
        <f t="shared" si="3"/>
        <v>4.8357834636215682E-5</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3595</v>
      </c>
      <c r="Y296" s="201">
        <f>SUM(Y287:Y295)</f>
        <v>1</v>
      </c>
      <c r="Z296" s="101">
        <f>SUM(Z287:Z295)</f>
        <v>599696</v>
      </c>
      <c r="AA296" s="201">
        <f>SUM(AA287:AA295)</f>
        <v>1.0000000000000002</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3586</v>
      </c>
      <c r="Y299" s="195">
        <f>X299/$X$308</f>
        <v>0.99749652294853963</v>
      </c>
      <c r="Z299" s="110">
        <v>598099</v>
      </c>
      <c r="AA299" s="195">
        <f>Z299/$Z$308</f>
        <v>0.99733698407192983</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1</v>
      </c>
      <c r="Y300" s="201">
        <f t="shared" ref="Y300:Y306" si="5">X300/$X$308</f>
        <v>2.7816411682892909E-4</v>
      </c>
      <c r="Z300" s="101">
        <v>77</v>
      </c>
      <c r="AA300" s="201">
        <f t="shared" ref="AA300:AA306" si="6">Z300/$Z$308</f>
        <v>1.2839838851684855E-4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3</v>
      </c>
      <c r="Y301" s="201">
        <f t="shared" si="5"/>
        <v>8.3449235048678721E-4</v>
      </c>
      <c r="Z301" s="101">
        <v>780</v>
      </c>
      <c r="AA301" s="201">
        <f t="shared" si="6"/>
        <v>1.3006590005602838E-3</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3</v>
      </c>
      <c r="Y303" s="201">
        <f t="shared" si="5"/>
        <v>8.3449235048678721E-4</v>
      </c>
      <c r="Z303" s="101">
        <v>528</v>
      </c>
      <c r="AA303" s="201">
        <f t="shared" si="6"/>
        <v>8.8044609268696141E-4</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1</v>
      </c>
      <c r="Y304" s="201">
        <f t="shared" si="5"/>
        <v>2.7816411682892909E-4</v>
      </c>
      <c r="Z304" s="101">
        <v>183</v>
      </c>
      <c r="AA304" s="201">
        <f t="shared" si="6"/>
        <v>3.0515461166991277E-4</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1</v>
      </c>
      <c r="Y306" s="201">
        <f t="shared" si="5"/>
        <v>2.7816411682892909E-4</v>
      </c>
      <c r="Z306" s="101">
        <v>29</v>
      </c>
      <c r="AA306" s="201">
        <f t="shared" si="6"/>
        <v>4.8357834636215682E-5</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3595</v>
      </c>
      <c r="Y308" s="201">
        <f>SUM(Y299:Y307)</f>
        <v>1</v>
      </c>
      <c r="Z308" s="101">
        <f>SUM(Z299:Z307)</f>
        <v>599696</v>
      </c>
      <c r="AA308" s="201">
        <f>SUM(AA299:AA307)</f>
        <v>1.0000000000000002</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0</v>
      </c>
      <c r="Y320" s="201">
        <f>SUM(Y311:Y319)</f>
        <v>0</v>
      </c>
      <c r="Z320" s="101">
        <f>SUM(Z311:Z319)</f>
        <v>0</v>
      </c>
      <c r="AA320" s="201">
        <f>SUM(AA311:AA319)</f>
        <v>0</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74">
        <v>0</v>
      </c>
      <c r="Z328" s="275">
        <v>0</v>
      </c>
      <c r="AA328" s="274">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0</v>
      </c>
      <c r="Y330" s="274">
        <f>SUM(Y323:Y328)</f>
        <v>0</v>
      </c>
      <c r="Z330" s="275">
        <f>SUM(Z323:Z328)</f>
        <v>0</v>
      </c>
      <c r="AA330" s="274">
        <f>SUM(AA323:AA329)</f>
        <v>0</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243" t="s">
        <v>324</v>
      </c>
      <c r="B344" s="244" t="s">
        <v>325</v>
      </c>
      <c r="C344" s="245"/>
      <c r="D344" s="245"/>
      <c r="E344" s="245"/>
      <c r="F344" s="245"/>
      <c r="G344" s="245"/>
      <c r="H344" s="246"/>
      <c r="I344" s="246"/>
      <c r="J344" s="246"/>
      <c r="K344" s="246"/>
      <c r="L344" s="246"/>
      <c r="M344" s="246"/>
      <c r="N344" s="246"/>
      <c r="O344" s="246"/>
      <c r="P344" s="262"/>
      <c r="Q344" s="262"/>
      <c r="R344" s="262"/>
      <c r="S344" s="262"/>
      <c r="T344" s="262"/>
      <c r="U344" s="262"/>
      <c r="V344" s="262"/>
      <c r="W344" s="262"/>
      <c r="X344" s="157" t="s">
        <v>69</v>
      </c>
      <c r="Y344" s="106" t="s">
        <v>70</v>
      </c>
      <c r="Z344" s="157" t="s">
        <v>75</v>
      </c>
      <c r="AA344" s="106" t="s">
        <v>70</v>
      </c>
      <c r="AB344" s="244" t="s">
        <v>349</v>
      </c>
      <c r="AC344" s="37"/>
      <c r="AD344" s="22"/>
    </row>
    <row r="345" spans="1:30" s="23" customFormat="1" x14ac:dyDescent="0.3">
      <c r="A345" s="247"/>
      <c r="B345" s="248" t="s">
        <v>59</v>
      </c>
      <c r="C345" s="249"/>
      <c r="D345" s="249"/>
      <c r="E345" s="249"/>
      <c r="F345" s="249"/>
      <c r="G345" s="249"/>
      <c r="H345" s="250"/>
      <c r="I345" s="250"/>
      <c r="J345" s="250"/>
      <c r="K345" s="250"/>
      <c r="L345" s="250"/>
      <c r="M345" s="250"/>
      <c r="N345" s="250"/>
      <c r="O345" s="250"/>
      <c r="P345" s="261"/>
      <c r="Q345" s="261"/>
      <c r="R345" s="261"/>
      <c r="S345" s="261"/>
      <c r="T345" s="261"/>
      <c r="U345" s="261"/>
      <c r="V345" s="261"/>
      <c r="W345" s="261"/>
      <c r="X345" s="109">
        <v>27</v>
      </c>
      <c r="Y345" s="195">
        <f>+X345/X354</f>
        <v>1</v>
      </c>
      <c r="Z345" s="110">
        <v>6168</v>
      </c>
      <c r="AA345" s="195">
        <f>+Z345/Z354</f>
        <v>1</v>
      </c>
      <c r="AB345" s="38"/>
      <c r="AC345" s="44"/>
      <c r="AD345" s="22"/>
    </row>
    <row r="346" spans="1:30" s="23" customFormat="1" x14ac:dyDescent="0.3">
      <c r="A346" s="251"/>
      <c r="B346" s="252" t="s">
        <v>60</v>
      </c>
      <c r="C346" s="253"/>
      <c r="D346" s="253"/>
      <c r="E346" s="253"/>
      <c r="F346" s="253"/>
      <c r="G346" s="253"/>
      <c r="H346" s="254"/>
      <c r="I346" s="254"/>
      <c r="J346" s="254"/>
      <c r="K346" s="254"/>
      <c r="L346" s="254"/>
      <c r="M346" s="254"/>
      <c r="N346" s="254"/>
      <c r="O346" s="254"/>
      <c r="P346" s="207"/>
      <c r="Q346" s="207"/>
      <c r="R346" s="207"/>
      <c r="S346" s="207"/>
      <c r="T346" s="207"/>
      <c r="U346" s="207"/>
      <c r="V346" s="207"/>
      <c r="W346" s="207"/>
      <c r="X346" s="100">
        <v>0</v>
      </c>
      <c r="Y346" s="263">
        <f>+X346/X354</f>
        <v>0</v>
      </c>
      <c r="Z346" s="101">
        <v>0</v>
      </c>
      <c r="AA346" s="201">
        <f>+Z346/Z354</f>
        <v>0</v>
      </c>
      <c r="AB346" s="41"/>
      <c r="AC346" s="44"/>
      <c r="AD346" s="22"/>
    </row>
    <row r="347" spans="1:30" s="23" customFormat="1" x14ac:dyDescent="0.3">
      <c r="A347" s="251"/>
      <c r="B347" s="252" t="s">
        <v>61</v>
      </c>
      <c r="C347" s="253"/>
      <c r="D347" s="253"/>
      <c r="E347" s="253"/>
      <c r="F347" s="253"/>
      <c r="G347" s="253"/>
      <c r="H347" s="254"/>
      <c r="I347" s="254"/>
      <c r="J347" s="254"/>
      <c r="K347" s="254"/>
      <c r="L347" s="254"/>
      <c r="M347" s="254"/>
      <c r="N347" s="254"/>
      <c r="O347" s="254"/>
      <c r="P347" s="207"/>
      <c r="Q347" s="207"/>
      <c r="R347" s="207"/>
      <c r="S347" s="207"/>
      <c r="T347" s="207"/>
      <c r="U347" s="207"/>
      <c r="V347" s="207"/>
      <c r="W347" s="207"/>
      <c r="X347" s="100">
        <v>0</v>
      </c>
      <c r="Y347" s="263">
        <f>+X347/X354</f>
        <v>0</v>
      </c>
      <c r="Z347" s="101">
        <v>0</v>
      </c>
      <c r="AA347" s="201">
        <f>+Z347/Z354</f>
        <v>0</v>
      </c>
      <c r="AB347" s="41"/>
      <c r="AC347" s="44"/>
      <c r="AD347" s="22"/>
    </row>
    <row r="348" spans="1:30" s="23" customFormat="1" x14ac:dyDescent="0.3">
      <c r="A348" s="251"/>
      <c r="B348" s="252" t="s">
        <v>100</v>
      </c>
      <c r="C348" s="253"/>
      <c r="D348" s="253"/>
      <c r="E348" s="253"/>
      <c r="F348" s="253"/>
      <c r="G348" s="253"/>
      <c r="H348" s="254"/>
      <c r="I348" s="254"/>
      <c r="J348" s="254"/>
      <c r="K348" s="254"/>
      <c r="L348" s="254"/>
      <c r="M348" s="254"/>
      <c r="N348" s="254"/>
      <c r="O348" s="254"/>
      <c r="P348" s="207"/>
      <c r="Q348" s="207"/>
      <c r="R348" s="207"/>
      <c r="S348" s="207"/>
      <c r="T348" s="207"/>
      <c r="U348" s="207"/>
      <c r="V348" s="207"/>
      <c r="W348" s="207"/>
      <c r="X348" s="100">
        <v>0</v>
      </c>
      <c r="Y348" s="263">
        <f>+X348/X354</f>
        <v>0</v>
      </c>
      <c r="Z348" s="101">
        <v>0</v>
      </c>
      <c r="AA348" s="201">
        <f>+Z348/Z354</f>
        <v>0</v>
      </c>
      <c r="AB348" s="41"/>
      <c r="AC348" s="44"/>
      <c r="AD348" s="22"/>
    </row>
    <row r="349" spans="1:30" s="23" customFormat="1" x14ac:dyDescent="0.3">
      <c r="A349" s="251"/>
      <c r="B349" s="252" t="s">
        <v>101</v>
      </c>
      <c r="C349" s="253"/>
      <c r="D349" s="253"/>
      <c r="E349" s="253"/>
      <c r="F349" s="253"/>
      <c r="G349" s="253"/>
      <c r="H349" s="254"/>
      <c r="I349" s="254"/>
      <c r="J349" s="254"/>
      <c r="K349" s="254"/>
      <c r="L349" s="254"/>
      <c r="M349" s="254"/>
      <c r="N349" s="254"/>
      <c r="O349" s="254"/>
      <c r="P349" s="207"/>
      <c r="Q349" s="207"/>
      <c r="R349" s="207"/>
      <c r="S349" s="207"/>
      <c r="T349" s="207"/>
      <c r="U349" s="207"/>
      <c r="V349" s="207"/>
      <c r="W349" s="207"/>
      <c r="X349" s="100">
        <v>0</v>
      </c>
      <c r="Y349" s="263">
        <f>+X349/X354</f>
        <v>0</v>
      </c>
      <c r="Z349" s="101">
        <v>0</v>
      </c>
      <c r="AA349" s="201">
        <f>+Z349/Z354</f>
        <v>0</v>
      </c>
      <c r="AB349" s="41"/>
      <c r="AC349" s="44"/>
      <c r="AD349" s="22"/>
    </row>
    <row r="350" spans="1:30" s="23" customFormat="1" x14ac:dyDescent="0.3">
      <c r="A350" s="251"/>
      <c r="B350" s="252" t="s">
        <v>102</v>
      </c>
      <c r="C350" s="253"/>
      <c r="D350" s="253"/>
      <c r="E350" s="253"/>
      <c r="F350" s="253"/>
      <c r="G350" s="253"/>
      <c r="H350" s="254"/>
      <c r="I350" s="254"/>
      <c r="J350" s="254"/>
      <c r="K350" s="254"/>
      <c r="L350" s="254"/>
      <c r="M350" s="254"/>
      <c r="N350" s="254"/>
      <c r="O350" s="254"/>
      <c r="P350" s="207"/>
      <c r="Q350" s="207"/>
      <c r="R350" s="207"/>
      <c r="S350" s="207"/>
      <c r="T350" s="207"/>
      <c r="U350" s="207"/>
      <c r="V350" s="207"/>
      <c r="W350" s="207"/>
      <c r="X350" s="100">
        <v>0</v>
      </c>
      <c r="Y350" s="263">
        <f>+X350/X354</f>
        <v>0</v>
      </c>
      <c r="Z350" s="101">
        <v>0</v>
      </c>
      <c r="AA350" s="201">
        <f>+Z350/Z354</f>
        <v>0</v>
      </c>
      <c r="AB350" s="41"/>
      <c r="AC350" s="44"/>
      <c r="AD350" s="22"/>
    </row>
    <row r="351" spans="1:30" s="23" customFormat="1" x14ac:dyDescent="0.3">
      <c r="A351" s="251"/>
      <c r="B351" s="252" t="s">
        <v>103</v>
      </c>
      <c r="C351" s="253"/>
      <c r="D351" s="253"/>
      <c r="E351" s="253"/>
      <c r="F351" s="253"/>
      <c r="G351" s="253"/>
      <c r="H351" s="254"/>
      <c r="I351" s="254"/>
      <c r="J351" s="254"/>
      <c r="K351" s="254"/>
      <c r="L351" s="254"/>
      <c r="M351" s="254"/>
      <c r="N351" s="254"/>
      <c r="O351" s="254"/>
      <c r="P351" s="207"/>
      <c r="Q351" s="207"/>
      <c r="R351" s="207"/>
      <c r="S351" s="207"/>
      <c r="T351" s="207"/>
      <c r="U351" s="207"/>
      <c r="V351" s="207"/>
      <c r="W351" s="207"/>
      <c r="X351" s="100">
        <v>0</v>
      </c>
      <c r="Y351" s="263">
        <f>+X351/X354</f>
        <v>0</v>
      </c>
      <c r="Z351" s="101">
        <v>0</v>
      </c>
      <c r="AA351" s="201">
        <f>+Z351/Z354</f>
        <v>0</v>
      </c>
      <c r="AB351" s="41"/>
      <c r="AC351" s="44"/>
      <c r="AD351" s="22"/>
    </row>
    <row r="352" spans="1:30" s="23" customFormat="1" x14ac:dyDescent="0.3">
      <c r="A352" s="251"/>
      <c r="B352" s="252" t="s">
        <v>104</v>
      </c>
      <c r="C352" s="253"/>
      <c r="D352" s="253"/>
      <c r="E352" s="253"/>
      <c r="F352" s="253"/>
      <c r="G352" s="253"/>
      <c r="H352" s="254"/>
      <c r="I352" s="254"/>
      <c r="J352" s="254"/>
      <c r="K352" s="254"/>
      <c r="L352" s="254"/>
      <c r="M352" s="254"/>
      <c r="N352" s="254"/>
      <c r="O352" s="254"/>
      <c r="P352" s="207"/>
      <c r="Q352" s="207"/>
      <c r="R352" s="207"/>
      <c r="S352" s="207"/>
      <c r="T352" s="207"/>
      <c r="U352" s="207"/>
      <c r="V352" s="207"/>
      <c r="W352" s="207"/>
      <c r="X352" s="100">
        <v>0</v>
      </c>
      <c r="Y352" s="195">
        <f>+X352/X354</f>
        <v>0</v>
      </c>
      <c r="Z352" s="101">
        <v>0</v>
      </c>
      <c r="AA352" s="201">
        <f>+Z352/Z354</f>
        <v>0</v>
      </c>
      <c r="AB352" s="41"/>
      <c r="AC352" s="44"/>
      <c r="AD352" s="22"/>
    </row>
    <row r="353" spans="1:30" s="23" customFormat="1" x14ac:dyDescent="0.3">
      <c r="A353" s="251"/>
      <c r="B353" s="252"/>
      <c r="C353" s="253"/>
      <c r="D353" s="253"/>
      <c r="E353" s="253"/>
      <c r="F353" s="253"/>
      <c r="G353" s="253"/>
      <c r="H353" s="254"/>
      <c r="I353" s="254"/>
      <c r="J353" s="254"/>
      <c r="K353" s="254"/>
      <c r="L353" s="254"/>
      <c r="M353" s="254"/>
      <c r="N353" s="254"/>
      <c r="O353" s="254"/>
      <c r="P353" s="207"/>
      <c r="Q353" s="207"/>
      <c r="R353" s="207"/>
      <c r="S353" s="207"/>
      <c r="T353" s="207"/>
      <c r="U353" s="207"/>
      <c r="V353" s="207"/>
      <c r="W353" s="207"/>
      <c r="X353" s="100"/>
      <c r="Y353" s="201"/>
      <c r="Z353" s="101"/>
      <c r="AA353" s="201"/>
      <c r="AB353" s="41"/>
      <c r="AC353" s="44"/>
      <c r="AD353" s="22"/>
    </row>
    <row r="354" spans="1:30" s="23" customFormat="1" x14ac:dyDescent="0.3">
      <c r="A354" s="251"/>
      <c r="B354" s="253" t="s">
        <v>80</v>
      </c>
      <c r="C354" s="253"/>
      <c r="D354" s="253"/>
      <c r="E354" s="253"/>
      <c r="F354" s="253"/>
      <c r="G354" s="253"/>
      <c r="H354" s="254"/>
      <c r="I354" s="254"/>
      <c r="J354" s="254"/>
      <c r="K354" s="254"/>
      <c r="L354" s="254"/>
      <c r="M354" s="254"/>
      <c r="N354" s="254"/>
      <c r="O354" s="254"/>
      <c r="P354" s="207"/>
      <c r="Q354" s="207"/>
      <c r="R354" s="207"/>
      <c r="S354" s="207"/>
      <c r="T354" s="207"/>
      <c r="U354" s="207"/>
      <c r="V354" s="207"/>
      <c r="W354" s="207"/>
      <c r="X354" s="284">
        <f>SUM(X345:X352)</f>
        <v>27</v>
      </c>
      <c r="Y354" s="205">
        <f>SUM(Y345:Y352)</f>
        <v>1</v>
      </c>
      <c r="Z354" s="285">
        <f>SUM(Z345:Z352)</f>
        <v>6168</v>
      </c>
      <c r="AA354" s="205">
        <f>SUM(AA345:AA352)</f>
        <v>1</v>
      </c>
      <c r="AB354" s="286"/>
      <c r="AC354" s="44"/>
      <c r="AD354" s="22"/>
    </row>
    <row r="355" spans="1:30" s="268" customFormat="1" ht="16.2" thickBot="1" x14ac:dyDescent="0.35">
      <c r="A355" s="251"/>
      <c r="B355" s="253" t="s">
        <v>343</v>
      </c>
      <c r="C355" s="253"/>
      <c r="D355" s="253"/>
      <c r="E355" s="253"/>
      <c r="F355" s="253"/>
      <c r="G355" s="253"/>
      <c r="H355" s="254"/>
      <c r="I355" s="254"/>
      <c r="J355" s="254"/>
      <c r="K355" s="254"/>
      <c r="L355" s="254"/>
      <c r="M355" s="254"/>
      <c r="N355" s="254"/>
      <c r="O355" s="254"/>
      <c r="P355" s="272"/>
      <c r="Q355" s="272"/>
      <c r="R355" s="272"/>
      <c r="S355" s="272"/>
      <c r="T355" s="272"/>
      <c r="U355" s="272"/>
      <c r="V355" s="272"/>
      <c r="W355" s="272"/>
      <c r="X355" s="291"/>
      <c r="Y355" s="291">
        <f>X354/X359</f>
        <v>7.5104311543810849E-3</v>
      </c>
      <c r="Z355" s="292"/>
      <c r="AA355" s="291">
        <f>Z354/Z359</f>
        <v>1.0285211173661322E-2</v>
      </c>
      <c r="AB355" s="293"/>
      <c r="AC355" s="276"/>
      <c r="AD355" s="267"/>
    </row>
    <row r="356" spans="1:30" s="268" customFormat="1" ht="16.2" thickTop="1" x14ac:dyDescent="0.3">
      <c r="A356" s="251"/>
      <c r="B356" s="253" t="s">
        <v>347</v>
      </c>
      <c r="C356" s="253"/>
      <c r="D356" s="253"/>
      <c r="E356" s="253"/>
      <c r="F356" s="253"/>
      <c r="G356" s="253"/>
      <c r="H356" s="254"/>
      <c r="I356" s="254"/>
      <c r="J356" s="254"/>
      <c r="K356" s="254"/>
      <c r="L356" s="254"/>
      <c r="M356" s="254"/>
      <c r="N356" s="254"/>
      <c r="O356" s="254"/>
      <c r="P356" s="272"/>
      <c r="Q356" s="272"/>
      <c r="R356" s="272"/>
      <c r="S356" s="272"/>
      <c r="T356" s="272"/>
      <c r="U356" s="272"/>
      <c r="V356" s="272"/>
      <c r="W356" s="272"/>
      <c r="X356" s="294">
        <v>6</v>
      </c>
      <c r="Y356" s="295">
        <f>+X356/X354</f>
        <v>0.22222222222222221</v>
      </c>
      <c r="Z356" s="296">
        <v>1487</v>
      </c>
      <c r="AA356" s="295">
        <f>+Z356/Z354</f>
        <v>0.24108300907911803</v>
      </c>
      <c r="AB356" s="297">
        <v>0.80645161290322576</v>
      </c>
      <c r="AC356" s="276"/>
      <c r="AD356" s="267"/>
    </row>
    <row r="357" spans="1:30" s="268" customFormat="1" ht="16.2" thickBot="1" x14ac:dyDescent="0.35">
      <c r="A357" s="251"/>
      <c r="B357" s="253" t="s">
        <v>348</v>
      </c>
      <c r="C357" s="253"/>
      <c r="D357" s="253"/>
      <c r="E357" s="253"/>
      <c r="F357" s="253"/>
      <c r="G357" s="253"/>
      <c r="H357" s="254"/>
      <c r="I357" s="254"/>
      <c r="J357" s="254"/>
      <c r="K357" s="254"/>
      <c r="L357" s="254"/>
      <c r="M357" s="254"/>
      <c r="N357" s="254"/>
      <c r="O357" s="254"/>
      <c r="P357" s="272"/>
      <c r="Q357" s="272"/>
      <c r="R357" s="272"/>
      <c r="S357" s="272"/>
      <c r="T357" s="272"/>
      <c r="U357" s="272"/>
      <c r="V357" s="272"/>
      <c r="W357" s="272"/>
      <c r="X357" s="287">
        <v>21</v>
      </c>
      <c r="Y357" s="288">
        <f>+X357/X354</f>
        <v>0.77777777777777779</v>
      </c>
      <c r="Z357" s="289">
        <v>4681</v>
      </c>
      <c r="AA357" s="288">
        <f>+Z357/Z354</f>
        <v>0.75891699092088194</v>
      </c>
      <c r="AB357" s="290">
        <v>0.46697388632872505</v>
      </c>
      <c r="AC357" s="276"/>
      <c r="AD357" s="267"/>
    </row>
    <row r="358" spans="1:30" s="23" customFormat="1" ht="16.2" thickTop="1" x14ac:dyDescent="0.3">
      <c r="A358" s="48"/>
      <c r="B358" s="41"/>
      <c r="C358" s="41"/>
      <c r="D358" s="207"/>
      <c r="E358" s="207"/>
      <c r="F358" s="207"/>
      <c r="G358" s="207"/>
      <c r="H358" s="207"/>
      <c r="I358" s="207"/>
      <c r="J358" s="207"/>
      <c r="K358" s="207"/>
      <c r="L358" s="207"/>
      <c r="M358" s="207"/>
      <c r="N358" s="207"/>
      <c r="O358" s="207"/>
      <c r="P358" s="207"/>
      <c r="Q358" s="207"/>
      <c r="R358" s="207"/>
      <c r="S358" s="207"/>
      <c r="T358" s="207"/>
      <c r="U358" s="207"/>
      <c r="V358" s="207"/>
      <c r="W358" s="207"/>
      <c r="X358" s="284"/>
      <c r="Y358" s="205"/>
      <c r="Z358" s="285"/>
      <c r="AA358" s="205"/>
      <c r="AB358" s="286"/>
      <c r="AC358" s="44"/>
      <c r="AD358" s="22"/>
    </row>
    <row r="359" spans="1:30" s="23" customFormat="1" x14ac:dyDescent="0.3">
      <c r="A359" s="48"/>
      <c r="B359" s="45" t="s">
        <v>139</v>
      </c>
      <c r="C359" s="41"/>
      <c r="D359" s="207"/>
      <c r="E359" s="207"/>
      <c r="F359" s="207"/>
      <c r="G359" s="207"/>
      <c r="H359" s="207"/>
      <c r="I359" s="207"/>
      <c r="J359" s="207"/>
      <c r="K359" s="207"/>
      <c r="L359" s="207"/>
      <c r="M359" s="207"/>
      <c r="N359" s="207"/>
      <c r="O359" s="207"/>
      <c r="P359" s="207"/>
      <c r="Q359" s="207"/>
      <c r="R359" s="207"/>
      <c r="S359" s="207"/>
      <c r="T359" s="207"/>
      <c r="U359" s="207"/>
      <c r="V359" s="207"/>
      <c r="W359" s="207"/>
      <c r="X359" s="213">
        <f>X342+X320+X308</f>
        <v>3595</v>
      </c>
      <c r="Y359" s="201"/>
      <c r="Z359" s="214">
        <f>+Z342+Z320+Z308</f>
        <v>599696</v>
      </c>
      <c r="AA359" s="201"/>
      <c r="AB359" s="41"/>
      <c r="AC359" s="44"/>
      <c r="AD359" s="22"/>
    </row>
    <row r="360" spans="1:30" s="23" customFormat="1" x14ac:dyDescent="0.3">
      <c r="A360" s="48"/>
      <c r="B360" s="45" t="s">
        <v>253</v>
      </c>
      <c r="C360" s="45"/>
      <c r="D360" s="215"/>
      <c r="E360" s="215"/>
      <c r="F360" s="215"/>
      <c r="G360" s="215"/>
      <c r="H360" s="215"/>
      <c r="I360" s="215"/>
      <c r="J360" s="215"/>
      <c r="K360" s="215"/>
      <c r="L360" s="215"/>
      <c r="M360" s="215"/>
      <c r="N360" s="215"/>
      <c r="O360" s="215"/>
      <c r="P360" s="215"/>
      <c r="Q360" s="215"/>
      <c r="R360" s="215"/>
      <c r="S360" s="215"/>
      <c r="T360" s="215"/>
      <c r="U360" s="215"/>
      <c r="V360" s="215"/>
      <c r="W360" s="215"/>
      <c r="X360" s="213"/>
      <c r="Y360" s="216"/>
      <c r="Z360" s="214">
        <f>+AB63+AB64</f>
        <v>6</v>
      </c>
      <c r="AA360" s="201"/>
      <c r="AB360" s="41"/>
      <c r="AC360" s="44"/>
      <c r="AD360" s="22"/>
    </row>
    <row r="361" spans="1:30" s="23" customFormat="1" x14ac:dyDescent="0.3">
      <c r="A361" s="48"/>
      <c r="B361" s="45" t="s">
        <v>107</v>
      </c>
      <c r="C361" s="45"/>
      <c r="D361" s="215"/>
      <c r="E361" s="215"/>
      <c r="F361" s="215"/>
      <c r="G361" s="215"/>
      <c r="H361" s="215"/>
      <c r="I361" s="215"/>
      <c r="J361" s="215"/>
      <c r="K361" s="215"/>
      <c r="L361" s="215"/>
      <c r="M361" s="215"/>
      <c r="N361" s="215"/>
      <c r="O361" s="215"/>
      <c r="P361" s="215"/>
      <c r="Q361" s="215"/>
      <c r="R361" s="215"/>
      <c r="S361" s="215"/>
      <c r="T361" s="215"/>
      <c r="U361" s="215"/>
      <c r="V361" s="215"/>
      <c r="W361" s="215"/>
      <c r="X361" s="213"/>
      <c r="Y361" s="216"/>
      <c r="Z361" s="214">
        <f>+Z359+Z360</f>
        <v>599702</v>
      </c>
      <c r="AA361" s="201"/>
      <c r="AB361" s="41"/>
      <c r="AC361" s="44"/>
      <c r="AD361" s="22"/>
    </row>
    <row r="362" spans="1:30" s="23" customFormat="1" x14ac:dyDescent="0.3">
      <c r="A362" s="48"/>
      <c r="B362" s="45" t="s">
        <v>275</v>
      </c>
      <c r="C362" s="41"/>
      <c r="D362" s="207"/>
      <c r="E362" s="207"/>
      <c r="F362" s="207"/>
      <c r="G362" s="207"/>
      <c r="H362" s="207"/>
      <c r="I362" s="207"/>
      <c r="J362" s="207"/>
      <c r="K362" s="207"/>
      <c r="L362" s="207"/>
      <c r="M362" s="207"/>
      <c r="N362" s="207"/>
      <c r="O362" s="207"/>
      <c r="P362" s="207"/>
      <c r="Q362" s="207"/>
      <c r="R362" s="207"/>
      <c r="S362" s="207"/>
      <c r="T362" s="207"/>
      <c r="U362" s="207"/>
      <c r="V362" s="207"/>
      <c r="W362" s="207"/>
      <c r="X362" s="213"/>
      <c r="Y362" s="201"/>
      <c r="Z362" s="214">
        <f>+AB66</f>
        <v>599702</v>
      </c>
      <c r="AA362" s="201"/>
      <c r="AB362" s="41"/>
      <c r="AC362" s="44"/>
      <c r="AD362" s="22"/>
    </row>
    <row r="363" spans="1:30" s="23" customFormat="1" x14ac:dyDescent="0.3">
      <c r="A363" s="48"/>
      <c r="B363" s="45"/>
      <c r="C363" s="41"/>
      <c r="D363" s="207"/>
      <c r="E363" s="207"/>
      <c r="F363" s="207"/>
      <c r="G363" s="207"/>
      <c r="H363" s="207"/>
      <c r="I363" s="207"/>
      <c r="J363" s="207"/>
      <c r="K363" s="207"/>
      <c r="L363" s="207"/>
      <c r="M363" s="207"/>
      <c r="N363" s="207"/>
      <c r="O363" s="207"/>
      <c r="P363" s="207"/>
      <c r="Q363" s="207"/>
      <c r="R363" s="207"/>
      <c r="S363" s="207"/>
      <c r="T363" s="207"/>
      <c r="U363" s="207"/>
      <c r="V363" s="207"/>
      <c r="W363" s="207"/>
      <c r="X363" s="213"/>
      <c r="Y363" s="201"/>
      <c r="Z363" s="214"/>
      <c r="AA363" s="201"/>
      <c r="AB363" s="41"/>
      <c r="AC363" s="44"/>
      <c r="AD363" s="22"/>
    </row>
    <row r="364" spans="1:30" s="23" customFormat="1" x14ac:dyDescent="0.3">
      <c r="A364" s="48"/>
      <c r="B364" s="45" t="s">
        <v>318</v>
      </c>
      <c r="C364" s="41"/>
      <c r="D364" s="207"/>
      <c r="E364" s="207"/>
      <c r="F364" s="207"/>
      <c r="G364" s="207"/>
      <c r="H364" s="207"/>
      <c r="I364" s="207"/>
      <c r="J364" s="207"/>
      <c r="K364" s="207"/>
      <c r="L364" s="207"/>
      <c r="M364" s="207"/>
      <c r="N364" s="207"/>
      <c r="O364" s="207"/>
      <c r="P364" s="207"/>
      <c r="Q364" s="207"/>
      <c r="R364" s="207"/>
      <c r="S364" s="207"/>
      <c r="T364" s="207"/>
      <c r="U364" s="207"/>
      <c r="V364" s="207"/>
      <c r="W364" s="207"/>
      <c r="X364" s="213"/>
      <c r="Y364" s="201"/>
      <c r="Z364" s="239">
        <f>(D30*0.375+F30*0.05+H30*0.05+J30+L30)/AB30</f>
        <v>0.3847214950091879</v>
      </c>
      <c r="AA364" s="201"/>
      <c r="AB364" s="41"/>
      <c r="AC364" s="44"/>
      <c r="AD364" s="22"/>
    </row>
    <row r="365" spans="1:30" s="23" customFormat="1" x14ac:dyDescent="0.3">
      <c r="A365" s="18"/>
      <c r="B365" s="20"/>
      <c r="C365" s="20"/>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8"/>
      <c r="AA365" s="217"/>
      <c r="AB365" s="20"/>
      <c r="AC365" s="21"/>
      <c r="AD365" s="22"/>
    </row>
    <row r="366" spans="1:30" s="23" customFormat="1" x14ac:dyDescent="0.3">
      <c r="A366" s="18"/>
      <c r="B366" s="19" t="s">
        <v>62</v>
      </c>
      <c r="C366" s="20"/>
      <c r="D366" s="219" t="s">
        <v>66</v>
      </c>
      <c r="E366" s="19"/>
      <c r="F366" s="19" t="s">
        <v>67</v>
      </c>
      <c r="G366" s="20"/>
      <c r="H366" s="19"/>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20" t="s">
        <v>122</v>
      </c>
      <c r="E368" s="19"/>
      <c r="F368" s="19" t="s">
        <v>170</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t="s">
        <v>153</v>
      </c>
      <c r="C369" s="19"/>
      <c r="D369" s="220" t="s">
        <v>98</v>
      </c>
      <c r="E369" s="19"/>
      <c r="F369" s="19" t="s">
        <v>171</v>
      </c>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19"/>
      <c r="C370" s="19"/>
      <c r="D370" s="220"/>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s="23" customFormat="1" x14ac:dyDescent="0.3">
      <c r="A371" s="18"/>
      <c r="B371" s="255" t="s">
        <v>337</v>
      </c>
      <c r="C371" s="256"/>
      <c r="D371" s="256"/>
      <c r="E371" s="256"/>
      <c r="F371" s="257"/>
      <c r="G371" s="256"/>
      <c r="H371" s="258"/>
      <c r="I371" s="255"/>
      <c r="J371" s="255"/>
      <c r="K371" s="255"/>
      <c r="L371" s="255"/>
      <c r="M371" s="255"/>
      <c r="N371" s="255"/>
      <c r="O371" s="255"/>
      <c r="P371" s="255"/>
      <c r="Q371" s="20"/>
      <c r="R371" s="20"/>
      <c r="S371" s="20"/>
      <c r="T371" s="20"/>
      <c r="U371" s="20"/>
      <c r="V371" s="20"/>
      <c r="W371" s="20"/>
      <c r="X371" s="20"/>
      <c r="Y371" s="20"/>
      <c r="Z371" s="20"/>
      <c r="AA371" s="20"/>
      <c r="AB371" s="20"/>
      <c r="AC371" s="21"/>
      <c r="AD371" s="22"/>
    </row>
    <row r="372" spans="1:30" s="23" customFormat="1" x14ac:dyDescent="0.3">
      <c r="A372" s="18"/>
      <c r="B372" s="256"/>
      <c r="C372" s="256"/>
      <c r="D372" s="256"/>
      <c r="E372" s="256"/>
      <c r="F372" s="257"/>
      <c r="G372" s="256"/>
      <c r="H372" s="258"/>
      <c r="I372" s="255"/>
      <c r="J372" s="255"/>
      <c r="K372" s="255"/>
      <c r="L372" s="255"/>
      <c r="M372" s="255"/>
      <c r="N372" s="255"/>
      <c r="O372" s="255"/>
      <c r="P372" s="255"/>
      <c r="Q372" s="20"/>
      <c r="R372" s="20"/>
      <c r="S372" s="20"/>
      <c r="T372" s="20"/>
      <c r="U372" s="20"/>
      <c r="V372" s="20"/>
      <c r="W372" s="20"/>
      <c r="X372" s="20"/>
      <c r="Y372" s="20"/>
      <c r="Z372" s="20"/>
      <c r="AA372" s="20"/>
      <c r="AB372" s="20"/>
      <c r="AC372" s="21"/>
      <c r="AD372" s="22"/>
    </row>
    <row r="373" spans="1:30" s="23" customFormat="1" ht="18" x14ac:dyDescent="0.35">
      <c r="A373" s="18"/>
      <c r="B373" s="259" t="s">
        <v>109</v>
      </c>
      <c r="C373" s="256"/>
      <c r="D373" s="256"/>
      <c r="E373" s="256"/>
      <c r="F373" s="257"/>
      <c r="G373" s="256"/>
      <c r="H373" s="258"/>
      <c r="I373" s="255"/>
      <c r="J373" s="255"/>
      <c r="K373" s="255"/>
      <c r="L373" s="255"/>
      <c r="M373" s="255"/>
      <c r="N373" s="255"/>
      <c r="O373" s="255"/>
      <c r="P373" s="260" t="s">
        <v>169</v>
      </c>
      <c r="Q373" s="20"/>
      <c r="R373" s="20"/>
      <c r="S373" s="20"/>
      <c r="T373" s="20"/>
      <c r="U373" s="20"/>
      <c r="V373" s="20"/>
      <c r="W373" s="20"/>
      <c r="X373" s="20"/>
      <c r="Y373" s="20"/>
      <c r="Z373" s="20"/>
      <c r="AA373" s="20"/>
      <c r="AB373" s="20"/>
      <c r="AC373" s="21"/>
      <c r="AD373" s="22"/>
    </row>
    <row r="374" spans="1:30" x14ac:dyDescent="0.3">
      <c r="A374" s="221"/>
      <c r="B374" s="222"/>
      <c r="C374" s="222"/>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4"/>
      <c r="AD374" s="5"/>
    </row>
    <row r="375" spans="1:30" x14ac:dyDescent="0.3">
      <c r="A375" s="221"/>
      <c r="B375" s="222"/>
      <c r="C375" s="222"/>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4"/>
      <c r="AD375" s="5"/>
    </row>
    <row r="376" spans="1:30" ht="18.600000000000001" thickBot="1" x14ac:dyDescent="0.4">
      <c r="A376" s="221"/>
      <c r="B376" s="225" t="str">
        <f>B244</f>
        <v>PM25 INVESTOR REPORT QUARTER ENDING OCTOBER 2020</v>
      </c>
      <c r="C376" s="222"/>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6"/>
      <c r="AD376" s="5"/>
    </row>
    <row r="377" spans="1:30"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row>
    <row r="378" spans="1:30" x14ac:dyDescent="0.3">
      <c r="B378" s="280" t="s">
        <v>326</v>
      </c>
    </row>
    <row r="379" spans="1:30" x14ac:dyDescent="0.3">
      <c r="B379" s="264" t="s">
        <v>327</v>
      </c>
    </row>
    <row r="380" spans="1:30" x14ac:dyDescent="0.3">
      <c r="B380" s="264" t="s">
        <v>328</v>
      </c>
    </row>
    <row r="381" spans="1:30" x14ac:dyDescent="0.3">
      <c r="B381" s="264" t="s">
        <v>329</v>
      </c>
    </row>
    <row r="382" spans="1:30" x14ac:dyDescent="0.3">
      <c r="B382" s="264" t="s">
        <v>330</v>
      </c>
    </row>
    <row r="383" spans="1:30" x14ac:dyDescent="0.3">
      <c r="B383" s="264" t="s">
        <v>331</v>
      </c>
    </row>
    <row r="384" spans="1:30" x14ac:dyDescent="0.3">
      <c r="B384" s="264" t="s">
        <v>332</v>
      </c>
    </row>
    <row r="385" spans="2:2" x14ac:dyDescent="0.3">
      <c r="B385" s="264" t="s">
        <v>333</v>
      </c>
    </row>
    <row r="386" spans="2:2" x14ac:dyDescent="0.3">
      <c r="B386" s="264"/>
    </row>
    <row r="387" spans="2:2" s="264" customFormat="1" x14ac:dyDescent="0.3">
      <c r="B387" s="280" t="s">
        <v>350</v>
      </c>
    </row>
    <row r="388" spans="2:2" s="264" customFormat="1" x14ac:dyDescent="0.3">
      <c r="B388" s="264" t="s">
        <v>358</v>
      </c>
    </row>
    <row r="389" spans="2:2" s="264" customFormat="1" x14ac:dyDescent="0.3">
      <c r="B389" s="264" t="s">
        <v>376</v>
      </c>
    </row>
    <row r="390" spans="2:2" x14ac:dyDescent="0.3">
      <c r="B390" s="264"/>
    </row>
    <row r="391" spans="2:2" x14ac:dyDescent="0.3">
      <c r="B391" s="280" t="s">
        <v>334</v>
      </c>
    </row>
    <row r="392" spans="2:2" x14ac:dyDescent="0.3">
      <c r="B392" s="264" t="s">
        <v>335</v>
      </c>
    </row>
    <row r="393" spans="2:2" x14ac:dyDescent="0.3">
      <c r="B393" s="264" t="s">
        <v>336</v>
      </c>
    </row>
  </sheetData>
  <hyperlinks>
    <hyperlink ref="X284" r:id="rId1" display="http://www.paragon-group.co.uk" xr:uid="{349A0084-1B2E-418C-98ED-62D4E7FEEA67}"/>
    <hyperlink ref="K9" r:id="rId2" display="http://www.paragon-group.co.uk" xr:uid="{2C7B4EB2-8C22-4D6B-8B5C-84FD802E59D6}"/>
    <hyperlink ref="P373" r:id="rId3" xr:uid="{D628FB3E-D993-4835-B421-B1F33F64061D}"/>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5" max="18" man="1"/>
    <brk id="244" max="18" man="1"/>
  </rowBreaks>
  <colBreaks count="1" manualBreakCount="1">
    <brk id="29" max="299" man="1"/>
  </col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A9F2-A6B8-4CB7-9CEA-7BDA98368D28}">
  <sheetPr>
    <tabColor rgb="FF89CB31"/>
  </sheetPr>
  <dimension ref="A1:JB393"/>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44249</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493854</v>
      </c>
      <c r="E29" s="55"/>
      <c r="F29" s="55">
        <f t="shared" ref="F29:L29" si="0">F28*F32</f>
        <v>33500</v>
      </c>
      <c r="G29" s="55"/>
      <c r="H29" s="55">
        <f t="shared" si="0"/>
        <v>30000</v>
      </c>
      <c r="I29" s="55"/>
      <c r="J29" s="55">
        <f t="shared" si="0"/>
        <v>24700</v>
      </c>
      <c r="K29" s="55"/>
      <c r="L29" s="55">
        <f t="shared" si="0"/>
        <v>17648</v>
      </c>
      <c r="M29" s="55"/>
      <c r="N29" s="55">
        <f>N28*N32</f>
        <v>9237.6903299999994</v>
      </c>
      <c r="O29" s="55"/>
      <c r="P29" s="55">
        <v>0</v>
      </c>
      <c r="Q29" s="55"/>
      <c r="R29" s="55" t="s">
        <v>83</v>
      </c>
      <c r="S29" s="55"/>
      <c r="T29" s="55" t="s">
        <v>83</v>
      </c>
      <c r="U29" s="55"/>
      <c r="V29" s="55" t="s">
        <v>83</v>
      </c>
      <c r="W29" s="51"/>
      <c r="X29" s="55" t="s">
        <v>83</v>
      </c>
      <c r="Y29" s="51"/>
      <c r="Z29" s="51"/>
      <c r="AA29" s="50"/>
      <c r="AB29" s="51">
        <f>SUM(D29:L29)</f>
        <v>599702</v>
      </c>
      <c r="AC29" s="52"/>
      <c r="AD29" s="22"/>
    </row>
    <row r="30" spans="1:33" s="23" customFormat="1" x14ac:dyDescent="0.3">
      <c r="A30" s="48"/>
      <c r="B30" s="45" t="s">
        <v>92</v>
      </c>
      <c r="C30" s="50"/>
      <c r="D30" s="58">
        <f>D28*D31</f>
        <v>477216</v>
      </c>
      <c r="E30" s="58"/>
      <c r="F30" s="58">
        <f>F28</f>
        <v>33500</v>
      </c>
      <c r="G30" s="58"/>
      <c r="H30" s="58">
        <f>H28</f>
        <v>30000</v>
      </c>
      <c r="I30" s="58"/>
      <c r="J30" s="58">
        <f>J28</f>
        <v>24700</v>
      </c>
      <c r="K30" s="58"/>
      <c r="L30" s="58">
        <f>L28</f>
        <v>17648</v>
      </c>
      <c r="M30" s="58"/>
      <c r="N30" s="58">
        <f>N28*N31</f>
        <v>8731.1908199999998</v>
      </c>
      <c r="O30" s="58"/>
      <c r="P30" s="58">
        <v>0</v>
      </c>
      <c r="Q30" s="58"/>
      <c r="R30" s="58" t="s">
        <v>83</v>
      </c>
      <c r="S30" s="58"/>
      <c r="T30" s="58" t="s">
        <v>83</v>
      </c>
      <c r="U30" s="58"/>
      <c r="V30" s="58" t="s">
        <v>83</v>
      </c>
      <c r="W30" s="57"/>
      <c r="X30" s="58" t="s">
        <v>83</v>
      </c>
      <c r="Y30" s="51"/>
      <c r="Z30" s="51"/>
      <c r="AA30" s="50"/>
      <c r="AB30" s="57">
        <f>SUM(D30:L30)</f>
        <v>583064</v>
      </c>
      <c r="AC30" s="52"/>
      <c r="AD30" s="22"/>
      <c r="AE30" s="238"/>
    </row>
    <row r="31" spans="1:33" s="67" customFormat="1" x14ac:dyDescent="0.3">
      <c r="A31" s="59"/>
      <c r="B31" s="169" t="s">
        <v>88</v>
      </c>
      <c r="C31" s="63"/>
      <c r="D31" s="61">
        <v>0.79535999999999996</v>
      </c>
      <c r="E31" s="61"/>
      <c r="F31" s="61">
        <v>1</v>
      </c>
      <c r="G31" s="61"/>
      <c r="H31" s="61">
        <v>1</v>
      </c>
      <c r="I31" s="61"/>
      <c r="J31" s="61">
        <v>1</v>
      </c>
      <c r="K31" s="61"/>
      <c r="L31" s="61">
        <v>1</v>
      </c>
      <c r="M31" s="61"/>
      <c r="N31" s="61">
        <v>0.79934000000000005</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0.82308999999999999</v>
      </c>
      <c r="E32" s="61"/>
      <c r="F32" s="61">
        <v>1</v>
      </c>
      <c r="G32" s="61"/>
      <c r="H32" s="61">
        <v>1</v>
      </c>
      <c r="I32" s="61"/>
      <c r="J32" s="61">
        <v>1</v>
      </c>
      <c r="K32" s="61"/>
      <c r="L32" s="61">
        <v>1</v>
      </c>
      <c r="M32" s="61"/>
      <c r="N32" s="61">
        <v>0.84570999999999996</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6.9775000000000002E-3</v>
      </c>
      <c r="E34" s="71"/>
      <c r="F34" s="71">
        <v>9.9775000000000003E-3</v>
      </c>
      <c r="G34" s="71"/>
      <c r="H34" s="71">
        <v>1.34775E-2</v>
      </c>
      <c r="I34" s="71"/>
      <c r="J34" s="71">
        <v>1.6477499999999999E-2</v>
      </c>
      <c r="K34" s="71"/>
      <c r="L34" s="71">
        <v>2.6477500000000001E-2</v>
      </c>
      <c r="M34" s="71"/>
      <c r="N34" s="71">
        <v>4.04775E-2</v>
      </c>
      <c r="O34" s="71"/>
      <c r="P34" s="71">
        <v>4.04775E-2</v>
      </c>
      <c r="Q34" s="71"/>
      <c r="R34" s="71" t="s">
        <v>83</v>
      </c>
      <c r="S34" s="71"/>
      <c r="T34" s="71" t="s">
        <v>83</v>
      </c>
      <c r="U34" s="71"/>
      <c r="V34" s="71" t="s">
        <v>83</v>
      </c>
      <c r="W34" s="70"/>
      <c r="X34" s="71" t="s">
        <v>83</v>
      </c>
      <c r="Y34" s="49"/>
      <c r="Z34" s="49"/>
      <c r="AA34" s="41"/>
      <c r="AB34" s="70">
        <f>SUMPRODUCT(D34:L34,D29:L29)/AB29</f>
        <v>8.4353674074790479E-3</v>
      </c>
      <c r="AC34" s="44"/>
      <c r="AD34" s="22"/>
    </row>
    <row r="35" spans="1:30" s="23" customFormat="1" x14ac:dyDescent="0.3">
      <c r="A35" s="48"/>
      <c r="B35" s="41" t="s">
        <v>10</v>
      </c>
      <c r="C35" s="72"/>
      <c r="D35" s="71">
        <v>7.2338000000000003E-3</v>
      </c>
      <c r="E35" s="71"/>
      <c r="F35" s="71">
        <v>1.0233799999999999E-2</v>
      </c>
      <c r="G35" s="71"/>
      <c r="H35" s="71">
        <v>1.3733799999999999E-2</v>
      </c>
      <c r="I35" s="71"/>
      <c r="J35" s="71">
        <v>1.67338E-2</v>
      </c>
      <c r="K35" s="71"/>
      <c r="L35" s="71">
        <v>2.6733799999999999E-2</v>
      </c>
      <c r="M35" s="71"/>
      <c r="N35" s="71">
        <v>4.0733800000000001E-2</v>
      </c>
      <c r="O35" s="71"/>
      <c r="P35" s="71">
        <v>4.0733800000000001E-2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0.22180312479045128</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44242</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91</v>
      </c>
      <c r="Y47" s="41"/>
      <c r="Z47" s="79">
        <v>44060</v>
      </c>
      <c r="AA47" s="80"/>
      <c r="AB47" s="79">
        <v>44150</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91</v>
      </c>
      <c r="Y48" s="41"/>
      <c r="Z48" s="79">
        <v>44151</v>
      </c>
      <c r="AA48" s="80"/>
      <c r="AB48" s="79">
        <v>44241</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44241</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359</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599696</v>
      </c>
      <c r="S57" s="241"/>
      <c r="T57" s="240">
        <f>119+410</f>
        <v>529</v>
      </c>
      <c r="U57" s="241"/>
      <c r="V57" s="241">
        <v>16741</v>
      </c>
      <c r="W57" s="241"/>
      <c r="X57" s="241">
        <v>0</v>
      </c>
      <c r="Y57" s="241"/>
      <c r="Z57" s="241">
        <v>0</v>
      </c>
      <c r="AA57" s="241"/>
      <c r="AB57" s="240">
        <f>R57-T57-V57+X57-Z57</f>
        <v>582426</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599696</v>
      </c>
      <c r="S60" s="241"/>
      <c r="T60" s="241">
        <f>T57+T58</f>
        <v>529</v>
      </c>
      <c r="U60" s="241"/>
      <c r="V60" s="241">
        <f>SUM(V57:V59)</f>
        <v>16741</v>
      </c>
      <c r="W60" s="241"/>
      <c r="X60" s="241">
        <f>SUM(X57:X59)</f>
        <v>0</v>
      </c>
      <c r="Y60" s="241"/>
      <c r="Z60" s="241">
        <f>SUM(Z57:Z59)</f>
        <v>0</v>
      </c>
      <c r="AA60" s="241"/>
      <c r="AB60" s="241">
        <f>SUM(AB57:AB59)</f>
        <v>582426</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6</v>
      </c>
      <c r="S63" s="241"/>
      <c r="T63" s="241">
        <v>0</v>
      </c>
      <c r="U63" s="241"/>
      <c r="V63" s="241">
        <v>632</v>
      </c>
      <c r="W63" s="241"/>
      <c r="X63" s="241"/>
      <c r="Y63" s="241"/>
      <c r="Z63" s="241"/>
      <c r="AA63" s="241"/>
      <c r="AB63" s="241">
        <f>+R63+V63</f>
        <v>638</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599702</v>
      </c>
      <c r="S66" s="241"/>
      <c r="T66" s="241"/>
      <c r="U66" s="241"/>
      <c r="V66" s="241"/>
      <c r="W66" s="241"/>
      <c r="X66" s="241"/>
      <c r="Y66" s="241"/>
      <c r="Z66" s="241"/>
      <c r="AA66" s="241"/>
      <c r="AB66" s="241">
        <f>SUM(AB60:AB65)</f>
        <v>583064</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44225</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6</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+T57+V57+Z57-2</f>
        <v>17268</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1353+5445-263-869</f>
        <v>5666</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32+235</f>
        <v>267</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250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2165</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17274</v>
      </c>
      <c r="AA85" s="41"/>
      <c r="AB85" s="100">
        <f>SUM(AB70:AB84)</f>
        <v>8348</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17274</v>
      </c>
      <c r="AA88" s="41"/>
      <c r="AB88" s="100">
        <f>AB85+AB86+AB87</f>
        <v>8348</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-303-26-7</f>
        <v>-336</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-932</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-858</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-83</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-101</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-102</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2</v>
      </c>
      <c r="AA101" s="115"/>
      <c r="AB101" s="101">
        <v>-2</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-2500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-116</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-91</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-250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-15-142</f>
        <v>-157</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-2795</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-638</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-16638</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-17276</v>
      </c>
      <c r="AA131" s="100"/>
      <c r="AB131" s="100">
        <f>SUM(AB89:AB129)</f>
        <v>-8348</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JANUARY 2021</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+'Oct 20'!AB147</f>
        <v>8161.5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-250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7911.5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+'Oct 20'!AB160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+'Oct 20'!AB166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2</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2</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-2</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6</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-6</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638</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638</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+'Oct 20'!AB190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+'Oct 20'!AB198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+'Oct 20'!AB206</f>
        <v>1042</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2357</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2165</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1234</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+'Oct 20'!AB214</f>
        <v>2434</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2357</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2500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2577</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+'Oct 20'!Y221</f>
        <v>0</v>
      </c>
      <c r="Z219" s="101">
        <f>+'Oct 20'!Z221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489400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490070</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-670</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8.2494172494172489</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3.62</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74.939759036144579</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36.42</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60.762376237623762</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32.35</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59.176470588235297</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32.93</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51.155172413793103</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30.83</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JANUARY 2021</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44225</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3.8490000000000003E-2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8.4353674074790479E-3</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3.0054632592520954E-2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1.3920247056037833E-2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16.04</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2.8797636159292449E-2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0.1217</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0</v>
      </c>
      <c r="Z268" s="165">
        <f>+Z320</f>
        <v>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2</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'Oct 20'!Z274+Z273</f>
        <v>6</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3467</v>
      </c>
      <c r="Y287" s="195">
        <f>X287/$X$296</f>
        <v>0.99798503166378816</v>
      </c>
      <c r="Z287" s="110">
        <f t="shared" ref="Z287:Z294" si="2">+Z299+Z311+Z333</f>
        <v>580923</v>
      </c>
      <c r="AA287" s="195">
        <f t="shared" ref="AA287:AA294" si="3">Z287/$Z$296</f>
        <v>0.9974194146552523</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2</v>
      </c>
      <c r="Y288" s="199">
        <f t="shared" ref="Y288:Y294" si="4">X288/$X$296</f>
        <v>5.757052389176742E-4</v>
      </c>
      <c r="Z288" s="200">
        <f t="shared" si="2"/>
        <v>452</v>
      </c>
      <c r="AA288" s="201">
        <f t="shared" si="3"/>
        <v>7.7606425537321479E-4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1</v>
      </c>
      <c r="Y289" s="203">
        <f t="shared" si="4"/>
        <v>2.878526194588371E-4</v>
      </c>
      <c r="Z289" s="134">
        <f t="shared" si="2"/>
        <v>340</v>
      </c>
      <c r="AA289" s="201">
        <f t="shared" si="3"/>
        <v>5.8376514784710845E-4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0</v>
      </c>
      <c r="Y291" s="203">
        <f t="shared" si="4"/>
        <v>0</v>
      </c>
      <c r="Z291" s="134">
        <f t="shared" si="2"/>
        <v>0</v>
      </c>
      <c r="AA291" s="201">
        <f t="shared" si="3"/>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1</v>
      </c>
      <c r="Y292" s="203">
        <f t="shared" si="4"/>
        <v>2.878526194588371E-4</v>
      </c>
      <c r="Z292" s="134">
        <f t="shared" si="2"/>
        <v>183</v>
      </c>
      <c r="AA292" s="201">
        <f t="shared" si="3"/>
        <v>3.1420300604712015E-4</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3</v>
      </c>
      <c r="Y293" s="205">
        <f t="shared" si="4"/>
        <v>8.6355785837651119E-4</v>
      </c>
      <c r="Z293" s="206">
        <f t="shared" si="2"/>
        <v>528</v>
      </c>
      <c r="AA293" s="201">
        <f t="shared" si="3"/>
        <v>9.0655293548021557E-4</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3474</v>
      </c>
      <c r="Y296" s="201">
        <f>SUM(Y287:Y295)</f>
        <v>1</v>
      </c>
      <c r="Z296" s="101">
        <f>SUM(Z287:Z295)</f>
        <v>582426</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3467</v>
      </c>
      <c r="Y299" s="195">
        <f>X299/$X$308</f>
        <v>0.99798503166378816</v>
      </c>
      <c r="Z299" s="110">
        <v>580923</v>
      </c>
      <c r="AA299" s="195">
        <f>Z299/$Z$308</f>
        <v>0.9974194146552523</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2</v>
      </c>
      <c r="Y300" s="201">
        <f t="shared" ref="Y300:Y306" si="5">X300/$X$308</f>
        <v>5.757052389176742E-4</v>
      </c>
      <c r="Z300" s="101">
        <v>452</v>
      </c>
      <c r="AA300" s="201">
        <f t="shared" ref="AA300:AA306" si="6">Z300/$Z$308</f>
        <v>7.7606425537321479E-4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1</v>
      </c>
      <c r="Y301" s="201">
        <f t="shared" si="5"/>
        <v>2.878526194588371E-4</v>
      </c>
      <c r="Z301" s="101">
        <v>340</v>
      </c>
      <c r="AA301" s="201">
        <f t="shared" si="6"/>
        <v>5.8376514784710845E-4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1</v>
      </c>
      <c r="Y304" s="201">
        <f t="shared" si="5"/>
        <v>2.878526194588371E-4</v>
      </c>
      <c r="Z304" s="101">
        <v>183</v>
      </c>
      <c r="AA304" s="201">
        <f t="shared" si="6"/>
        <v>3.1420300604712015E-4</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3</v>
      </c>
      <c r="Y305" s="201">
        <f>X305/$X$308</f>
        <v>8.6355785837651119E-4</v>
      </c>
      <c r="Z305" s="101">
        <v>528</v>
      </c>
      <c r="AA305" s="201">
        <f t="shared" si="6"/>
        <v>9.0655293548021557E-4</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3474</v>
      </c>
      <c r="Y308" s="201">
        <f>SUM(Y299:Y307)</f>
        <v>1</v>
      </c>
      <c r="Z308" s="101">
        <f>SUM(Z299:Z307)</f>
        <v>582426</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0</v>
      </c>
      <c r="Y320" s="201">
        <f>SUM(Y311:Y319)</f>
        <v>0</v>
      </c>
      <c r="Z320" s="101">
        <f>SUM(Z311:Z319)</f>
        <v>0</v>
      </c>
      <c r="AA320" s="201">
        <f>SUM(AA311:AA319)</f>
        <v>0</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74">
        <v>0</v>
      </c>
      <c r="Z328" s="275">
        <v>0</v>
      </c>
      <c r="AA328" s="274">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0</v>
      </c>
      <c r="Y330" s="274">
        <f>SUM(Y323:Y328)</f>
        <v>0</v>
      </c>
      <c r="Z330" s="275">
        <f>SUM(Z323:Z328)</f>
        <v>0</v>
      </c>
      <c r="AA330" s="274">
        <f>SUM(AA323:AA329)</f>
        <v>0</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243" t="s">
        <v>324</v>
      </c>
      <c r="B344" s="244" t="s">
        <v>325</v>
      </c>
      <c r="C344" s="245"/>
      <c r="D344" s="245"/>
      <c r="E344" s="245"/>
      <c r="F344" s="245"/>
      <c r="G344" s="245"/>
      <c r="H344" s="246"/>
      <c r="I344" s="246"/>
      <c r="J344" s="246"/>
      <c r="K344" s="246"/>
      <c r="L344" s="246"/>
      <c r="M344" s="246"/>
      <c r="N344" s="246"/>
      <c r="O344" s="246"/>
      <c r="P344" s="262"/>
      <c r="Q344" s="262"/>
      <c r="R344" s="262"/>
      <c r="S344" s="262"/>
      <c r="T344" s="262"/>
      <c r="U344" s="262"/>
      <c r="V344" s="262"/>
      <c r="W344" s="262"/>
      <c r="X344" s="157" t="s">
        <v>69</v>
      </c>
      <c r="Y344" s="106" t="s">
        <v>70</v>
      </c>
      <c r="Z344" s="157" t="s">
        <v>75</v>
      </c>
      <c r="AA344" s="106" t="s">
        <v>70</v>
      </c>
      <c r="AB344" s="244" t="s">
        <v>349</v>
      </c>
      <c r="AC344" s="37"/>
      <c r="AD344" s="22"/>
    </row>
    <row r="345" spans="1:30" s="23" customFormat="1" x14ac:dyDescent="0.3">
      <c r="A345" s="247"/>
      <c r="B345" s="248" t="s">
        <v>59</v>
      </c>
      <c r="C345" s="249"/>
      <c r="D345" s="249"/>
      <c r="E345" s="249"/>
      <c r="F345" s="249"/>
      <c r="G345" s="249"/>
      <c r="H345" s="250"/>
      <c r="I345" s="250"/>
      <c r="J345" s="250"/>
      <c r="K345" s="250"/>
      <c r="L345" s="250"/>
      <c r="M345" s="250"/>
      <c r="N345" s="250"/>
      <c r="O345" s="250"/>
      <c r="P345" s="261"/>
      <c r="Q345" s="261"/>
      <c r="R345" s="261"/>
      <c r="S345" s="261"/>
      <c r="T345" s="261"/>
      <c r="U345" s="261"/>
      <c r="V345" s="261"/>
      <c r="W345" s="261"/>
      <c r="X345" s="109">
        <v>27</v>
      </c>
      <c r="Y345" s="195">
        <f>+X345/X354</f>
        <v>1</v>
      </c>
      <c r="Z345" s="110">
        <v>5154</v>
      </c>
      <c r="AA345" s="195">
        <f>+Z345/Z354</f>
        <v>1</v>
      </c>
      <c r="AB345" s="38"/>
      <c r="AC345" s="44"/>
      <c r="AD345" s="22"/>
    </row>
    <row r="346" spans="1:30" s="23" customFormat="1" x14ac:dyDescent="0.3">
      <c r="A346" s="251"/>
      <c r="B346" s="252" t="s">
        <v>60</v>
      </c>
      <c r="C346" s="253"/>
      <c r="D346" s="253"/>
      <c r="E346" s="253"/>
      <c r="F346" s="253"/>
      <c r="G346" s="253"/>
      <c r="H346" s="254"/>
      <c r="I346" s="254"/>
      <c r="J346" s="254"/>
      <c r="K346" s="254"/>
      <c r="L346" s="254"/>
      <c r="M346" s="254"/>
      <c r="N346" s="254"/>
      <c r="O346" s="254"/>
      <c r="P346" s="207"/>
      <c r="Q346" s="207"/>
      <c r="R346" s="207"/>
      <c r="S346" s="207"/>
      <c r="T346" s="207"/>
      <c r="U346" s="207"/>
      <c r="V346" s="207"/>
      <c r="W346" s="207"/>
      <c r="X346" s="100">
        <v>0</v>
      </c>
      <c r="Y346" s="263">
        <f>+X346/X354</f>
        <v>0</v>
      </c>
      <c r="Z346" s="101">
        <v>0</v>
      </c>
      <c r="AA346" s="201">
        <f>+Z346/Z354</f>
        <v>0</v>
      </c>
      <c r="AB346" s="41"/>
      <c r="AC346" s="44"/>
      <c r="AD346" s="22"/>
    </row>
    <row r="347" spans="1:30" s="23" customFormat="1" x14ac:dyDescent="0.3">
      <c r="A347" s="251"/>
      <c r="B347" s="252" t="s">
        <v>61</v>
      </c>
      <c r="C347" s="253"/>
      <c r="D347" s="253"/>
      <c r="E347" s="253"/>
      <c r="F347" s="253"/>
      <c r="G347" s="253"/>
      <c r="H347" s="254"/>
      <c r="I347" s="254"/>
      <c r="J347" s="254"/>
      <c r="K347" s="254"/>
      <c r="L347" s="254"/>
      <c r="M347" s="254"/>
      <c r="N347" s="254"/>
      <c r="O347" s="254"/>
      <c r="P347" s="207"/>
      <c r="Q347" s="207"/>
      <c r="R347" s="207"/>
      <c r="S347" s="207"/>
      <c r="T347" s="207"/>
      <c r="U347" s="207"/>
      <c r="V347" s="207"/>
      <c r="W347" s="207"/>
      <c r="X347" s="100">
        <v>0</v>
      </c>
      <c r="Y347" s="263">
        <f>+X347/X354</f>
        <v>0</v>
      </c>
      <c r="Z347" s="101">
        <v>0</v>
      </c>
      <c r="AA347" s="201">
        <f>+Z347/Z354</f>
        <v>0</v>
      </c>
      <c r="AB347" s="41"/>
      <c r="AC347" s="44"/>
      <c r="AD347" s="22"/>
    </row>
    <row r="348" spans="1:30" s="23" customFormat="1" x14ac:dyDescent="0.3">
      <c r="A348" s="251"/>
      <c r="B348" s="252" t="s">
        <v>100</v>
      </c>
      <c r="C348" s="253"/>
      <c r="D348" s="253"/>
      <c r="E348" s="253"/>
      <c r="F348" s="253"/>
      <c r="G348" s="253"/>
      <c r="H348" s="254"/>
      <c r="I348" s="254"/>
      <c r="J348" s="254"/>
      <c r="K348" s="254"/>
      <c r="L348" s="254"/>
      <c r="M348" s="254"/>
      <c r="N348" s="254"/>
      <c r="O348" s="254"/>
      <c r="P348" s="207"/>
      <c r="Q348" s="207"/>
      <c r="R348" s="207"/>
      <c r="S348" s="207"/>
      <c r="T348" s="207"/>
      <c r="U348" s="207"/>
      <c r="V348" s="207"/>
      <c r="W348" s="207"/>
      <c r="X348" s="100">
        <v>0</v>
      </c>
      <c r="Y348" s="263">
        <f>+X348/X354</f>
        <v>0</v>
      </c>
      <c r="Z348" s="101">
        <v>0</v>
      </c>
      <c r="AA348" s="201">
        <f>+Z348/Z354</f>
        <v>0</v>
      </c>
      <c r="AB348" s="41"/>
      <c r="AC348" s="44"/>
      <c r="AD348" s="22"/>
    </row>
    <row r="349" spans="1:30" s="23" customFormat="1" x14ac:dyDescent="0.3">
      <c r="A349" s="251"/>
      <c r="B349" s="252" t="s">
        <v>101</v>
      </c>
      <c r="C349" s="253"/>
      <c r="D349" s="253"/>
      <c r="E349" s="253"/>
      <c r="F349" s="253"/>
      <c r="G349" s="253"/>
      <c r="H349" s="254"/>
      <c r="I349" s="254"/>
      <c r="J349" s="254"/>
      <c r="K349" s="254"/>
      <c r="L349" s="254"/>
      <c r="M349" s="254"/>
      <c r="N349" s="254"/>
      <c r="O349" s="254"/>
      <c r="P349" s="207"/>
      <c r="Q349" s="207"/>
      <c r="R349" s="207"/>
      <c r="S349" s="207"/>
      <c r="T349" s="207"/>
      <c r="U349" s="207"/>
      <c r="V349" s="207"/>
      <c r="W349" s="207"/>
      <c r="X349" s="100">
        <v>0</v>
      </c>
      <c r="Y349" s="263">
        <f>+X349/X354</f>
        <v>0</v>
      </c>
      <c r="Z349" s="101">
        <v>0</v>
      </c>
      <c r="AA349" s="201">
        <f>+Z349/Z354</f>
        <v>0</v>
      </c>
      <c r="AB349" s="41"/>
      <c r="AC349" s="44"/>
      <c r="AD349" s="22"/>
    </row>
    <row r="350" spans="1:30" s="23" customFormat="1" x14ac:dyDescent="0.3">
      <c r="A350" s="251"/>
      <c r="B350" s="252" t="s">
        <v>102</v>
      </c>
      <c r="C350" s="253"/>
      <c r="D350" s="253"/>
      <c r="E350" s="253"/>
      <c r="F350" s="253"/>
      <c r="G350" s="253"/>
      <c r="H350" s="254"/>
      <c r="I350" s="254"/>
      <c r="J350" s="254"/>
      <c r="K350" s="254"/>
      <c r="L350" s="254"/>
      <c r="M350" s="254"/>
      <c r="N350" s="254"/>
      <c r="O350" s="254"/>
      <c r="P350" s="207"/>
      <c r="Q350" s="207"/>
      <c r="R350" s="207"/>
      <c r="S350" s="207"/>
      <c r="T350" s="207"/>
      <c r="U350" s="207"/>
      <c r="V350" s="207"/>
      <c r="W350" s="207"/>
      <c r="X350" s="100">
        <v>0</v>
      </c>
      <c r="Y350" s="263">
        <f>+X350/X354</f>
        <v>0</v>
      </c>
      <c r="Z350" s="101">
        <v>0</v>
      </c>
      <c r="AA350" s="201">
        <f>+Z350/Z354</f>
        <v>0</v>
      </c>
      <c r="AB350" s="41"/>
      <c r="AC350" s="44"/>
      <c r="AD350" s="22"/>
    </row>
    <row r="351" spans="1:30" s="23" customFormat="1" x14ac:dyDescent="0.3">
      <c r="A351" s="251"/>
      <c r="B351" s="252" t="s">
        <v>103</v>
      </c>
      <c r="C351" s="253"/>
      <c r="D351" s="253"/>
      <c r="E351" s="253"/>
      <c r="F351" s="253"/>
      <c r="G351" s="253"/>
      <c r="H351" s="254"/>
      <c r="I351" s="254"/>
      <c r="J351" s="254"/>
      <c r="K351" s="254"/>
      <c r="L351" s="254"/>
      <c r="M351" s="254"/>
      <c r="N351" s="254"/>
      <c r="O351" s="254"/>
      <c r="P351" s="207"/>
      <c r="Q351" s="207"/>
      <c r="R351" s="207"/>
      <c r="S351" s="207"/>
      <c r="T351" s="207"/>
      <c r="U351" s="207"/>
      <c r="V351" s="207"/>
      <c r="W351" s="207"/>
      <c r="X351" s="100">
        <v>0</v>
      </c>
      <c r="Y351" s="263">
        <f>+X351/X354</f>
        <v>0</v>
      </c>
      <c r="Z351" s="101">
        <v>0</v>
      </c>
      <c r="AA351" s="201">
        <f>+Z351/Z354</f>
        <v>0</v>
      </c>
      <c r="AB351" s="41"/>
      <c r="AC351" s="44"/>
      <c r="AD351" s="22"/>
    </row>
    <row r="352" spans="1:30" s="23" customFormat="1" x14ac:dyDescent="0.3">
      <c r="A352" s="251"/>
      <c r="B352" s="252" t="s">
        <v>104</v>
      </c>
      <c r="C352" s="253"/>
      <c r="D352" s="253"/>
      <c r="E352" s="253"/>
      <c r="F352" s="253"/>
      <c r="G352" s="253"/>
      <c r="H352" s="254"/>
      <c r="I352" s="254"/>
      <c r="J352" s="254"/>
      <c r="K352" s="254"/>
      <c r="L352" s="254"/>
      <c r="M352" s="254"/>
      <c r="N352" s="254"/>
      <c r="O352" s="254"/>
      <c r="P352" s="207"/>
      <c r="Q352" s="207"/>
      <c r="R352" s="207"/>
      <c r="S352" s="207"/>
      <c r="T352" s="207"/>
      <c r="U352" s="207"/>
      <c r="V352" s="207"/>
      <c r="W352" s="207"/>
      <c r="X352" s="100">
        <v>0</v>
      </c>
      <c r="Y352" s="195">
        <f>+X352/X354</f>
        <v>0</v>
      </c>
      <c r="Z352" s="101">
        <v>0</v>
      </c>
      <c r="AA352" s="201">
        <f>+Z352/Z354</f>
        <v>0</v>
      </c>
      <c r="AB352" s="41"/>
      <c r="AC352" s="44"/>
      <c r="AD352" s="22"/>
    </row>
    <row r="353" spans="1:30" s="23" customFormat="1" x14ac:dyDescent="0.3">
      <c r="A353" s="251"/>
      <c r="B353" s="252"/>
      <c r="C353" s="253"/>
      <c r="D353" s="253"/>
      <c r="E353" s="253"/>
      <c r="F353" s="253"/>
      <c r="G353" s="253"/>
      <c r="H353" s="254"/>
      <c r="I353" s="254"/>
      <c r="J353" s="254"/>
      <c r="K353" s="254"/>
      <c r="L353" s="254"/>
      <c r="M353" s="254"/>
      <c r="N353" s="254"/>
      <c r="O353" s="254"/>
      <c r="P353" s="207"/>
      <c r="Q353" s="207"/>
      <c r="R353" s="207"/>
      <c r="S353" s="207"/>
      <c r="T353" s="207"/>
      <c r="U353" s="207"/>
      <c r="V353" s="207"/>
      <c r="W353" s="207"/>
      <c r="X353" s="100"/>
      <c r="Y353" s="201"/>
      <c r="Z353" s="101"/>
      <c r="AA353" s="201"/>
      <c r="AB353" s="41"/>
      <c r="AC353" s="44"/>
      <c r="AD353" s="22"/>
    </row>
    <row r="354" spans="1:30" s="23" customFormat="1" x14ac:dyDescent="0.3">
      <c r="A354" s="251"/>
      <c r="B354" s="253" t="s">
        <v>80</v>
      </c>
      <c r="C354" s="253"/>
      <c r="D354" s="253"/>
      <c r="E354" s="253"/>
      <c r="F354" s="253"/>
      <c r="G354" s="253"/>
      <c r="H354" s="254"/>
      <c r="I354" s="254"/>
      <c r="J354" s="254"/>
      <c r="K354" s="254"/>
      <c r="L354" s="254"/>
      <c r="M354" s="254"/>
      <c r="N354" s="254"/>
      <c r="O354" s="254"/>
      <c r="P354" s="207"/>
      <c r="Q354" s="207"/>
      <c r="R354" s="207"/>
      <c r="S354" s="207"/>
      <c r="T354" s="207"/>
      <c r="U354" s="207"/>
      <c r="V354" s="207"/>
      <c r="W354" s="207"/>
      <c r="X354" s="284">
        <f>SUM(X345:X352)</f>
        <v>27</v>
      </c>
      <c r="Y354" s="205">
        <f>SUM(Y345:Y352)</f>
        <v>1</v>
      </c>
      <c r="Z354" s="285">
        <f>SUM(Z345:Z352)</f>
        <v>5154</v>
      </c>
      <c r="AA354" s="205">
        <f>SUM(AA345:AA352)</f>
        <v>1</v>
      </c>
      <c r="AB354" s="286"/>
      <c r="AC354" s="44"/>
      <c r="AD354" s="22"/>
    </row>
    <row r="355" spans="1:30" s="268" customFormat="1" ht="16.2" thickBot="1" x14ac:dyDescent="0.35">
      <c r="A355" s="251"/>
      <c r="B355" s="253" t="s">
        <v>343</v>
      </c>
      <c r="C355" s="253"/>
      <c r="D355" s="253"/>
      <c r="E355" s="253"/>
      <c r="F355" s="253"/>
      <c r="G355" s="253"/>
      <c r="H355" s="254"/>
      <c r="I355" s="254"/>
      <c r="J355" s="254"/>
      <c r="K355" s="254"/>
      <c r="L355" s="254"/>
      <c r="M355" s="254"/>
      <c r="N355" s="254"/>
      <c r="O355" s="254"/>
      <c r="P355" s="272"/>
      <c r="Q355" s="272"/>
      <c r="R355" s="272"/>
      <c r="S355" s="272"/>
      <c r="T355" s="272"/>
      <c r="U355" s="272"/>
      <c r="V355" s="272"/>
      <c r="W355" s="272"/>
      <c r="X355" s="291"/>
      <c r="Y355" s="291">
        <f>X354/X359</f>
        <v>7.7720207253886009E-3</v>
      </c>
      <c r="Z355" s="292"/>
      <c r="AA355" s="291">
        <f>Z354/Z359</f>
        <v>8.8491928588352847E-3</v>
      </c>
      <c r="AB355" s="293"/>
      <c r="AC355" s="276"/>
      <c r="AD355" s="267"/>
    </row>
    <row r="356" spans="1:30" s="268" customFormat="1" ht="16.2" thickTop="1" x14ac:dyDescent="0.3">
      <c r="A356" s="251"/>
      <c r="B356" s="253" t="s">
        <v>347</v>
      </c>
      <c r="C356" s="253"/>
      <c r="D356" s="253"/>
      <c r="E356" s="253"/>
      <c r="F356" s="253"/>
      <c r="G356" s="253"/>
      <c r="H356" s="254"/>
      <c r="I356" s="254"/>
      <c r="J356" s="254"/>
      <c r="K356" s="254"/>
      <c r="L356" s="254"/>
      <c r="M356" s="254"/>
      <c r="N356" s="254"/>
      <c r="O356" s="254"/>
      <c r="P356" s="272"/>
      <c r="Q356" s="272"/>
      <c r="R356" s="272"/>
      <c r="S356" s="272"/>
      <c r="T356" s="272"/>
      <c r="U356" s="272"/>
      <c r="V356" s="272"/>
      <c r="W356" s="272"/>
      <c r="X356" s="294">
        <v>3</v>
      </c>
      <c r="Y356" s="295">
        <f>+X356/X354</f>
        <v>0.1111111111111111</v>
      </c>
      <c r="Z356" s="296">
        <v>492</v>
      </c>
      <c r="AA356" s="295">
        <f>+Z356/Z354</f>
        <v>9.5459837019790453E-2</v>
      </c>
      <c r="AB356" s="297">
        <v>0.63440860215053763</v>
      </c>
      <c r="AC356" s="276"/>
      <c r="AD356" s="267"/>
    </row>
    <row r="357" spans="1:30" s="268" customFormat="1" ht="16.2" thickBot="1" x14ac:dyDescent="0.35">
      <c r="A357" s="251"/>
      <c r="B357" s="253" t="s">
        <v>348</v>
      </c>
      <c r="C357" s="253"/>
      <c r="D357" s="253"/>
      <c r="E357" s="253"/>
      <c r="F357" s="253"/>
      <c r="G357" s="253"/>
      <c r="H357" s="254"/>
      <c r="I357" s="254"/>
      <c r="J357" s="254"/>
      <c r="K357" s="254"/>
      <c r="L357" s="254"/>
      <c r="M357" s="254"/>
      <c r="N357" s="254"/>
      <c r="O357" s="254"/>
      <c r="P357" s="272"/>
      <c r="Q357" s="272"/>
      <c r="R357" s="272"/>
      <c r="S357" s="272"/>
      <c r="T357" s="272"/>
      <c r="U357" s="272"/>
      <c r="V357" s="272"/>
      <c r="W357" s="272"/>
      <c r="X357" s="287">
        <v>24</v>
      </c>
      <c r="Y357" s="288">
        <f>+X357/X354</f>
        <v>0.88888888888888884</v>
      </c>
      <c r="Z357" s="289">
        <v>4662</v>
      </c>
      <c r="AA357" s="288">
        <f>+Z357/Z354</f>
        <v>0.90454016298020956</v>
      </c>
      <c r="AB357" s="290">
        <v>0.39247311827956988</v>
      </c>
      <c r="AC357" s="276"/>
      <c r="AD357" s="267"/>
    </row>
    <row r="358" spans="1:30" s="23" customFormat="1" ht="16.2" thickTop="1" x14ac:dyDescent="0.3">
      <c r="A358" s="48"/>
      <c r="B358" s="41"/>
      <c r="C358" s="41"/>
      <c r="D358" s="207"/>
      <c r="E358" s="207"/>
      <c r="F358" s="207"/>
      <c r="G358" s="207"/>
      <c r="H358" s="207"/>
      <c r="I358" s="207"/>
      <c r="J358" s="207"/>
      <c r="K358" s="207"/>
      <c r="L358" s="207"/>
      <c r="M358" s="207"/>
      <c r="N358" s="207"/>
      <c r="O358" s="207"/>
      <c r="P358" s="207"/>
      <c r="Q358" s="207"/>
      <c r="R358" s="207"/>
      <c r="S358" s="207"/>
      <c r="T358" s="207"/>
      <c r="U358" s="207"/>
      <c r="V358" s="207"/>
      <c r="W358" s="207"/>
      <c r="X358" s="284"/>
      <c r="Y358" s="205"/>
      <c r="Z358" s="285"/>
      <c r="AA358" s="205"/>
      <c r="AB358" s="286"/>
      <c r="AC358" s="44"/>
      <c r="AD358" s="22"/>
    </row>
    <row r="359" spans="1:30" s="23" customFormat="1" x14ac:dyDescent="0.3">
      <c r="A359" s="48"/>
      <c r="B359" s="45" t="s">
        <v>139</v>
      </c>
      <c r="C359" s="41"/>
      <c r="D359" s="207"/>
      <c r="E359" s="207"/>
      <c r="F359" s="207"/>
      <c r="G359" s="207"/>
      <c r="H359" s="207"/>
      <c r="I359" s="207"/>
      <c r="J359" s="207"/>
      <c r="K359" s="207"/>
      <c r="L359" s="207"/>
      <c r="M359" s="207"/>
      <c r="N359" s="207"/>
      <c r="O359" s="207"/>
      <c r="P359" s="207"/>
      <c r="Q359" s="207"/>
      <c r="R359" s="207"/>
      <c r="S359" s="207"/>
      <c r="T359" s="207"/>
      <c r="U359" s="207"/>
      <c r="V359" s="207"/>
      <c r="W359" s="207"/>
      <c r="X359" s="213">
        <f>X342+X320+X308</f>
        <v>3474</v>
      </c>
      <c r="Y359" s="201"/>
      <c r="Z359" s="214">
        <f>+Z342+Z320+Z308</f>
        <v>582426</v>
      </c>
      <c r="AA359" s="201"/>
      <c r="AB359" s="41"/>
      <c r="AC359" s="44"/>
      <c r="AD359" s="22"/>
    </row>
    <row r="360" spans="1:30" s="23" customFormat="1" x14ac:dyDescent="0.3">
      <c r="A360" s="48"/>
      <c r="B360" s="45" t="s">
        <v>253</v>
      </c>
      <c r="C360" s="45"/>
      <c r="D360" s="215"/>
      <c r="E360" s="215"/>
      <c r="F360" s="215"/>
      <c r="G360" s="215"/>
      <c r="H360" s="215"/>
      <c r="I360" s="215"/>
      <c r="J360" s="215"/>
      <c r="K360" s="215"/>
      <c r="L360" s="215"/>
      <c r="M360" s="215"/>
      <c r="N360" s="215"/>
      <c r="O360" s="215"/>
      <c r="P360" s="215"/>
      <c r="Q360" s="215"/>
      <c r="R360" s="215"/>
      <c r="S360" s="215"/>
      <c r="T360" s="215"/>
      <c r="U360" s="215"/>
      <c r="V360" s="215"/>
      <c r="W360" s="215"/>
      <c r="X360" s="213"/>
      <c r="Y360" s="216"/>
      <c r="Z360" s="214">
        <f>+AB63+AB64</f>
        <v>638</v>
      </c>
      <c r="AA360" s="201"/>
      <c r="AB360" s="41"/>
      <c r="AC360" s="44"/>
      <c r="AD360" s="22"/>
    </row>
    <row r="361" spans="1:30" s="23" customFormat="1" x14ac:dyDescent="0.3">
      <c r="A361" s="48"/>
      <c r="B361" s="45" t="s">
        <v>107</v>
      </c>
      <c r="C361" s="45"/>
      <c r="D361" s="215"/>
      <c r="E361" s="215"/>
      <c r="F361" s="215"/>
      <c r="G361" s="215"/>
      <c r="H361" s="215"/>
      <c r="I361" s="215"/>
      <c r="J361" s="215"/>
      <c r="K361" s="215"/>
      <c r="L361" s="215"/>
      <c r="M361" s="215"/>
      <c r="N361" s="215"/>
      <c r="O361" s="215"/>
      <c r="P361" s="215"/>
      <c r="Q361" s="215"/>
      <c r="R361" s="215"/>
      <c r="S361" s="215"/>
      <c r="T361" s="215"/>
      <c r="U361" s="215"/>
      <c r="V361" s="215"/>
      <c r="W361" s="215"/>
      <c r="X361" s="213"/>
      <c r="Y361" s="216"/>
      <c r="Z361" s="214">
        <f>+Z359+Z360</f>
        <v>583064</v>
      </c>
      <c r="AA361" s="201"/>
      <c r="AB361" s="41"/>
      <c r="AC361" s="44"/>
      <c r="AD361" s="22"/>
    </row>
    <row r="362" spans="1:30" s="23" customFormat="1" x14ac:dyDescent="0.3">
      <c r="A362" s="48"/>
      <c r="B362" s="45" t="s">
        <v>275</v>
      </c>
      <c r="C362" s="41"/>
      <c r="D362" s="207"/>
      <c r="E362" s="207"/>
      <c r="F362" s="207"/>
      <c r="G362" s="207"/>
      <c r="H362" s="207"/>
      <c r="I362" s="207"/>
      <c r="J362" s="207"/>
      <c r="K362" s="207"/>
      <c r="L362" s="207"/>
      <c r="M362" s="207"/>
      <c r="N362" s="207"/>
      <c r="O362" s="207"/>
      <c r="P362" s="207"/>
      <c r="Q362" s="207"/>
      <c r="R362" s="207"/>
      <c r="S362" s="207"/>
      <c r="T362" s="207"/>
      <c r="U362" s="207"/>
      <c r="V362" s="207"/>
      <c r="W362" s="207"/>
      <c r="X362" s="213"/>
      <c r="Y362" s="201"/>
      <c r="Z362" s="214">
        <f>+AB66</f>
        <v>583064</v>
      </c>
      <c r="AA362" s="201"/>
      <c r="AB362" s="41"/>
      <c r="AC362" s="44"/>
      <c r="AD362" s="22"/>
    </row>
    <row r="363" spans="1:30" s="23" customFormat="1" x14ac:dyDescent="0.3">
      <c r="A363" s="48"/>
      <c r="B363" s="45"/>
      <c r="C363" s="41"/>
      <c r="D363" s="207"/>
      <c r="E363" s="207"/>
      <c r="F363" s="207"/>
      <c r="G363" s="207"/>
      <c r="H363" s="207"/>
      <c r="I363" s="207"/>
      <c r="J363" s="207"/>
      <c r="K363" s="207"/>
      <c r="L363" s="207"/>
      <c r="M363" s="207"/>
      <c r="N363" s="207"/>
      <c r="O363" s="207"/>
      <c r="P363" s="207"/>
      <c r="Q363" s="207"/>
      <c r="R363" s="207"/>
      <c r="S363" s="207"/>
      <c r="T363" s="207"/>
      <c r="U363" s="207"/>
      <c r="V363" s="207"/>
      <c r="W363" s="207"/>
      <c r="X363" s="213"/>
      <c r="Y363" s="201"/>
      <c r="Z363" s="214"/>
      <c r="AA363" s="201"/>
      <c r="AB363" s="41"/>
      <c r="AC363" s="44"/>
      <c r="AD363" s="22"/>
    </row>
    <row r="364" spans="1:30" s="23" customFormat="1" x14ac:dyDescent="0.3">
      <c r="A364" s="48"/>
      <c r="B364" s="45" t="s">
        <v>318</v>
      </c>
      <c r="C364" s="41"/>
      <c r="D364" s="207"/>
      <c r="E364" s="207"/>
      <c r="F364" s="207"/>
      <c r="G364" s="207"/>
      <c r="H364" s="207"/>
      <c r="I364" s="207"/>
      <c r="J364" s="207"/>
      <c r="K364" s="207"/>
      <c r="L364" s="207"/>
      <c r="M364" s="207"/>
      <c r="N364" s="207"/>
      <c r="O364" s="207"/>
      <c r="P364" s="207"/>
      <c r="Q364" s="207"/>
      <c r="R364" s="207"/>
      <c r="S364" s="207"/>
      <c r="T364" s="207"/>
      <c r="U364" s="207"/>
      <c r="V364" s="207"/>
      <c r="W364" s="207"/>
      <c r="X364" s="213"/>
      <c r="Y364" s="201"/>
      <c r="Z364" s="239">
        <f>(D30*0.375+F30*0.05+H30*0.05+J30+L30)/AB30</f>
        <v>0.38499890235034234</v>
      </c>
      <c r="AA364" s="201"/>
      <c r="AB364" s="41"/>
      <c r="AC364" s="44"/>
      <c r="AD364" s="22"/>
    </row>
    <row r="365" spans="1:30" s="23" customFormat="1" x14ac:dyDescent="0.3">
      <c r="A365" s="18"/>
      <c r="B365" s="20"/>
      <c r="C365" s="20"/>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8"/>
      <c r="AA365" s="217"/>
      <c r="AB365" s="20"/>
      <c r="AC365" s="21"/>
      <c r="AD365" s="22"/>
    </row>
    <row r="366" spans="1:30" s="23" customFormat="1" x14ac:dyDescent="0.3">
      <c r="A366" s="18"/>
      <c r="B366" s="19" t="s">
        <v>62</v>
      </c>
      <c r="C366" s="20"/>
      <c r="D366" s="219" t="s">
        <v>66</v>
      </c>
      <c r="E366" s="19"/>
      <c r="F366" s="19" t="s">
        <v>67</v>
      </c>
      <c r="G366" s="20"/>
      <c r="H366" s="19"/>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20" t="s">
        <v>122</v>
      </c>
      <c r="E368" s="19"/>
      <c r="F368" s="19" t="s">
        <v>170</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t="s">
        <v>153</v>
      </c>
      <c r="C369" s="19"/>
      <c r="D369" s="220" t="s">
        <v>98</v>
      </c>
      <c r="E369" s="19"/>
      <c r="F369" s="19" t="s">
        <v>171</v>
      </c>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19"/>
      <c r="C370" s="19"/>
      <c r="D370" s="220"/>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s="23" customFormat="1" x14ac:dyDescent="0.3">
      <c r="A371" s="18"/>
      <c r="B371" s="255" t="s">
        <v>337</v>
      </c>
      <c r="C371" s="256"/>
      <c r="D371" s="256"/>
      <c r="E371" s="256"/>
      <c r="F371" s="257"/>
      <c r="G371" s="256"/>
      <c r="H371" s="258"/>
      <c r="I371" s="255"/>
      <c r="J371" s="255"/>
      <c r="K371" s="255"/>
      <c r="L371" s="255"/>
      <c r="M371" s="255"/>
      <c r="N371" s="255"/>
      <c r="O371" s="255"/>
      <c r="P371" s="255"/>
      <c r="Q371" s="20"/>
      <c r="R371" s="20"/>
      <c r="S371" s="20"/>
      <c r="T371" s="20"/>
      <c r="U371" s="20"/>
      <c r="V371" s="20"/>
      <c r="W371" s="20"/>
      <c r="X371" s="20"/>
      <c r="Y371" s="20"/>
      <c r="Z371" s="20"/>
      <c r="AA371" s="20"/>
      <c r="AB371" s="20"/>
      <c r="AC371" s="21"/>
      <c r="AD371" s="22"/>
    </row>
    <row r="372" spans="1:30" s="23" customFormat="1" x14ac:dyDescent="0.3">
      <c r="A372" s="18"/>
      <c r="B372" s="256"/>
      <c r="C372" s="256"/>
      <c r="D372" s="256"/>
      <c r="E372" s="256"/>
      <c r="F372" s="257"/>
      <c r="G372" s="256"/>
      <c r="H372" s="258"/>
      <c r="I372" s="255"/>
      <c r="J372" s="255"/>
      <c r="K372" s="255"/>
      <c r="L372" s="255"/>
      <c r="M372" s="255"/>
      <c r="N372" s="255"/>
      <c r="O372" s="255"/>
      <c r="P372" s="255"/>
      <c r="Q372" s="20"/>
      <c r="R372" s="20"/>
      <c r="S372" s="20"/>
      <c r="T372" s="20"/>
      <c r="U372" s="20"/>
      <c r="V372" s="20"/>
      <c r="W372" s="20"/>
      <c r="X372" s="20"/>
      <c r="Y372" s="20"/>
      <c r="Z372" s="20"/>
      <c r="AA372" s="20"/>
      <c r="AB372" s="20"/>
      <c r="AC372" s="21"/>
      <c r="AD372" s="22"/>
    </row>
    <row r="373" spans="1:30" s="23" customFormat="1" ht="18" x14ac:dyDescent="0.35">
      <c r="A373" s="18"/>
      <c r="B373" s="259" t="s">
        <v>109</v>
      </c>
      <c r="C373" s="256"/>
      <c r="D373" s="256"/>
      <c r="E373" s="256"/>
      <c r="F373" s="257"/>
      <c r="G373" s="256"/>
      <c r="H373" s="258"/>
      <c r="I373" s="255"/>
      <c r="J373" s="255"/>
      <c r="K373" s="255"/>
      <c r="L373" s="255"/>
      <c r="M373" s="255"/>
      <c r="N373" s="255"/>
      <c r="O373" s="255"/>
      <c r="P373" s="260" t="s">
        <v>169</v>
      </c>
      <c r="Q373" s="20"/>
      <c r="R373" s="20"/>
      <c r="S373" s="20"/>
      <c r="T373" s="20"/>
      <c r="U373" s="20"/>
      <c r="V373" s="20"/>
      <c r="W373" s="20"/>
      <c r="X373" s="20"/>
      <c r="Y373" s="20"/>
      <c r="Z373" s="20"/>
      <c r="AA373" s="20"/>
      <c r="AB373" s="20"/>
      <c r="AC373" s="21"/>
      <c r="AD373" s="22"/>
    </row>
    <row r="374" spans="1:30" x14ac:dyDescent="0.3">
      <c r="A374" s="221"/>
      <c r="B374" s="222"/>
      <c r="C374" s="222"/>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4"/>
      <c r="AD374" s="5"/>
    </row>
    <row r="375" spans="1:30" x14ac:dyDescent="0.3">
      <c r="A375" s="221"/>
      <c r="B375" s="222"/>
      <c r="C375" s="222"/>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4"/>
      <c r="AD375" s="5"/>
    </row>
    <row r="376" spans="1:30" ht="18.600000000000001" thickBot="1" x14ac:dyDescent="0.4">
      <c r="A376" s="221"/>
      <c r="B376" s="225" t="str">
        <f>B244</f>
        <v>PM25 INVESTOR REPORT QUARTER ENDING JANUARY 2021</v>
      </c>
      <c r="C376" s="222"/>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6"/>
      <c r="AD376" s="5"/>
    </row>
    <row r="377" spans="1:30"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row>
    <row r="378" spans="1:30" x14ac:dyDescent="0.3">
      <c r="B378" s="280" t="s">
        <v>326</v>
      </c>
    </row>
    <row r="379" spans="1:30" x14ac:dyDescent="0.3">
      <c r="B379" s="264" t="s">
        <v>327</v>
      </c>
    </row>
    <row r="380" spans="1:30" x14ac:dyDescent="0.3">
      <c r="B380" s="264" t="s">
        <v>328</v>
      </c>
    </row>
    <row r="381" spans="1:30" x14ac:dyDescent="0.3">
      <c r="B381" s="264" t="s">
        <v>329</v>
      </c>
    </row>
    <row r="382" spans="1:30" x14ac:dyDescent="0.3">
      <c r="B382" s="264" t="s">
        <v>330</v>
      </c>
    </row>
    <row r="383" spans="1:30" x14ac:dyDescent="0.3">
      <c r="B383" s="264" t="s">
        <v>331</v>
      </c>
    </row>
    <row r="384" spans="1:30" x14ac:dyDescent="0.3">
      <c r="B384" s="264" t="s">
        <v>332</v>
      </c>
    </row>
    <row r="385" spans="2:2" x14ac:dyDescent="0.3">
      <c r="B385" s="264" t="s">
        <v>333</v>
      </c>
    </row>
    <row r="386" spans="2:2" x14ac:dyDescent="0.3">
      <c r="B386" s="264"/>
    </row>
    <row r="387" spans="2:2" s="264" customFormat="1" x14ac:dyDescent="0.3">
      <c r="B387" s="280" t="s">
        <v>350</v>
      </c>
    </row>
    <row r="388" spans="2:2" s="264" customFormat="1" x14ac:dyDescent="0.3">
      <c r="B388" s="264" t="s">
        <v>358</v>
      </c>
    </row>
    <row r="389" spans="2:2" s="264" customFormat="1" x14ac:dyDescent="0.3">
      <c r="B389" s="264" t="s">
        <v>376</v>
      </c>
    </row>
    <row r="390" spans="2:2" x14ac:dyDescent="0.3">
      <c r="B390" s="264"/>
    </row>
    <row r="391" spans="2:2" x14ac:dyDescent="0.3">
      <c r="B391" s="280" t="s">
        <v>334</v>
      </c>
    </row>
    <row r="392" spans="2:2" x14ac:dyDescent="0.3">
      <c r="B392" s="264" t="s">
        <v>335</v>
      </c>
    </row>
    <row r="393" spans="2:2" x14ac:dyDescent="0.3">
      <c r="B393" s="264" t="s">
        <v>336</v>
      </c>
    </row>
  </sheetData>
  <hyperlinks>
    <hyperlink ref="X284" r:id="rId1" display="http://www.paragon-group.co.uk" xr:uid="{9FB451A1-B88E-410B-8FC5-CD93A4B02329}"/>
    <hyperlink ref="K9" r:id="rId2" display="http://www.paragon-group.co.uk" xr:uid="{3AAA4694-9F74-4718-A968-44AF79827CE3}"/>
    <hyperlink ref="P373" r:id="rId3" xr:uid="{D77EF67B-31D2-4EBD-A0E2-B5EC30F3ECED}"/>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5" max="18" man="1"/>
    <brk id="244" max="18" man="1"/>
  </rowBreaks>
  <colBreaks count="1" manualBreakCount="1">
    <brk id="29" max="299" man="1"/>
  </colBreak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B6CD-F882-4112-AB5C-729DF4F1DC6D}">
  <sheetPr>
    <tabColor rgb="FF2D2926"/>
  </sheetPr>
  <dimension ref="A1:JB39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44340</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477216</v>
      </c>
      <c r="E29" s="55"/>
      <c r="F29" s="55">
        <f t="shared" ref="F29:L29" si="0">F28*F32</f>
        <v>33500</v>
      </c>
      <c r="G29" s="55"/>
      <c r="H29" s="55">
        <f t="shared" si="0"/>
        <v>30000</v>
      </c>
      <c r="I29" s="55"/>
      <c r="J29" s="55">
        <f t="shared" si="0"/>
        <v>24700</v>
      </c>
      <c r="K29" s="55"/>
      <c r="L29" s="55">
        <f t="shared" si="0"/>
        <v>17648</v>
      </c>
      <c r="M29" s="55"/>
      <c r="N29" s="55">
        <f>N28*N32</f>
        <v>8731.1908199999998</v>
      </c>
      <c r="O29" s="55"/>
      <c r="P29" s="55">
        <v>0</v>
      </c>
      <c r="Q29" s="55"/>
      <c r="R29" s="55" t="s">
        <v>83</v>
      </c>
      <c r="S29" s="55"/>
      <c r="T29" s="55" t="s">
        <v>83</v>
      </c>
      <c r="U29" s="55"/>
      <c r="V29" s="55" t="s">
        <v>83</v>
      </c>
      <c r="W29" s="51"/>
      <c r="X29" s="55" t="s">
        <v>83</v>
      </c>
      <c r="Y29" s="51"/>
      <c r="Z29" s="51"/>
      <c r="AA29" s="50"/>
      <c r="AB29" s="51">
        <f>SUM(D29:L29)</f>
        <v>583064</v>
      </c>
      <c r="AC29" s="52"/>
      <c r="AD29" s="22"/>
    </row>
    <row r="30" spans="1:33" s="23" customFormat="1" x14ac:dyDescent="0.3">
      <c r="A30" s="48"/>
      <c r="B30" s="45" t="s">
        <v>92</v>
      </c>
      <c r="C30" s="50"/>
      <c r="D30" s="58">
        <f>D28*D31</f>
        <v>460962</v>
      </c>
      <c r="E30" s="58"/>
      <c r="F30" s="58">
        <f>F28</f>
        <v>33500</v>
      </c>
      <c r="G30" s="58"/>
      <c r="H30" s="58">
        <f>H28</f>
        <v>30000</v>
      </c>
      <c r="I30" s="58"/>
      <c r="J30" s="58">
        <f>J28</f>
        <v>24700</v>
      </c>
      <c r="K30" s="58"/>
      <c r="L30" s="58">
        <f>L28</f>
        <v>17648</v>
      </c>
      <c r="M30" s="58"/>
      <c r="N30" s="58">
        <f>N28*N31</f>
        <v>8481.2725800000007</v>
      </c>
      <c r="O30" s="58"/>
      <c r="P30" s="58">
        <v>0</v>
      </c>
      <c r="Q30" s="58"/>
      <c r="R30" s="58" t="s">
        <v>83</v>
      </c>
      <c r="S30" s="58"/>
      <c r="T30" s="58" t="s">
        <v>83</v>
      </c>
      <c r="U30" s="58"/>
      <c r="V30" s="58" t="s">
        <v>83</v>
      </c>
      <c r="W30" s="57"/>
      <c r="X30" s="58" t="s">
        <v>83</v>
      </c>
      <c r="Y30" s="51"/>
      <c r="Z30" s="51"/>
      <c r="AA30" s="50"/>
      <c r="AB30" s="57">
        <f>SUM(D30:L30)</f>
        <v>566810</v>
      </c>
      <c r="AC30" s="52"/>
      <c r="AD30" s="22"/>
      <c r="AE30" s="238"/>
    </row>
    <row r="31" spans="1:33" s="67" customFormat="1" x14ac:dyDescent="0.3">
      <c r="A31" s="59"/>
      <c r="B31" s="169" t="s">
        <v>88</v>
      </c>
      <c r="C31" s="63"/>
      <c r="D31" s="61">
        <v>0.76827000000000001</v>
      </c>
      <c r="E31" s="61"/>
      <c r="F31" s="61">
        <v>1</v>
      </c>
      <c r="G31" s="61"/>
      <c r="H31" s="61">
        <v>1</v>
      </c>
      <c r="I31" s="61"/>
      <c r="J31" s="61">
        <v>1</v>
      </c>
      <c r="K31" s="61"/>
      <c r="L31" s="61">
        <v>1</v>
      </c>
      <c r="M31" s="61"/>
      <c r="N31" s="61">
        <v>0.77646000000000004</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0.79535999999999996</v>
      </c>
      <c r="E32" s="61"/>
      <c r="F32" s="61">
        <v>1</v>
      </c>
      <c r="G32" s="61"/>
      <c r="H32" s="61">
        <v>1</v>
      </c>
      <c r="I32" s="61"/>
      <c r="J32" s="61">
        <v>1</v>
      </c>
      <c r="K32" s="61"/>
      <c r="L32" s="61">
        <v>1</v>
      </c>
      <c r="M32" s="61"/>
      <c r="N32" s="61">
        <v>0.79934000000000005</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7.0213000000000003E-3</v>
      </c>
      <c r="E34" s="71"/>
      <c r="F34" s="71">
        <v>1.00213E-2</v>
      </c>
      <c r="G34" s="71"/>
      <c r="H34" s="71">
        <v>1.35213E-2</v>
      </c>
      <c r="I34" s="71"/>
      <c r="J34" s="71">
        <v>1.6521299999999999E-2</v>
      </c>
      <c r="K34" s="71"/>
      <c r="L34" s="71">
        <v>2.6521300000000001E-2</v>
      </c>
      <c r="M34" s="71"/>
      <c r="N34" s="71">
        <v>4.0521300000000003E-2</v>
      </c>
      <c r="O34" s="71"/>
      <c r="P34" s="71">
        <v>4.0521300000000003E-2</v>
      </c>
      <c r="Q34" s="71"/>
      <c r="R34" s="71" t="s">
        <v>83</v>
      </c>
      <c r="S34" s="71"/>
      <c r="T34" s="71" t="s">
        <v>83</v>
      </c>
      <c r="U34" s="71"/>
      <c r="V34" s="71" t="s">
        <v>83</v>
      </c>
      <c r="W34" s="70"/>
      <c r="X34" s="71" t="s">
        <v>83</v>
      </c>
      <c r="Y34" s="49"/>
      <c r="Z34" s="49"/>
      <c r="AA34" s="41"/>
      <c r="AB34" s="70">
        <f>SUMPRODUCT(D34:L34,D29:L29)/AB29</f>
        <v>8.520768325947066E-3</v>
      </c>
      <c r="AC34" s="44"/>
      <c r="AD34" s="22"/>
    </row>
    <row r="35" spans="1:30" s="23" customFormat="1" x14ac:dyDescent="0.3">
      <c r="A35" s="48"/>
      <c r="B35" s="41" t="s">
        <v>10</v>
      </c>
      <c r="C35" s="72"/>
      <c r="D35" s="71">
        <v>6.9775000000000002E-3</v>
      </c>
      <c r="E35" s="71"/>
      <c r="F35" s="71">
        <v>9.9775000000000003E-3</v>
      </c>
      <c r="G35" s="71"/>
      <c r="H35" s="71">
        <v>1.34775E-2</v>
      </c>
      <c r="I35" s="71"/>
      <c r="J35" s="71">
        <v>1.6477499999999999E-2</v>
      </c>
      <c r="K35" s="71"/>
      <c r="L35" s="71">
        <v>2.6477500000000001E-2</v>
      </c>
      <c r="M35" s="71"/>
      <c r="N35" s="71">
        <v>4.04775E-2</v>
      </c>
      <c r="O35" s="71"/>
      <c r="P35" s="71">
        <v>4.04775E-2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0.22962413387654515</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44333</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91</v>
      </c>
      <c r="Y47" s="41"/>
      <c r="Z47" s="79">
        <v>44151</v>
      </c>
      <c r="AA47" s="80"/>
      <c r="AB47" s="79">
        <v>44241</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91</v>
      </c>
      <c r="Y48" s="41"/>
      <c r="Z48" s="79">
        <v>44242</v>
      </c>
      <c r="AA48" s="80"/>
      <c r="AB48" s="79">
        <v>44332</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44332</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360</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582426</v>
      </c>
      <c r="S57" s="241"/>
      <c r="T57" s="240">
        <f>407+123</f>
        <v>530</v>
      </c>
      <c r="U57" s="241"/>
      <c r="V57" s="241">
        <v>18058</v>
      </c>
      <c r="W57" s="241"/>
      <c r="X57" s="241">
        <v>0</v>
      </c>
      <c r="Y57" s="241"/>
      <c r="Z57" s="241">
        <v>0</v>
      </c>
      <c r="AA57" s="241"/>
      <c r="AB57" s="240">
        <f>R57-T57-V57+X57-Z57</f>
        <v>563838</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582426</v>
      </c>
      <c r="S60" s="241"/>
      <c r="T60" s="241">
        <f>T57+T58</f>
        <v>530</v>
      </c>
      <c r="U60" s="241"/>
      <c r="V60" s="241">
        <f>SUM(V57:V59)</f>
        <v>18058</v>
      </c>
      <c r="W60" s="241"/>
      <c r="X60" s="241">
        <f>SUM(X57:X59)</f>
        <v>0</v>
      </c>
      <c r="Y60" s="241"/>
      <c r="Z60" s="241">
        <f>SUM(Z57:Z59)</f>
        <v>0</v>
      </c>
      <c r="AA60" s="241"/>
      <c r="AB60" s="241">
        <f>SUM(AB57:AB59)</f>
        <v>563838</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638</v>
      </c>
      <c r="S63" s="241"/>
      <c r="T63" s="241">
        <v>0</v>
      </c>
      <c r="U63" s="241"/>
      <c r="V63" s="241">
        <v>2334</v>
      </c>
      <c r="W63" s="241"/>
      <c r="X63" s="241"/>
      <c r="Y63" s="241"/>
      <c r="Z63" s="241"/>
      <c r="AA63" s="241"/>
      <c r="AB63" s="241">
        <f>+R63+V63</f>
        <v>2972</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583064</v>
      </c>
      <c r="S66" s="241"/>
      <c r="T66" s="241"/>
      <c r="U66" s="241"/>
      <c r="V66" s="241"/>
      <c r="W66" s="241"/>
      <c r="X66" s="241"/>
      <c r="Y66" s="241"/>
      <c r="Z66" s="241"/>
      <c r="AA66" s="241"/>
      <c r="AB66" s="241">
        <f>SUM(AB60:AB65)</f>
        <v>566810</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44316</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638</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+T57+V57+Z57-14</f>
        <v>18574</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1202+5362-148-848</f>
        <v>5568</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28+213</f>
        <v>241</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250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2429</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19212</v>
      </c>
      <c r="AA85" s="41"/>
      <c r="AB85" s="100">
        <f>SUM(AB70:AB84)</f>
        <v>8488</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19212</v>
      </c>
      <c r="AA88" s="41"/>
      <c r="AB88" s="100">
        <f>AB85+AB86+AB87</f>
        <v>8488</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-285-11-7</f>
        <v>-303</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-849</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-834</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-84</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-101</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-102</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14</v>
      </c>
      <c r="AA101" s="115"/>
      <c r="AB101" s="101">
        <v>-14</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-2500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-117</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-88</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-250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-13-142</f>
        <v>-155</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-3066</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-2972</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-16254</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-19226</v>
      </c>
      <c r="AA131" s="100"/>
      <c r="AB131" s="100">
        <f>SUM(AB89:AB129)</f>
        <v>-8488</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APRIL 2021</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+'Jan 21'!AB147</f>
        <v>7911.5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-250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7661.5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+'Jan 21'!AB160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+'Jan 21'!AB166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14</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14</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-14</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638</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-638</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2972</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2972</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+'Jan 21'!AB190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+'Jan 21'!AB198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+'Jan 21'!AB206</f>
        <v>1234</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2473</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2429</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1278</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+'Jan 21'!AB214</f>
        <v>2577</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2473</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2500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2604</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+'Jan 21'!Y221</f>
        <v>0</v>
      </c>
      <c r="Z219" s="101">
        <f>+'Jan 21'!Z221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477000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474834</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2166</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8.7937649880095918</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3.82</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77.38095238095238</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38.619999999999997</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63.524752475247524</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34.17</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61.911764705882355</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34.72</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53.102564102564102</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32.33</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APRIL 2021</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44316</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3.8370000000000001E-2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8.520768325947066E-3</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2.9849231674052935E-2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1.4557578584855178E-2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15.82</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3.1879862244967964E-2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0.1217</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0</v>
      </c>
      <c r="Z268" s="165">
        <f>+Z320</f>
        <v>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14</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'Jan 21'!Z274+Z273</f>
        <v>20</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3353</v>
      </c>
      <c r="Y287" s="195">
        <f>X287/$X$296</f>
        <v>0.99732302201070788</v>
      </c>
      <c r="Z287" s="110">
        <f t="shared" ref="Z287:Z294" si="2">+Z299+Z311+Z333</f>
        <v>561913</v>
      </c>
      <c r="AA287" s="195">
        <f t="shared" ref="AA287:AA294" si="3">Z287/$Z$296</f>
        <v>0.99658589878653092</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5</v>
      </c>
      <c r="Y288" s="199">
        <f t="shared" ref="Y288:Y294" si="4">X288/$X$296</f>
        <v>1.4872099940511599E-3</v>
      </c>
      <c r="Z288" s="200">
        <f t="shared" si="2"/>
        <v>1214</v>
      </c>
      <c r="AA288" s="201">
        <f t="shared" si="3"/>
        <v>2.1531007133254588E-3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0</v>
      </c>
      <c r="Y289" s="203">
        <f t="shared" si="4"/>
        <v>0</v>
      </c>
      <c r="Z289" s="134">
        <f t="shared" si="2"/>
        <v>0</v>
      </c>
      <c r="AA289" s="201">
        <f t="shared" si="3"/>
        <v>0</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0</v>
      </c>
      <c r="Y291" s="203">
        <f t="shared" si="4"/>
        <v>0</v>
      </c>
      <c r="Z291" s="134">
        <f t="shared" si="2"/>
        <v>0</v>
      </c>
      <c r="AA291" s="201">
        <f t="shared" si="3"/>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4</v>
      </c>
      <c r="Y293" s="205">
        <f t="shared" si="4"/>
        <v>1.1897679952409281E-3</v>
      </c>
      <c r="Z293" s="206">
        <f t="shared" si="2"/>
        <v>711</v>
      </c>
      <c r="AA293" s="201">
        <f t="shared" si="3"/>
        <v>1.2610005001436582E-3</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3362</v>
      </c>
      <c r="Y296" s="201">
        <f>SUM(Y287:Y295)</f>
        <v>1</v>
      </c>
      <c r="Z296" s="101">
        <f>SUM(Z287:Z295)</f>
        <v>563838</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3353</v>
      </c>
      <c r="Y299" s="195">
        <f>X299/$X$308</f>
        <v>0.99732302201070788</v>
      </c>
      <c r="Z299" s="110">
        <v>561913</v>
      </c>
      <c r="AA299" s="195">
        <f>Z299/$Z$308</f>
        <v>0.99658589878653092</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5</v>
      </c>
      <c r="Y300" s="201">
        <f t="shared" ref="Y300:Y306" si="5">X300/$X$308</f>
        <v>1.4872099940511599E-3</v>
      </c>
      <c r="Z300" s="101">
        <v>1214</v>
      </c>
      <c r="AA300" s="201">
        <f t="shared" ref="AA300:AA306" si="6">Z300/$Z$308</f>
        <v>2.1531007133254588E-3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0</v>
      </c>
      <c r="Y301" s="201">
        <f t="shared" si="5"/>
        <v>0</v>
      </c>
      <c r="Z301" s="101">
        <v>0</v>
      </c>
      <c r="AA301" s="201">
        <f t="shared" si="6"/>
        <v>0</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4</v>
      </c>
      <c r="Y305" s="201">
        <f>X305/$X$308</f>
        <v>1.1897679952409281E-3</v>
      </c>
      <c r="Z305" s="101">
        <v>711</v>
      </c>
      <c r="AA305" s="201">
        <f t="shared" si="6"/>
        <v>1.2610005001436582E-3</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3362</v>
      </c>
      <c r="Y308" s="201">
        <f>SUM(Y299:Y307)</f>
        <v>1</v>
      </c>
      <c r="Z308" s="101">
        <f>SUM(Z299:Z307)</f>
        <v>563838</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0</v>
      </c>
      <c r="Y320" s="201">
        <f>SUM(Y311:Y319)</f>
        <v>0</v>
      </c>
      <c r="Z320" s="101">
        <f>SUM(Z311:Z319)</f>
        <v>0</v>
      </c>
      <c r="AA320" s="201">
        <f>SUM(AA311:AA319)</f>
        <v>0</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74">
        <v>0</v>
      </c>
      <c r="Z328" s="275">
        <v>0</v>
      </c>
      <c r="AA328" s="274">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0</v>
      </c>
      <c r="Y330" s="274">
        <f>SUM(Y323:Y328)</f>
        <v>0</v>
      </c>
      <c r="Z330" s="275">
        <f>SUM(Z323:Z328)</f>
        <v>0</v>
      </c>
      <c r="AA330" s="274">
        <f>SUM(AA323:AA329)</f>
        <v>0</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243" t="s">
        <v>324</v>
      </c>
      <c r="B344" s="244" t="s">
        <v>325</v>
      </c>
      <c r="C344" s="245"/>
      <c r="D344" s="245"/>
      <c r="E344" s="245"/>
      <c r="F344" s="245"/>
      <c r="G344" s="245"/>
      <c r="H344" s="246"/>
      <c r="I344" s="246"/>
      <c r="J344" s="246"/>
      <c r="K344" s="246"/>
      <c r="L344" s="246"/>
      <c r="M344" s="246"/>
      <c r="N344" s="246"/>
      <c r="O344" s="246"/>
      <c r="P344" s="262"/>
      <c r="Q344" s="262"/>
      <c r="R344" s="262"/>
      <c r="S344" s="262"/>
      <c r="T344" s="262"/>
      <c r="U344" s="262"/>
      <c r="V344" s="262"/>
      <c r="W344" s="262"/>
      <c r="X344" s="157" t="s">
        <v>69</v>
      </c>
      <c r="Y344" s="106" t="s">
        <v>70</v>
      </c>
      <c r="Z344" s="157" t="s">
        <v>75</v>
      </c>
      <c r="AA344" s="106" t="s">
        <v>70</v>
      </c>
      <c r="AB344" s="244" t="s">
        <v>349</v>
      </c>
      <c r="AC344" s="37"/>
      <c r="AD344" s="22"/>
    </row>
    <row r="345" spans="1:30" s="23" customFormat="1" x14ac:dyDescent="0.3">
      <c r="A345" s="247"/>
      <c r="B345" s="248" t="s">
        <v>59</v>
      </c>
      <c r="C345" s="249"/>
      <c r="D345" s="249"/>
      <c r="E345" s="249"/>
      <c r="F345" s="249"/>
      <c r="G345" s="249"/>
      <c r="H345" s="250"/>
      <c r="I345" s="250"/>
      <c r="J345" s="250"/>
      <c r="K345" s="250"/>
      <c r="L345" s="250"/>
      <c r="M345" s="250"/>
      <c r="N345" s="250"/>
      <c r="O345" s="250"/>
      <c r="P345" s="261"/>
      <c r="Q345" s="261"/>
      <c r="R345" s="261"/>
      <c r="S345" s="261"/>
      <c r="T345" s="261"/>
      <c r="U345" s="261"/>
      <c r="V345" s="261"/>
      <c r="W345" s="261"/>
      <c r="X345" s="109">
        <v>7</v>
      </c>
      <c r="Y345" s="195">
        <f>+X345/X354</f>
        <v>1</v>
      </c>
      <c r="Z345" s="110">
        <v>1572</v>
      </c>
      <c r="AA345" s="195">
        <f>+Z345/Z354</f>
        <v>1</v>
      </c>
      <c r="AB345" s="38"/>
      <c r="AC345" s="44"/>
      <c r="AD345" s="22"/>
    </row>
    <row r="346" spans="1:30" s="23" customFormat="1" x14ac:dyDescent="0.3">
      <c r="A346" s="251"/>
      <c r="B346" s="252" t="s">
        <v>60</v>
      </c>
      <c r="C346" s="253"/>
      <c r="D346" s="253"/>
      <c r="E346" s="253"/>
      <c r="F346" s="253"/>
      <c r="G346" s="253"/>
      <c r="H346" s="254"/>
      <c r="I346" s="254"/>
      <c r="J346" s="254"/>
      <c r="K346" s="254"/>
      <c r="L346" s="254"/>
      <c r="M346" s="254"/>
      <c r="N346" s="254"/>
      <c r="O346" s="254"/>
      <c r="P346" s="207"/>
      <c r="Q346" s="207"/>
      <c r="R346" s="207"/>
      <c r="S346" s="207"/>
      <c r="T346" s="207"/>
      <c r="U346" s="207"/>
      <c r="V346" s="207"/>
      <c r="W346" s="207"/>
      <c r="X346" s="100">
        <v>0</v>
      </c>
      <c r="Y346" s="263">
        <f>+X346/X354</f>
        <v>0</v>
      </c>
      <c r="Z346" s="101">
        <v>0</v>
      </c>
      <c r="AA346" s="201">
        <f>+Z346/Z354</f>
        <v>0</v>
      </c>
      <c r="AB346" s="41"/>
      <c r="AC346" s="44"/>
      <c r="AD346" s="22"/>
    </row>
    <row r="347" spans="1:30" s="23" customFormat="1" x14ac:dyDescent="0.3">
      <c r="A347" s="251"/>
      <c r="B347" s="252" t="s">
        <v>61</v>
      </c>
      <c r="C347" s="253"/>
      <c r="D347" s="253"/>
      <c r="E347" s="253"/>
      <c r="F347" s="253"/>
      <c r="G347" s="253"/>
      <c r="H347" s="254"/>
      <c r="I347" s="254"/>
      <c r="J347" s="254"/>
      <c r="K347" s="254"/>
      <c r="L347" s="254"/>
      <c r="M347" s="254"/>
      <c r="N347" s="254"/>
      <c r="O347" s="254"/>
      <c r="P347" s="207"/>
      <c r="Q347" s="207"/>
      <c r="R347" s="207"/>
      <c r="S347" s="207"/>
      <c r="T347" s="207"/>
      <c r="U347" s="207"/>
      <c r="V347" s="207"/>
      <c r="W347" s="207"/>
      <c r="X347" s="100">
        <v>0</v>
      </c>
      <c r="Y347" s="263">
        <f>+X347/X354</f>
        <v>0</v>
      </c>
      <c r="Z347" s="101">
        <v>0</v>
      </c>
      <c r="AA347" s="201">
        <f>+Z347/Z354</f>
        <v>0</v>
      </c>
      <c r="AB347" s="41"/>
      <c r="AC347" s="44"/>
      <c r="AD347" s="22"/>
    </row>
    <row r="348" spans="1:30" s="23" customFormat="1" x14ac:dyDescent="0.3">
      <c r="A348" s="251"/>
      <c r="B348" s="252" t="s">
        <v>100</v>
      </c>
      <c r="C348" s="253"/>
      <c r="D348" s="253"/>
      <c r="E348" s="253"/>
      <c r="F348" s="253"/>
      <c r="G348" s="253"/>
      <c r="H348" s="254"/>
      <c r="I348" s="254"/>
      <c r="J348" s="254"/>
      <c r="K348" s="254"/>
      <c r="L348" s="254"/>
      <c r="M348" s="254"/>
      <c r="N348" s="254"/>
      <c r="O348" s="254"/>
      <c r="P348" s="207"/>
      <c r="Q348" s="207"/>
      <c r="R348" s="207"/>
      <c r="S348" s="207"/>
      <c r="T348" s="207"/>
      <c r="U348" s="207"/>
      <c r="V348" s="207"/>
      <c r="W348" s="207"/>
      <c r="X348" s="100">
        <v>0</v>
      </c>
      <c r="Y348" s="263">
        <f>+X348/X354</f>
        <v>0</v>
      </c>
      <c r="Z348" s="101">
        <v>0</v>
      </c>
      <c r="AA348" s="201">
        <f>+Z348/Z354</f>
        <v>0</v>
      </c>
      <c r="AB348" s="41"/>
      <c r="AC348" s="44"/>
      <c r="AD348" s="22"/>
    </row>
    <row r="349" spans="1:30" s="23" customFormat="1" x14ac:dyDescent="0.3">
      <c r="A349" s="251"/>
      <c r="B349" s="252" t="s">
        <v>101</v>
      </c>
      <c r="C349" s="253"/>
      <c r="D349" s="253"/>
      <c r="E349" s="253"/>
      <c r="F349" s="253"/>
      <c r="G349" s="253"/>
      <c r="H349" s="254"/>
      <c r="I349" s="254"/>
      <c r="J349" s="254"/>
      <c r="K349" s="254"/>
      <c r="L349" s="254"/>
      <c r="M349" s="254"/>
      <c r="N349" s="254"/>
      <c r="O349" s="254"/>
      <c r="P349" s="207"/>
      <c r="Q349" s="207"/>
      <c r="R349" s="207"/>
      <c r="S349" s="207"/>
      <c r="T349" s="207"/>
      <c r="U349" s="207"/>
      <c r="V349" s="207"/>
      <c r="W349" s="207"/>
      <c r="X349" s="100">
        <v>0</v>
      </c>
      <c r="Y349" s="263">
        <f>+X349/X354</f>
        <v>0</v>
      </c>
      <c r="Z349" s="101">
        <v>0</v>
      </c>
      <c r="AA349" s="201">
        <f>+Z349/Z354</f>
        <v>0</v>
      </c>
      <c r="AB349" s="41"/>
      <c r="AC349" s="44"/>
      <c r="AD349" s="22"/>
    </row>
    <row r="350" spans="1:30" s="23" customFormat="1" x14ac:dyDescent="0.3">
      <c r="A350" s="251"/>
      <c r="B350" s="252" t="s">
        <v>102</v>
      </c>
      <c r="C350" s="253"/>
      <c r="D350" s="253"/>
      <c r="E350" s="253"/>
      <c r="F350" s="253"/>
      <c r="G350" s="253"/>
      <c r="H350" s="254"/>
      <c r="I350" s="254"/>
      <c r="J350" s="254"/>
      <c r="K350" s="254"/>
      <c r="L350" s="254"/>
      <c r="M350" s="254"/>
      <c r="N350" s="254"/>
      <c r="O350" s="254"/>
      <c r="P350" s="207"/>
      <c r="Q350" s="207"/>
      <c r="R350" s="207"/>
      <c r="S350" s="207"/>
      <c r="T350" s="207"/>
      <c r="U350" s="207"/>
      <c r="V350" s="207"/>
      <c r="W350" s="207"/>
      <c r="X350" s="100">
        <v>0</v>
      </c>
      <c r="Y350" s="263">
        <f>+X350/X354</f>
        <v>0</v>
      </c>
      <c r="Z350" s="101">
        <v>0</v>
      </c>
      <c r="AA350" s="201">
        <f>+Z350/Z354</f>
        <v>0</v>
      </c>
      <c r="AB350" s="41"/>
      <c r="AC350" s="44"/>
      <c r="AD350" s="22"/>
    </row>
    <row r="351" spans="1:30" s="23" customFormat="1" x14ac:dyDescent="0.3">
      <c r="A351" s="251"/>
      <c r="B351" s="252" t="s">
        <v>103</v>
      </c>
      <c r="C351" s="253"/>
      <c r="D351" s="253"/>
      <c r="E351" s="253"/>
      <c r="F351" s="253"/>
      <c r="G351" s="253"/>
      <c r="H351" s="254"/>
      <c r="I351" s="254"/>
      <c r="J351" s="254"/>
      <c r="K351" s="254"/>
      <c r="L351" s="254"/>
      <c r="M351" s="254"/>
      <c r="N351" s="254"/>
      <c r="O351" s="254"/>
      <c r="P351" s="207"/>
      <c r="Q351" s="207"/>
      <c r="R351" s="207"/>
      <c r="S351" s="207"/>
      <c r="T351" s="207"/>
      <c r="U351" s="207"/>
      <c r="V351" s="207"/>
      <c r="W351" s="207"/>
      <c r="X351" s="100">
        <v>0</v>
      </c>
      <c r="Y351" s="263">
        <f>+X351/X354</f>
        <v>0</v>
      </c>
      <c r="Z351" s="101">
        <v>0</v>
      </c>
      <c r="AA351" s="201">
        <f>+Z351/Z354</f>
        <v>0</v>
      </c>
      <c r="AB351" s="41"/>
      <c r="AC351" s="44"/>
      <c r="AD351" s="22"/>
    </row>
    <row r="352" spans="1:30" s="23" customFormat="1" x14ac:dyDescent="0.3">
      <c r="A352" s="251"/>
      <c r="B352" s="252" t="s">
        <v>104</v>
      </c>
      <c r="C352" s="253"/>
      <c r="D352" s="253"/>
      <c r="E352" s="253"/>
      <c r="F352" s="253"/>
      <c r="G352" s="253"/>
      <c r="H352" s="254"/>
      <c r="I352" s="254"/>
      <c r="J352" s="254"/>
      <c r="K352" s="254"/>
      <c r="L352" s="254"/>
      <c r="M352" s="254"/>
      <c r="N352" s="254"/>
      <c r="O352" s="254"/>
      <c r="P352" s="207"/>
      <c r="Q352" s="207"/>
      <c r="R352" s="207"/>
      <c r="S352" s="207"/>
      <c r="T352" s="207"/>
      <c r="U352" s="207"/>
      <c r="V352" s="207"/>
      <c r="W352" s="207"/>
      <c r="X352" s="100">
        <v>0</v>
      </c>
      <c r="Y352" s="195">
        <f>+X352/X354</f>
        <v>0</v>
      </c>
      <c r="Z352" s="101">
        <v>0</v>
      </c>
      <c r="AA352" s="201">
        <f>+Z352/Z354</f>
        <v>0</v>
      </c>
      <c r="AB352" s="41"/>
      <c r="AC352" s="44"/>
      <c r="AD352" s="22"/>
    </row>
    <row r="353" spans="1:30" s="23" customFormat="1" x14ac:dyDescent="0.3">
      <c r="A353" s="251"/>
      <c r="B353" s="252"/>
      <c r="C353" s="253"/>
      <c r="D353" s="253"/>
      <c r="E353" s="253"/>
      <c r="F353" s="253"/>
      <c r="G353" s="253"/>
      <c r="H353" s="254"/>
      <c r="I353" s="254"/>
      <c r="J353" s="254"/>
      <c r="K353" s="254"/>
      <c r="L353" s="254"/>
      <c r="M353" s="254"/>
      <c r="N353" s="254"/>
      <c r="O353" s="254"/>
      <c r="P353" s="207"/>
      <c r="Q353" s="207"/>
      <c r="R353" s="207"/>
      <c r="S353" s="207"/>
      <c r="T353" s="207"/>
      <c r="U353" s="207"/>
      <c r="V353" s="207"/>
      <c r="W353" s="207"/>
      <c r="X353" s="100"/>
      <c r="Y353" s="201"/>
      <c r="Z353" s="101"/>
      <c r="AA353" s="201"/>
      <c r="AB353" s="41"/>
      <c r="AC353" s="44"/>
      <c r="AD353" s="22"/>
    </row>
    <row r="354" spans="1:30" s="23" customFormat="1" x14ac:dyDescent="0.3">
      <c r="A354" s="251"/>
      <c r="B354" s="253" t="s">
        <v>80</v>
      </c>
      <c r="C354" s="253"/>
      <c r="D354" s="253"/>
      <c r="E354" s="253"/>
      <c r="F354" s="253"/>
      <c r="G354" s="253"/>
      <c r="H354" s="254"/>
      <c r="I354" s="254"/>
      <c r="J354" s="254"/>
      <c r="K354" s="254"/>
      <c r="L354" s="254"/>
      <c r="M354" s="254"/>
      <c r="N354" s="254"/>
      <c r="O354" s="254"/>
      <c r="P354" s="207"/>
      <c r="Q354" s="207"/>
      <c r="R354" s="207"/>
      <c r="S354" s="207"/>
      <c r="T354" s="207"/>
      <c r="U354" s="207"/>
      <c r="V354" s="207"/>
      <c r="W354" s="207"/>
      <c r="X354" s="284">
        <f>SUM(X345:X352)</f>
        <v>7</v>
      </c>
      <c r="Y354" s="205">
        <f>SUM(Y345:Y352)</f>
        <v>1</v>
      </c>
      <c r="Z354" s="285">
        <f>SUM(Z345:Z352)</f>
        <v>1572</v>
      </c>
      <c r="AA354" s="205">
        <f>SUM(AA345:AA352)</f>
        <v>1</v>
      </c>
      <c r="AB354" s="286"/>
      <c r="AC354" s="44"/>
      <c r="AD354" s="22"/>
    </row>
    <row r="355" spans="1:30" s="268" customFormat="1" ht="16.2" thickBot="1" x14ac:dyDescent="0.35">
      <c r="A355" s="251"/>
      <c r="B355" s="253" t="s">
        <v>343</v>
      </c>
      <c r="C355" s="253"/>
      <c r="D355" s="253"/>
      <c r="E355" s="253"/>
      <c r="F355" s="253"/>
      <c r="G355" s="253"/>
      <c r="H355" s="254"/>
      <c r="I355" s="254"/>
      <c r="J355" s="254"/>
      <c r="K355" s="254"/>
      <c r="L355" s="254"/>
      <c r="M355" s="254"/>
      <c r="N355" s="254"/>
      <c r="O355" s="254"/>
      <c r="P355" s="272"/>
      <c r="Q355" s="272"/>
      <c r="R355" s="272"/>
      <c r="S355" s="272"/>
      <c r="T355" s="272"/>
      <c r="U355" s="272"/>
      <c r="V355" s="272"/>
      <c r="W355" s="272"/>
      <c r="X355" s="291"/>
      <c r="Y355" s="291">
        <f>X354/X359</f>
        <v>2.0820939916716239E-3</v>
      </c>
      <c r="Z355" s="292"/>
      <c r="AA355" s="291">
        <f>Z354/Z359</f>
        <v>2.788034861077118E-3</v>
      </c>
      <c r="AB355" s="293"/>
      <c r="AC355" s="276"/>
      <c r="AD355" s="267"/>
    </row>
    <row r="356" spans="1:30" s="268" customFormat="1" ht="16.2" thickTop="1" x14ac:dyDescent="0.3">
      <c r="A356" s="251"/>
      <c r="B356" s="253" t="s">
        <v>347</v>
      </c>
      <c r="C356" s="253"/>
      <c r="D356" s="253"/>
      <c r="E356" s="253"/>
      <c r="F356" s="253"/>
      <c r="G356" s="253"/>
      <c r="H356" s="254"/>
      <c r="I356" s="254"/>
      <c r="J356" s="254"/>
      <c r="K356" s="254"/>
      <c r="L356" s="254"/>
      <c r="M356" s="254"/>
      <c r="N356" s="254"/>
      <c r="O356" s="254"/>
      <c r="P356" s="272"/>
      <c r="Q356" s="272"/>
      <c r="R356" s="272"/>
      <c r="S356" s="272"/>
      <c r="T356" s="272"/>
      <c r="U356" s="272"/>
      <c r="V356" s="272"/>
      <c r="W356" s="272"/>
      <c r="X356" s="294">
        <v>2</v>
      </c>
      <c r="Y356" s="295">
        <f>+X356/X354</f>
        <v>0.2857142857142857</v>
      </c>
      <c r="Z356" s="296">
        <v>421</v>
      </c>
      <c r="AA356" s="295">
        <f>+Z356/Z354</f>
        <v>0.26781170483460559</v>
      </c>
      <c r="AB356" s="297">
        <v>0.5</v>
      </c>
      <c r="AC356" s="276"/>
      <c r="AD356" s="267"/>
    </row>
    <row r="357" spans="1:30" s="268" customFormat="1" ht="16.2" thickBot="1" x14ac:dyDescent="0.35">
      <c r="A357" s="251"/>
      <c r="B357" s="253" t="s">
        <v>348</v>
      </c>
      <c r="C357" s="253"/>
      <c r="D357" s="253"/>
      <c r="E357" s="253"/>
      <c r="F357" s="253"/>
      <c r="G357" s="253"/>
      <c r="H357" s="254"/>
      <c r="I357" s="254"/>
      <c r="J357" s="254"/>
      <c r="K357" s="254"/>
      <c r="L357" s="254"/>
      <c r="M357" s="254"/>
      <c r="N357" s="254"/>
      <c r="O357" s="254"/>
      <c r="P357" s="272"/>
      <c r="Q357" s="272"/>
      <c r="R357" s="272"/>
      <c r="S357" s="272"/>
      <c r="T357" s="272"/>
      <c r="U357" s="272"/>
      <c r="V357" s="272"/>
      <c r="W357" s="272"/>
      <c r="X357" s="287">
        <v>5</v>
      </c>
      <c r="Y357" s="288">
        <f>+X357/X354</f>
        <v>0.7142857142857143</v>
      </c>
      <c r="Z357" s="289">
        <v>1151</v>
      </c>
      <c r="AA357" s="288">
        <f>+Z357/Z354</f>
        <v>0.73218829516539441</v>
      </c>
      <c r="AB357" s="290">
        <v>0.59354838709677415</v>
      </c>
      <c r="AC357" s="276"/>
      <c r="AD357" s="267"/>
    </row>
    <row r="358" spans="1:30" s="23" customFormat="1" ht="16.2" thickTop="1" x14ac:dyDescent="0.3">
      <c r="A358" s="48"/>
      <c r="B358" s="41"/>
      <c r="C358" s="41"/>
      <c r="D358" s="207"/>
      <c r="E358" s="207"/>
      <c r="F358" s="207"/>
      <c r="G358" s="207"/>
      <c r="H358" s="207"/>
      <c r="I358" s="207"/>
      <c r="J358" s="207"/>
      <c r="K358" s="207"/>
      <c r="L358" s="207"/>
      <c r="M358" s="207"/>
      <c r="N358" s="207"/>
      <c r="O358" s="207"/>
      <c r="P358" s="207"/>
      <c r="Q358" s="207"/>
      <c r="R358" s="207"/>
      <c r="S358" s="207"/>
      <c r="T358" s="207"/>
      <c r="U358" s="207"/>
      <c r="V358" s="207"/>
      <c r="W358" s="207"/>
      <c r="X358" s="284"/>
      <c r="Y358" s="205"/>
      <c r="Z358" s="285"/>
      <c r="AA358" s="205"/>
      <c r="AB358" s="286"/>
      <c r="AC358" s="44"/>
      <c r="AD358" s="22"/>
    </row>
    <row r="359" spans="1:30" s="23" customFormat="1" x14ac:dyDescent="0.3">
      <c r="A359" s="48"/>
      <c r="B359" s="45" t="s">
        <v>139</v>
      </c>
      <c r="C359" s="41"/>
      <c r="D359" s="207"/>
      <c r="E359" s="207"/>
      <c r="F359" s="207"/>
      <c r="G359" s="207"/>
      <c r="H359" s="207"/>
      <c r="I359" s="207"/>
      <c r="J359" s="207"/>
      <c r="K359" s="207"/>
      <c r="L359" s="207"/>
      <c r="M359" s="207"/>
      <c r="N359" s="207"/>
      <c r="O359" s="207"/>
      <c r="P359" s="207"/>
      <c r="Q359" s="207"/>
      <c r="R359" s="207"/>
      <c r="S359" s="207"/>
      <c r="T359" s="207"/>
      <c r="U359" s="207"/>
      <c r="V359" s="207"/>
      <c r="W359" s="207"/>
      <c r="X359" s="213">
        <f>X342+X320+X308</f>
        <v>3362</v>
      </c>
      <c r="Y359" s="201"/>
      <c r="Z359" s="214">
        <f>+Z342+Z320+Z308</f>
        <v>563838</v>
      </c>
      <c r="AA359" s="201"/>
      <c r="AB359" s="41"/>
      <c r="AC359" s="44"/>
      <c r="AD359" s="22"/>
    </row>
    <row r="360" spans="1:30" s="23" customFormat="1" x14ac:dyDescent="0.3">
      <c r="A360" s="48"/>
      <c r="B360" s="45" t="s">
        <v>253</v>
      </c>
      <c r="C360" s="45"/>
      <c r="D360" s="215"/>
      <c r="E360" s="215"/>
      <c r="F360" s="215"/>
      <c r="G360" s="215"/>
      <c r="H360" s="215"/>
      <c r="I360" s="215"/>
      <c r="J360" s="215"/>
      <c r="K360" s="215"/>
      <c r="L360" s="215"/>
      <c r="M360" s="215"/>
      <c r="N360" s="215"/>
      <c r="O360" s="215"/>
      <c r="P360" s="215"/>
      <c r="Q360" s="215"/>
      <c r="R360" s="215"/>
      <c r="S360" s="215"/>
      <c r="T360" s="215"/>
      <c r="U360" s="215"/>
      <c r="V360" s="215"/>
      <c r="W360" s="215"/>
      <c r="X360" s="213"/>
      <c r="Y360" s="216"/>
      <c r="Z360" s="214">
        <f>+AB63+AB64</f>
        <v>2972</v>
      </c>
      <c r="AA360" s="201"/>
      <c r="AB360" s="41"/>
      <c r="AC360" s="44"/>
      <c r="AD360" s="22"/>
    </row>
    <row r="361" spans="1:30" s="23" customFormat="1" x14ac:dyDescent="0.3">
      <c r="A361" s="48"/>
      <c r="B361" s="45" t="s">
        <v>107</v>
      </c>
      <c r="C361" s="45"/>
      <c r="D361" s="215"/>
      <c r="E361" s="215"/>
      <c r="F361" s="215"/>
      <c r="G361" s="215"/>
      <c r="H361" s="215"/>
      <c r="I361" s="215"/>
      <c r="J361" s="215"/>
      <c r="K361" s="215"/>
      <c r="L361" s="215"/>
      <c r="M361" s="215"/>
      <c r="N361" s="215"/>
      <c r="O361" s="215"/>
      <c r="P361" s="215"/>
      <c r="Q361" s="215"/>
      <c r="R361" s="215"/>
      <c r="S361" s="215"/>
      <c r="T361" s="215"/>
      <c r="U361" s="215"/>
      <c r="V361" s="215"/>
      <c r="W361" s="215"/>
      <c r="X361" s="213"/>
      <c r="Y361" s="216"/>
      <c r="Z361" s="214">
        <f>+Z359+Z360</f>
        <v>566810</v>
      </c>
      <c r="AA361" s="201"/>
      <c r="AB361" s="41"/>
      <c r="AC361" s="44"/>
      <c r="AD361" s="22"/>
    </row>
    <row r="362" spans="1:30" s="23" customFormat="1" x14ac:dyDescent="0.3">
      <c r="A362" s="48"/>
      <c r="B362" s="45" t="s">
        <v>275</v>
      </c>
      <c r="C362" s="41"/>
      <c r="D362" s="207"/>
      <c r="E362" s="207"/>
      <c r="F362" s="207"/>
      <c r="G362" s="207"/>
      <c r="H362" s="207"/>
      <c r="I362" s="207"/>
      <c r="J362" s="207"/>
      <c r="K362" s="207"/>
      <c r="L362" s="207"/>
      <c r="M362" s="207"/>
      <c r="N362" s="207"/>
      <c r="O362" s="207"/>
      <c r="P362" s="207"/>
      <c r="Q362" s="207"/>
      <c r="R362" s="207"/>
      <c r="S362" s="207"/>
      <c r="T362" s="207"/>
      <c r="U362" s="207"/>
      <c r="V362" s="207"/>
      <c r="W362" s="207"/>
      <c r="X362" s="213"/>
      <c r="Y362" s="201"/>
      <c r="Z362" s="214">
        <f>+AB66</f>
        <v>566810</v>
      </c>
      <c r="AA362" s="201"/>
      <c r="AB362" s="41"/>
      <c r="AC362" s="44"/>
      <c r="AD362" s="22"/>
    </row>
    <row r="363" spans="1:30" s="23" customFormat="1" x14ac:dyDescent="0.3">
      <c r="A363" s="48"/>
      <c r="B363" s="45"/>
      <c r="C363" s="41"/>
      <c r="D363" s="207"/>
      <c r="E363" s="207"/>
      <c r="F363" s="207"/>
      <c r="G363" s="207"/>
      <c r="H363" s="207"/>
      <c r="I363" s="207"/>
      <c r="J363" s="207"/>
      <c r="K363" s="207"/>
      <c r="L363" s="207"/>
      <c r="M363" s="207"/>
      <c r="N363" s="207"/>
      <c r="O363" s="207"/>
      <c r="P363" s="207"/>
      <c r="Q363" s="207"/>
      <c r="R363" s="207"/>
      <c r="S363" s="207"/>
      <c r="T363" s="207"/>
      <c r="U363" s="207"/>
      <c r="V363" s="207"/>
      <c r="W363" s="207"/>
      <c r="X363" s="213"/>
      <c r="Y363" s="201"/>
      <c r="Z363" s="214"/>
      <c r="AA363" s="201"/>
      <c r="AB363" s="41"/>
      <c r="AC363" s="44"/>
      <c r="AD363" s="22"/>
    </row>
    <row r="364" spans="1:30" s="23" customFormat="1" x14ac:dyDescent="0.3">
      <c r="A364" s="48"/>
      <c r="B364" s="45" t="s">
        <v>318</v>
      </c>
      <c r="C364" s="41"/>
      <c r="D364" s="207"/>
      <c r="E364" s="207"/>
      <c r="F364" s="207"/>
      <c r="G364" s="207"/>
      <c r="H364" s="207"/>
      <c r="I364" s="207"/>
      <c r="J364" s="207"/>
      <c r="K364" s="207"/>
      <c r="L364" s="207"/>
      <c r="M364" s="207"/>
      <c r="N364" s="207"/>
      <c r="O364" s="207"/>
      <c r="P364" s="207"/>
      <c r="Q364" s="207"/>
      <c r="R364" s="207"/>
      <c r="S364" s="207"/>
      <c r="T364" s="207"/>
      <c r="U364" s="207"/>
      <c r="V364" s="207"/>
      <c r="W364" s="207"/>
      <c r="X364" s="213"/>
      <c r="Y364" s="201"/>
      <c r="Z364" s="239">
        <f>(D30*0.375+F30*0.05+H30*0.05+J30+L30)/AB30</f>
        <v>0.38528563363384555</v>
      </c>
      <c r="AA364" s="201"/>
      <c r="AB364" s="41"/>
      <c r="AC364" s="44"/>
      <c r="AD364" s="22"/>
    </row>
    <row r="365" spans="1:30" s="23" customFormat="1" x14ac:dyDescent="0.3">
      <c r="A365" s="18"/>
      <c r="B365" s="20"/>
      <c r="C365" s="20"/>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8"/>
      <c r="AA365" s="217"/>
      <c r="AB365" s="20"/>
      <c r="AC365" s="21"/>
      <c r="AD365" s="22"/>
    </row>
    <row r="366" spans="1:30" s="23" customFormat="1" x14ac:dyDescent="0.3">
      <c r="A366" s="18"/>
      <c r="B366" s="19" t="s">
        <v>62</v>
      </c>
      <c r="C366" s="20"/>
      <c r="D366" s="219" t="s">
        <v>66</v>
      </c>
      <c r="E366" s="19"/>
      <c r="F366" s="19" t="s">
        <v>67</v>
      </c>
      <c r="G366" s="20"/>
      <c r="H366" s="19"/>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20" t="s">
        <v>122</v>
      </c>
      <c r="E368" s="19"/>
      <c r="F368" s="19" t="s">
        <v>170</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t="s">
        <v>153</v>
      </c>
      <c r="C369" s="19"/>
      <c r="D369" s="220" t="s">
        <v>98</v>
      </c>
      <c r="E369" s="19"/>
      <c r="F369" s="19" t="s">
        <v>171</v>
      </c>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19"/>
      <c r="C370" s="19"/>
      <c r="D370" s="220"/>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s="23" customFormat="1" x14ac:dyDescent="0.3">
      <c r="A371" s="18"/>
      <c r="B371" s="255" t="s">
        <v>337</v>
      </c>
      <c r="C371" s="256"/>
      <c r="D371" s="256"/>
      <c r="E371" s="256"/>
      <c r="F371" s="257"/>
      <c r="G371" s="256"/>
      <c r="H371" s="258"/>
      <c r="I371" s="255"/>
      <c r="J371" s="255"/>
      <c r="K371" s="255"/>
      <c r="L371" s="255"/>
      <c r="M371" s="255"/>
      <c r="N371" s="255"/>
      <c r="O371" s="255"/>
      <c r="P371" s="255"/>
      <c r="Q371" s="20"/>
      <c r="R371" s="20"/>
      <c r="S371" s="20"/>
      <c r="T371" s="20"/>
      <c r="U371" s="20"/>
      <c r="V371" s="20"/>
      <c r="W371" s="20"/>
      <c r="X371" s="20"/>
      <c r="Y371" s="20"/>
      <c r="Z371" s="20"/>
      <c r="AA371" s="20"/>
      <c r="AB371" s="20"/>
      <c r="AC371" s="21"/>
      <c r="AD371" s="22"/>
    </row>
    <row r="372" spans="1:30" s="23" customFormat="1" x14ac:dyDescent="0.3">
      <c r="A372" s="18"/>
      <c r="B372" s="256"/>
      <c r="C372" s="256"/>
      <c r="D372" s="256"/>
      <c r="E372" s="256"/>
      <c r="F372" s="257"/>
      <c r="G372" s="256"/>
      <c r="H372" s="258"/>
      <c r="I372" s="255"/>
      <c r="J372" s="255"/>
      <c r="K372" s="255"/>
      <c r="L372" s="255"/>
      <c r="M372" s="255"/>
      <c r="N372" s="255"/>
      <c r="O372" s="255"/>
      <c r="P372" s="255"/>
      <c r="Q372" s="20"/>
      <c r="R372" s="20"/>
      <c r="S372" s="20"/>
      <c r="T372" s="20"/>
      <c r="U372" s="20"/>
      <c r="V372" s="20"/>
      <c r="W372" s="20"/>
      <c r="X372" s="20"/>
      <c r="Y372" s="20"/>
      <c r="Z372" s="20"/>
      <c r="AA372" s="20"/>
      <c r="AB372" s="20"/>
      <c r="AC372" s="21"/>
      <c r="AD372" s="22"/>
    </row>
    <row r="373" spans="1:30" s="23" customFormat="1" ht="18" x14ac:dyDescent="0.35">
      <c r="A373" s="18"/>
      <c r="B373" s="259" t="s">
        <v>109</v>
      </c>
      <c r="C373" s="256"/>
      <c r="D373" s="256"/>
      <c r="E373" s="256"/>
      <c r="F373" s="257"/>
      <c r="G373" s="256"/>
      <c r="H373" s="258"/>
      <c r="I373" s="255"/>
      <c r="J373" s="255"/>
      <c r="K373" s="255"/>
      <c r="L373" s="255"/>
      <c r="M373" s="255"/>
      <c r="N373" s="255"/>
      <c r="O373" s="255"/>
      <c r="P373" s="260" t="s">
        <v>169</v>
      </c>
      <c r="Q373" s="20"/>
      <c r="R373" s="20"/>
      <c r="S373" s="20"/>
      <c r="T373" s="20"/>
      <c r="U373" s="20"/>
      <c r="V373" s="20"/>
      <c r="W373" s="20"/>
      <c r="X373" s="20"/>
      <c r="Y373" s="20"/>
      <c r="Z373" s="20"/>
      <c r="AA373" s="20"/>
      <c r="AB373" s="20"/>
      <c r="AC373" s="21"/>
      <c r="AD373" s="22"/>
    </row>
    <row r="374" spans="1:30" x14ac:dyDescent="0.3">
      <c r="A374" s="221"/>
      <c r="B374" s="222"/>
      <c r="C374" s="222"/>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4"/>
      <c r="AD374" s="5"/>
    </row>
    <row r="375" spans="1:30" x14ac:dyDescent="0.3">
      <c r="A375" s="221"/>
      <c r="B375" s="222"/>
      <c r="C375" s="222"/>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4"/>
      <c r="AD375" s="5"/>
    </row>
    <row r="376" spans="1:30" ht="18.600000000000001" thickBot="1" x14ac:dyDescent="0.4">
      <c r="A376" s="221"/>
      <c r="B376" s="225" t="str">
        <f>B244</f>
        <v>PM25 INVESTOR REPORT QUARTER ENDING APRIL 2021</v>
      </c>
      <c r="C376" s="222"/>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6"/>
      <c r="AD376" s="5"/>
    </row>
    <row r="377" spans="1:30"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row>
    <row r="378" spans="1:30" x14ac:dyDescent="0.3">
      <c r="B378" s="280" t="s">
        <v>326</v>
      </c>
    </row>
    <row r="379" spans="1:30" x14ac:dyDescent="0.3">
      <c r="B379" s="264" t="s">
        <v>327</v>
      </c>
    </row>
    <row r="380" spans="1:30" x14ac:dyDescent="0.3">
      <c r="B380" s="264" t="s">
        <v>328</v>
      </c>
    </row>
    <row r="381" spans="1:30" x14ac:dyDescent="0.3">
      <c r="B381" s="264" t="s">
        <v>329</v>
      </c>
    </row>
    <row r="382" spans="1:30" x14ac:dyDescent="0.3">
      <c r="B382" s="264" t="s">
        <v>330</v>
      </c>
    </row>
    <row r="383" spans="1:30" x14ac:dyDescent="0.3">
      <c r="B383" s="264" t="s">
        <v>331</v>
      </c>
    </row>
    <row r="384" spans="1:30" x14ac:dyDescent="0.3">
      <c r="B384" s="264" t="s">
        <v>332</v>
      </c>
    </row>
    <row r="385" spans="2:2" x14ac:dyDescent="0.3">
      <c r="B385" s="264" t="s">
        <v>333</v>
      </c>
    </row>
    <row r="386" spans="2:2" x14ac:dyDescent="0.3">
      <c r="B386" s="264"/>
    </row>
    <row r="387" spans="2:2" s="264" customFormat="1" x14ac:dyDescent="0.3">
      <c r="B387" s="280" t="s">
        <v>350</v>
      </c>
    </row>
    <row r="388" spans="2:2" s="264" customFormat="1" x14ac:dyDescent="0.3">
      <c r="B388" s="264" t="s">
        <v>358</v>
      </c>
    </row>
    <row r="389" spans="2:2" s="264" customFormat="1" x14ac:dyDescent="0.3">
      <c r="B389" s="264" t="s">
        <v>361</v>
      </c>
    </row>
    <row r="390" spans="2:2" x14ac:dyDescent="0.3">
      <c r="B390" s="264"/>
    </row>
    <row r="391" spans="2:2" x14ac:dyDescent="0.3">
      <c r="B391" s="280" t="s">
        <v>334</v>
      </c>
    </row>
    <row r="392" spans="2:2" x14ac:dyDescent="0.3">
      <c r="B392" s="264" t="s">
        <v>335</v>
      </c>
    </row>
    <row r="393" spans="2:2" x14ac:dyDescent="0.3">
      <c r="B393" s="264" t="s">
        <v>362</v>
      </c>
    </row>
    <row r="394" spans="2:2" x14ac:dyDescent="0.3">
      <c r="B394" s="264"/>
    </row>
    <row r="395" spans="2:2" x14ac:dyDescent="0.3">
      <c r="B395" s="6" t="s">
        <v>363</v>
      </c>
    </row>
    <row r="396" spans="2:2" x14ac:dyDescent="0.3">
      <c r="B396" s="6" t="s">
        <v>375</v>
      </c>
    </row>
    <row r="397" spans="2:2" x14ac:dyDescent="0.3">
      <c r="B397" s="299"/>
    </row>
    <row r="398" spans="2:2" x14ac:dyDescent="0.3">
      <c r="B398" s="299"/>
    </row>
  </sheetData>
  <hyperlinks>
    <hyperlink ref="X284" r:id="rId1" display="http://www.paragon-group.co.uk" xr:uid="{92AD824B-5097-4D70-8DD2-E6D9981A7AF5}"/>
    <hyperlink ref="K9" r:id="rId2" display="http://www.paragon-group.co.uk" xr:uid="{DE3C3E10-EA10-4890-9A1F-3B5A5FE2546B}"/>
    <hyperlink ref="P373" r:id="rId3" xr:uid="{5A0563D7-89C7-4692-ACA4-A7176E0E7621}"/>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5" max="18" man="1"/>
    <brk id="244" max="18" man="1"/>
  </rowBreaks>
  <colBreaks count="1" manualBreakCount="1">
    <brk id="29" max="299" man="1"/>
  </colBreaks>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02ECB-3094-4DBE-B0B2-909931462E94}">
  <sheetPr>
    <tabColor rgb="FF89CB31"/>
  </sheetPr>
  <dimension ref="A1:JB405"/>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44431</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460962</v>
      </c>
      <c r="E29" s="55"/>
      <c r="F29" s="55">
        <f t="shared" ref="F29:L29" si="0">F28*F32</f>
        <v>33500</v>
      </c>
      <c r="G29" s="55"/>
      <c r="H29" s="55">
        <f t="shared" si="0"/>
        <v>30000</v>
      </c>
      <c r="I29" s="55"/>
      <c r="J29" s="55">
        <f t="shared" si="0"/>
        <v>24700</v>
      </c>
      <c r="K29" s="55"/>
      <c r="L29" s="55">
        <f t="shared" si="0"/>
        <v>17648</v>
      </c>
      <c r="M29" s="55"/>
      <c r="N29" s="55">
        <f>N28*N32</f>
        <v>8481.2725800000007</v>
      </c>
      <c r="O29" s="55"/>
      <c r="P29" s="55">
        <v>0</v>
      </c>
      <c r="Q29" s="55"/>
      <c r="R29" s="55" t="s">
        <v>83</v>
      </c>
      <c r="S29" s="55"/>
      <c r="T29" s="55" t="s">
        <v>83</v>
      </c>
      <c r="U29" s="55"/>
      <c r="V29" s="55" t="s">
        <v>83</v>
      </c>
      <c r="W29" s="51"/>
      <c r="X29" s="55" t="s">
        <v>83</v>
      </c>
      <c r="Y29" s="51"/>
      <c r="Z29" s="51"/>
      <c r="AA29" s="50"/>
      <c r="AB29" s="51">
        <f>SUM(D29:L29)</f>
        <v>566810</v>
      </c>
      <c r="AC29" s="52"/>
      <c r="AD29" s="22"/>
    </row>
    <row r="30" spans="1:33" s="23" customFormat="1" x14ac:dyDescent="0.3">
      <c r="A30" s="48"/>
      <c r="B30" s="45" t="s">
        <v>92</v>
      </c>
      <c r="C30" s="50"/>
      <c r="D30" s="58">
        <f>D28*D31</f>
        <v>445710</v>
      </c>
      <c r="E30" s="58"/>
      <c r="F30" s="58">
        <f>F28</f>
        <v>33500</v>
      </c>
      <c r="G30" s="58"/>
      <c r="H30" s="58">
        <f>H28</f>
        <v>30000</v>
      </c>
      <c r="I30" s="58"/>
      <c r="J30" s="58">
        <f>J28</f>
        <v>24700</v>
      </c>
      <c r="K30" s="58"/>
      <c r="L30" s="58">
        <f>L28</f>
        <v>17648</v>
      </c>
      <c r="M30" s="58"/>
      <c r="N30" s="58">
        <f>N28*N31</f>
        <v>8237.4712199999994</v>
      </c>
      <c r="O30" s="58"/>
      <c r="P30" s="58">
        <v>0</v>
      </c>
      <c r="Q30" s="58"/>
      <c r="R30" s="58" t="s">
        <v>83</v>
      </c>
      <c r="S30" s="58"/>
      <c r="T30" s="58" t="s">
        <v>83</v>
      </c>
      <c r="U30" s="58"/>
      <c r="V30" s="58" t="s">
        <v>83</v>
      </c>
      <c r="W30" s="57"/>
      <c r="X30" s="58" t="s">
        <v>83</v>
      </c>
      <c r="Y30" s="51"/>
      <c r="Z30" s="51"/>
      <c r="AA30" s="50"/>
      <c r="AB30" s="57">
        <f>SUM(D30:L30)</f>
        <v>551558</v>
      </c>
      <c r="AC30" s="52"/>
      <c r="AD30" s="22"/>
      <c r="AE30" s="238"/>
    </row>
    <row r="31" spans="1:33" s="67" customFormat="1" x14ac:dyDescent="0.3">
      <c r="A31" s="59"/>
      <c r="B31" s="169" t="s">
        <v>88</v>
      </c>
      <c r="C31" s="63"/>
      <c r="D31" s="61">
        <v>0.74285000000000001</v>
      </c>
      <c r="E31" s="61"/>
      <c r="F31" s="61">
        <v>1</v>
      </c>
      <c r="G31" s="61"/>
      <c r="H31" s="61">
        <v>1</v>
      </c>
      <c r="I31" s="61"/>
      <c r="J31" s="61">
        <v>1</v>
      </c>
      <c r="K31" s="61"/>
      <c r="L31" s="61">
        <v>1</v>
      </c>
      <c r="M31" s="61"/>
      <c r="N31" s="61">
        <v>0.75414000000000003</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0.76827000000000001</v>
      </c>
      <c r="E32" s="61"/>
      <c r="F32" s="61">
        <v>1</v>
      </c>
      <c r="G32" s="61"/>
      <c r="H32" s="61">
        <v>1</v>
      </c>
      <c r="I32" s="61"/>
      <c r="J32" s="61">
        <v>1</v>
      </c>
      <c r="K32" s="61"/>
      <c r="L32" s="61">
        <v>1</v>
      </c>
      <c r="M32" s="61"/>
      <c r="N32" s="61">
        <v>0.77646000000000004</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7.3588000000000004E-3</v>
      </c>
      <c r="E34" s="71"/>
      <c r="F34" s="71">
        <v>1.03588E-2</v>
      </c>
      <c r="G34" s="71"/>
      <c r="H34" s="71">
        <v>1.3858799999999999E-2</v>
      </c>
      <c r="I34" s="71"/>
      <c r="J34" s="71">
        <v>1.68588E-2</v>
      </c>
      <c r="K34" s="71"/>
      <c r="L34" s="71">
        <v>2.6858799999999999E-2</v>
      </c>
      <c r="M34" s="71"/>
      <c r="N34" s="71">
        <v>4.0858800000000001E-2</v>
      </c>
      <c r="O34" s="71"/>
      <c r="P34" s="71">
        <v>4.0858800000000001E-2</v>
      </c>
      <c r="Q34" s="71"/>
      <c r="R34" s="71" t="s">
        <v>83</v>
      </c>
      <c r="S34" s="71"/>
      <c r="T34" s="71" t="s">
        <v>83</v>
      </c>
      <c r="U34" s="71"/>
      <c r="V34" s="71" t="s">
        <v>83</v>
      </c>
      <c r="W34" s="70"/>
      <c r="X34" s="71" t="s">
        <v>83</v>
      </c>
      <c r="Y34" s="49"/>
      <c r="Z34" s="49"/>
      <c r="AA34" s="41"/>
      <c r="AB34" s="70">
        <f>SUMPRODUCT(D34:L34,D29:L29)/AB29</f>
        <v>8.9012674935163467E-3</v>
      </c>
      <c r="AC34" s="44"/>
      <c r="AD34" s="22"/>
    </row>
    <row r="35" spans="1:30" s="23" customFormat="1" x14ac:dyDescent="0.3">
      <c r="A35" s="48"/>
      <c r="B35" s="41" t="s">
        <v>10</v>
      </c>
      <c r="C35" s="72"/>
      <c r="D35" s="71">
        <v>7.0213000000000003E-3</v>
      </c>
      <c r="E35" s="71"/>
      <c r="F35" s="71">
        <v>1.00213E-2</v>
      </c>
      <c r="G35" s="71"/>
      <c r="H35" s="71">
        <v>1.35213E-2</v>
      </c>
      <c r="I35" s="71"/>
      <c r="J35" s="71">
        <v>1.6521299999999999E-2</v>
      </c>
      <c r="K35" s="71"/>
      <c r="L35" s="71">
        <v>2.6521300000000001E-2</v>
      </c>
      <c r="M35" s="71"/>
      <c r="N35" s="71">
        <v>4.0521300000000003E-2</v>
      </c>
      <c r="O35" s="71"/>
      <c r="P35" s="71">
        <v>4.0521300000000003E-2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0.23748177065805121</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44424</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91</v>
      </c>
      <c r="Y47" s="41"/>
      <c r="Z47" s="79">
        <v>44242</v>
      </c>
      <c r="AA47" s="80"/>
      <c r="AB47" s="79">
        <v>44332</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91</v>
      </c>
      <c r="Y48" s="41"/>
      <c r="Z48" s="79">
        <v>44333</v>
      </c>
      <c r="AA48" s="80"/>
      <c r="AB48" s="79">
        <v>44423</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44423</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364</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563838</v>
      </c>
      <c r="S57" s="241"/>
      <c r="T57" s="240">
        <f>407+123</f>
        <v>530</v>
      </c>
      <c r="U57" s="241"/>
      <c r="V57" s="241">
        <v>20136</v>
      </c>
      <c r="W57" s="241"/>
      <c r="X57" s="241">
        <v>0</v>
      </c>
      <c r="Y57" s="241"/>
      <c r="Z57" s="241">
        <v>0</v>
      </c>
      <c r="AA57" s="241"/>
      <c r="AB57" s="240">
        <f>R57-T57-V57+X57-Z57</f>
        <v>543172</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563838</v>
      </c>
      <c r="S60" s="241"/>
      <c r="T60" s="241">
        <f>T57+T58</f>
        <v>530</v>
      </c>
      <c r="U60" s="241"/>
      <c r="V60" s="241">
        <f>SUM(V57:V59)</f>
        <v>20136</v>
      </c>
      <c r="W60" s="241"/>
      <c r="X60" s="241">
        <f>SUM(X57:X59)</f>
        <v>0</v>
      </c>
      <c r="Y60" s="241"/>
      <c r="Z60" s="241">
        <f>SUM(Z57:Z59)</f>
        <v>0</v>
      </c>
      <c r="AA60" s="241"/>
      <c r="AB60" s="241">
        <f>SUM(AB57:AB59)</f>
        <v>543172</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2972</v>
      </c>
      <c r="S63" s="241"/>
      <c r="T63" s="241">
        <v>0</v>
      </c>
      <c r="U63" s="241"/>
      <c r="V63" s="241">
        <v>5414</v>
      </c>
      <c r="W63" s="241"/>
      <c r="X63" s="241"/>
      <c r="Y63" s="241"/>
      <c r="Z63" s="241"/>
      <c r="AA63" s="241"/>
      <c r="AB63" s="241">
        <f>+R63+V63</f>
        <v>8386</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566810</v>
      </c>
      <c r="S66" s="241"/>
      <c r="T66" s="241"/>
      <c r="U66" s="241"/>
      <c r="V66" s="241"/>
      <c r="W66" s="241"/>
      <c r="X66" s="241"/>
      <c r="Y66" s="241"/>
      <c r="Z66" s="241"/>
      <c r="AA66" s="241"/>
      <c r="AB66" s="241">
        <f>SUM(AB60:AB65)</f>
        <v>551558</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44407</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2972</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+T57+V57+Z57-6</f>
        <v>20660</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1504+5327-504-1099</f>
        <v>5228</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59+368</f>
        <v>427</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244</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2545</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23632</v>
      </c>
      <c r="AA85" s="41"/>
      <c r="AB85" s="100">
        <f>SUM(AB70:AB84)</f>
        <v>8444</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23632</v>
      </c>
      <c r="AA88" s="41"/>
      <c r="AB88" s="100">
        <f>AB85+AB86+AB87</f>
        <v>8444</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-285-12-7</f>
        <v>-304</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-726</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-846</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-86</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-104</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-104</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6</v>
      </c>
      <c r="AA101" s="115"/>
      <c r="AB101" s="101">
        <v>-6</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-2500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-118</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-86</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-244</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-12-142</f>
        <v>-154</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-3139</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-8386</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-15252</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-23638</v>
      </c>
      <c r="AA131" s="100"/>
      <c r="AB131" s="100">
        <f>SUM(AB89:AB129)</f>
        <v>-8444</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JULY 2021</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+'April 21'!AB147</f>
        <v>7661.5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-244</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7417.5</v>
      </c>
      <c r="AC147" s="44"/>
      <c r="AD147" s="22"/>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+'April 21'!AB160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+'April 21'!AB166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6</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6</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-6</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2972</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-2972</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8386</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8386</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+'April 21'!AB190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+'April 21'!AB198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+'April 21'!AB206</f>
        <v>1278</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2568</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2545</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1301</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+'April 21'!AB214</f>
        <v>2604</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2568</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2500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2536</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+'April 21'!Y221</f>
        <v>0</v>
      </c>
      <c r="Z219" s="101">
        <f>+'April 21'!Z221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440000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445967</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-5967</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8.7612293144208042</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4.01</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76.348837209302332</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40.58</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62.307692307692307</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35.770000000000003</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61.307692307692307</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36.299999999999997</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53.152542372881356</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33.67</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JULY 2021</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44407</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3.8460000000000001E-2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8.9012674935163467E-3</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2.9558732506483654E-2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1.4897408302605811E-2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15.61</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3.6460189481484093E-2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0.123</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0</v>
      </c>
      <c r="Z268" s="165">
        <f>+Z320</f>
        <v>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6</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'April 21'!Z274+Z273</f>
        <v>26</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3218</v>
      </c>
      <c r="Y287" s="195">
        <f>X287/$X$296</f>
        <v>0.99690210656753409</v>
      </c>
      <c r="Z287" s="110">
        <f t="shared" ref="Z287:Z294" si="2">+Z299+Z311+Z333</f>
        <v>540676</v>
      </c>
      <c r="AA287" s="195">
        <f t="shared" ref="AA287:AA294" si="3">Z287/$Z$296</f>
        <v>0.99540477049627007</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4</v>
      </c>
      <c r="Y288" s="199">
        <f t="shared" ref="Y288:Y294" si="4">X288/$X$296</f>
        <v>1.2391573729863693E-3</v>
      </c>
      <c r="Z288" s="200">
        <f t="shared" si="2"/>
        <v>1353</v>
      </c>
      <c r="AA288" s="201">
        <f t="shared" si="3"/>
        <v>2.4909236853151487E-3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2</v>
      </c>
      <c r="Y289" s="203">
        <f t="shared" si="4"/>
        <v>6.1957868649318464E-4</v>
      </c>
      <c r="Z289" s="134">
        <f t="shared" si="2"/>
        <v>432</v>
      </c>
      <c r="AA289" s="201">
        <f t="shared" si="3"/>
        <v>7.953281833378746E-4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0</v>
      </c>
      <c r="Y291" s="203">
        <f t="shared" si="4"/>
        <v>0</v>
      </c>
      <c r="Z291" s="134">
        <f t="shared" si="2"/>
        <v>0</v>
      </c>
      <c r="AA291" s="201">
        <f t="shared" si="3"/>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3</v>
      </c>
      <c r="Y293" s="205">
        <f t="shared" si="4"/>
        <v>9.2936802973977691E-4</v>
      </c>
      <c r="Z293" s="206">
        <f t="shared" si="2"/>
        <v>608</v>
      </c>
      <c r="AA293" s="201">
        <f t="shared" si="3"/>
        <v>1.1193507765496012E-3</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1</v>
      </c>
      <c r="Y294" s="201">
        <f t="shared" si="4"/>
        <v>3.0978934324659232E-4</v>
      </c>
      <c r="Z294" s="110">
        <f t="shared" si="2"/>
        <v>103</v>
      </c>
      <c r="AA294" s="201">
        <f t="shared" si="3"/>
        <v>1.896268585273173E-4</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3228</v>
      </c>
      <c r="Y296" s="201">
        <f>SUM(Y287:Y295)</f>
        <v>1</v>
      </c>
      <c r="Z296" s="101">
        <f>SUM(Z287:Z295)</f>
        <v>543172</v>
      </c>
      <c r="AA296" s="201">
        <f>SUM(AA287:AA295)</f>
        <v>0.99999999999999989</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3218</v>
      </c>
      <c r="Y299" s="195">
        <f>X299/$X$308</f>
        <v>0.99690210656753409</v>
      </c>
      <c r="Z299" s="110">
        <v>540676</v>
      </c>
      <c r="AA299" s="195">
        <f>Z299/$Z$308</f>
        <v>0.99540477049627007</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4</v>
      </c>
      <c r="Y300" s="201">
        <f t="shared" ref="Y300:Y306" si="5">X300/$X$308</f>
        <v>1.2391573729863693E-3</v>
      </c>
      <c r="Z300" s="101">
        <v>1353</v>
      </c>
      <c r="AA300" s="201">
        <f t="shared" ref="AA300:AA306" si="6">Z300/$Z$308</f>
        <v>2.4909236853151487E-3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2</v>
      </c>
      <c r="Y301" s="201">
        <f t="shared" si="5"/>
        <v>6.1957868649318464E-4</v>
      </c>
      <c r="Z301" s="101">
        <v>432</v>
      </c>
      <c r="AA301" s="201">
        <f t="shared" si="6"/>
        <v>7.953281833378746E-4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3</v>
      </c>
      <c r="Y305" s="201">
        <f>X305/$X$308</f>
        <v>9.2936802973977691E-4</v>
      </c>
      <c r="Z305" s="101">
        <v>608</v>
      </c>
      <c r="AA305" s="201">
        <f t="shared" si="6"/>
        <v>1.1193507765496012E-3</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1</v>
      </c>
      <c r="Y306" s="201">
        <f t="shared" si="5"/>
        <v>3.0978934324659232E-4</v>
      </c>
      <c r="Z306" s="101">
        <v>103</v>
      </c>
      <c r="AA306" s="201">
        <f t="shared" si="6"/>
        <v>1.896268585273173E-4</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3228</v>
      </c>
      <c r="Y308" s="201">
        <f>SUM(Y299:Y307)</f>
        <v>1</v>
      </c>
      <c r="Z308" s="101">
        <f>SUM(Z299:Z307)</f>
        <v>543172</v>
      </c>
      <c r="AA308" s="201">
        <f>SUM(AA299:AA307)</f>
        <v>0.99999999999999989</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0</v>
      </c>
      <c r="Y320" s="201">
        <f>SUM(Y311:Y319)</f>
        <v>0</v>
      </c>
      <c r="Z320" s="101">
        <f>SUM(Z311:Z319)</f>
        <v>0</v>
      </c>
      <c r="AA320" s="201">
        <f>SUM(AA311:AA319)</f>
        <v>0</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74">
        <v>0</v>
      </c>
      <c r="Z328" s="275">
        <v>0</v>
      </c>
      <c r="AA328" s="274">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0</v>
      </c>
      <c r="Y330" s="274">
        <f>SUM(Y323:Y328)</f>
        <v>0</v>
      </c>
      <c r="Z330" s="275">
        <f>SUM(Z323:Z328)</f>
        <v>0</v>
      </c>
      <c r="AA330" s="274">
        <f>SUM(AA323:AA329)</f>
        <v>0</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243" t="s">
        <v>324</v>
      </c>
      <c r="B344" s="244" t="s">
        <v>325</v>
      </c>
      <c r="C344" s="245"/>
      <c r="D344" s="245"/>
      <c r="E344" s="245"/>
      <c r="F344" s="245"/>
      <c r="G344" s="245"/>
      <c r="H344" s="246"/>
      <c r="I344" s="246"/>
      <c r="J344" s="246"/>
      <c r="K344" s="246"/>
      <c r="L344" s="246"/>
      <c r="M344" s="246"/>
      <c r="N344" s="246"/>
      <c r="O344" s="246"/>
      <c r="P344" s="262"/>
      <c r="Q344" s="262"/>
      <c r="R344" s="262"/>
      <c r="S344" s="262"/>
      <c r="T344" s="262"/>
      <c r="U344" s="262"/>
      <c r="V344" s="262"/>
      <c r="W344" s="262"/>
      <c r="X344" s="157" t="s">
        <v>69</v>
      </c>
      <c r="Y344" s="106" t="s">
        <v>70</v>
      </c>
      <c r="Z344" s="157" t="s">
        <v>75</v>
      </c>
      <c r="AA344" s="106" t="s">
        <v>70</v>
      </c>
      <c r="AB344" s="244" t="s">
        <v>349</v>
      </c>
      <c r="AC344" s="37"/>
      <c r="AD344" s="22"/>
    </row>
    <row r="345" spans="1:30" s="23" customFormat="1" x14ac:dyDescent="0.3">
      <c r="A345" s="247"/>
      <c r="B345" s="248" t="s">
        <v>59</v>
      </c>
      <c r="C345" s="249"/>
      <c r="D345" s="249"/>
      <c r="E345" s="249"/>
      <c r="F345" s="249"/>
      <c r="G345" s="249"/>
      <c r="H345" s="250"/>
      <c r="I345" s="250"/>
      <c r="J345" s="250"/>
      <c r="K345" s="250"/>
      <c r="L345" s="250"/>
      <c r="M345" s="250"/>
      <c r="N345" s="250"/>
      <c r="O345" s="250"/>
      <c r="P345" s="261"/>
      <c r="Q345" s="261"/>
      <c r="R345" s="261"/>
      <c r="S345" s="261"/>
      <c r="T345" s="261"/>
      <c r="U345" s="261"/>
      <c r="V345" s="261"/>
      <c r="W345" s="261"/>
      <c r="X345" s="109">
        <v>0</v>
      </c>
      <c r="Y345" s="195">
        <v>0</v>
      </c>
      <c r="Z345" s="110">
        <v>0</v>
      </c>
      <c r="AA345" s="195">
        <v>0</v>
      </c>
      <c r="AB345" s="38"/>
      <c r="AC345" s="44"/>
      <c r="AD345" s="22"/>
    </row>
    <row r="346" spans="1:30" s="23" customFormat="1" x14ac:dyDescent="0.3">
      <c r="A346" s="251"/>
      <c r="B346" s="252" t="s">
        <v>60</v>
      </c>
      <c r="C346" s="253"/>
      <c r="D346" s="253"/>
      <c r="E346" s="253"/>
      <c r="F346" s="253"/>
      <c r="G346" s="253"/>
      <c r="H346" s="254"/>
      <c r="I346" s="254"/>
      <c r="J346" s="254"/>
      <c r="K346" s="254"/>
      <c r="L346" s="254"/>
      <c r="M346" s="254"/>
      <c r="N346" s="254"/>
      <c r="O346" s="254"/>
      <c r="P346" s="207"/>
      <c r="Q346" s="207"/>
      <c r="R346" s="207"/>
      <c r="S346" s="207"/>
      <c r="T346" s="207"/>
      <c r="U346" s="207"/>
      <c r="V346" s="207"/>
      <c r="W346" s="207"/>
      <c r="X346" s="100">
        <v>0</v>
      </c>
      <c r="Y346" s="263">
        <v>0</v>
      </c>
      <c r="Z346" s="101">
        <v>0</v>
      </c>
      <c r="AA346" s="201">
        <v>0</v>
      </c>
      <c r="AB346" s="41"/>
      <c r="AC346" s="44"/>
      <c r="AD346" s="22"/>
    </row>
    <row r="347" spans="1:30" s="23" customFormat="1" x14ac:dyDescent="0.3">
      <c r="A347" s="251"/>
      <c r="B347" s="252" t="s">
        <v>61</v>
      </c>
      <c r="C347" s="253"/>
      <c r="D347" s="253"/>
      <c r="E347" s="253"/>
      <c r="F347" s="253"/>
      <c r="G347" s="253"/>
      <c r="H347" s="254"/>
      <c r="I347" s="254"/>
      <c r="J347" s="254"/>
      <c r="K347" s="254"/>
      <c r="L347" s="254"/>
      <c r="M347" s="254"/>
      <c r="N347" s="254"/>
      <c r="O347" s="254"/>
      <c r="P347" s="207"/>
      <c r="Q347" s="207"/>
      <c r="R347" s="207"/>
      <c r="S347" s="207"/>
      <c r="T347" s="207"/>
      <c r="U347" s="207"/>
      <c r="V347" s="207"/>
      <c r="W347" s="207"/>
      <c r="X347" s="100">
        <v>0</v>
      </c>
      <c r="Y347" s="263">
        <v>0</v>
      </c>
      <c r="Z347" s="101">
        <v>0</v>
      </c>
      <c r="AA347" s="201">
        <v>0</v>
      </c>
      <c r="AB347" s="41"/>
      <c r="AC347" s="44"/>
      <c r="AD347" s="22"/>
    </row>
    <row r="348" spans="1:30" s="23" customFormat="1" x14ac:dyDescent="0.3">
      <c r="A348" s="251"/>
      <c r="B348" s="252" t="s">
        <v>100</v>
      </c>
      <c r="C348" s="253"/>
      <c r="D348" s="253"/>
      <c r="E348" s="253"/>
      <c r="F348" s="253"/>
      <c r="G348" s="253"/>
      <c r="H348" s="254"/>
      <c r="I348" s="254"/>
      <c r="J348" s="254"/>
      <c r="K348" s="254"/>
      <c r="L348" s="254"/>
      <c r="M348" s="254"/>
      <c r="N348" s="254"/>
      <c r="O348" s="254"/>
      <c r="P348" s="207"/>
      <c r="Q348" s="207"/>
      <c r="R348" s="207"/>
      <c r="S348" s="207"/>
      <c r="T348" s="207"/>
      <c r="U348" s="207"/>
      <c r="V348" s="207"/>
      <c r="W348" s="207"/>
      <c r="X348" s="100">
        <v>0</v>
      </c>
      <c r="Y348" s="263">
        <v>0</v>
      </c>
      <c r="Z348" s="101">
        <v>0</v>
      </c>
      <c r="AA348" s="201">
        <v>0</v>
      </c>
      <c r="AB348" s="41"/>
      <c r="AC348" s="44"/>
      <c r="AD348" s="22"/>
    </row>
    <row r="349" spans="1:30" s="23" customFormat="1" x14ac:dyDescent="0.3">
      <c r="A349" s="251"/>
      <c r="B349" s="252" t="s">
        <v>101</v>
      </c>
      <c r="C349" s="253"/>
      <c r="D349" s="253"/>
      <c r="E349" s="253"/>
      <c r="F349" s="253"/>
      <c r="G349" s="253"/>
      <c r="H349" s="254"/>
      <c r="I349" s="254"/>
      <c r="J349" s="254"/>
      <c r="K349" s="254"/>
      <c r="L349" s="254"/>
      <c r="M349" s="254"/>
      <c r="N349" s="254"/>
      <c r="O349" s="254"/>
      <c r="P349" s="207"/>
      <c r="Q349" s="207"/>
      <c r="R349" s="207"/>
      <c r="S349" s="207"/>
      <c r="T349" s="207"/>
      <c r="U349" s="207"/>
      <c r="V349" s="207"/>
      <c r="W349" s="207"/>
      <c r="X349" s="100">
        <v>0</v>
      </c>
      <c r="Y349" s="263">
        <v>0</v>
      </c>
      <c r="Z349" s="101">
        <v>0</v>
      </c>
      <c r="AA349" s="201">
        <v>0</v>
      </c>
      <c r="AB349" s="41"/>
      <c r="AC349" s="44"/>
      <c r="AD349" s="22"/>
    </row>
    <row r="350" spans="1:30" s="23" customFormat="1" x14ac:dyDescent="0.3">
      <c r="A350" s="251"/>
      <c r="B350" s="252" t="s">
        <v>102</v>
      </c>
      <c r="C350" s="253"/>
      <c r="D350" s="253"/>
      <c r="E350" s="253"/>
      <c r="F350" s="253"/>
      <c r="G350" s="253"/>
      <c r="H350" s="254"/>
      <c r="I350" s="254"/>
      <c r="J350" s="254"/>
      <c r="K350" s="254"/>
      <c r="L350" s="254"/>
      <c r="M350" s="254"/>
      <c r="N350" s="254"/>
      <c r="O350" s="254"/>
      <c r="P350" s="207"/>
      <c r="Q350" s="207"/>
      <c r="R350" s="207"/>
      <c r="S350" s="207"/>
      <c r="T350" s="207"/>
      <c r="U350" s="207"/>
      <c r="V350" s="207"/>
      <c r="W350" s="207"/>
      <c r="X350" s="100">
        <v>0</v>
      </c>
      <c r="Y350" s="263">
        <v>0</v>
      </c>
      <c r="Z350" s="101">
        <v>0</v>
      </c>
      <c r="AA350" s="201">
        <v>0</v>
      </c>
      <c r="AB350" s="41"/>
      <c r="AC350" s="44"/>
      <c r="AD350" s="22"/>
    </row>
    <row r="351" spans="1:30" s="23" customFormat="1" x14ac:dyDescent="0.3">
      <c r="A351" s="251"/>
      <c r="B351" s="252" t="s">
        <v>103</v>
      </c>
      <c r="C351" s="253"/>
      <c r="D351" s="253"/>
      <c r="E351" s="253"/>
      <c r="F351" s="253"/>
      <c r="G351" s="253"/>
      <c r="H351" s="254"/>
      <c r="I351" s="254"/>
      <c r="J351" s="254"/>
      <c r="K351" s="254"/>
      <c r="L351" s="254"/>
      <c r="M351" s="254"/>
      <c r="N351" s="254"/>
      <c r="O351" s="254"/>
      <c r="P351" s="207"/>
      <c r="Q351" s="207"/>
      <c r="R351" s="207"/>
      <c r="S351" s="207"/>
      <c r="T351" s="207"/>
      <c r="U351" s="207"/>
      <c r="V351" s="207"/>
      <c r="W351" s="207"/>
      <c r="X351" s="100">
        <v>0</v>
      </c>
      <c r="Y351" s="263">
        <v>0</v>
      </c>
      <c r="Z351" s="101">
        <v>0</v>
      </c>
      <c r="AA351" s="201">
        <v>0</v>
      </c>
      <c r="AB351" s="41"/>
      <c r="AC351" s="44"/>
      <c r="AD351" s="22"/>
    </row>
    <row r="352" spans="1:30" s="23" customFormat="1" x14ac:dyDescent="0.3">
      <c r="A352" s="251"/>
      <c r="B352" s="252" t="s">
        <v>104</v>
      </c>
      <c r="C352" s="253"/>
      <c r="D352" s="253"/>
      <c r="E352" s="253"/>
      <c r="F352" s="253"/>
      <c r="G352" s="253"/>
      <c r="H352" s="254"/>
      <c r="I352" s="254"/>
      <c r="J352" s="254"/>
      <c r="K352" s="254"/>
      <c r="L352" s="254"/>
      <c r="M352" s="254"/>
      <c r="N352" s="254"/>
      <c r="O352" s="254"/>
      <c r="P352" s="207"/>
      <c r="Q352" s="207"/>
      <c r="R352" s="207"/>
      <c r="S352" s="207"/>
      <c r="T352" s="207"/>
      <c r="U352" s="207"/>
      <c r="V352" s="207"/>
      <c r="W352" s="207"/>
      <c r="X352" s="100">
        <v>0</v>
      </c>
      <c r="Y352" s="195">
        <v>0</v>
      </c>
      <c r="Z352" s="101">
        <v>0</v>
      </c>
      <c r="AA352" s="201">
        <v>0</v>
      </c>
      <c r="AB352" s="41"/>
      <c r="AC352" s="44"/>
      <c r="AD352" s="22"/>
    </row>
    <row r="353" spans="1:30" s="23" customFormat="1" x14ac:dyDescent="0.3">
      <c r="A353" s="251"/>
      <c r="B353" s="252"/>
      <c r="C353" s="253"/>
      <c r="D353" s="253"/>
      <c r="E353" s="253"/>
      <c r="F353" s="253"/>
      <c r="G353" s="253"/>
      <c r="H353" s="254"/>
      <c r="I353" s="254"/>
      <c r="J353" s="254"/>
      <c r="K353" s="254"/>
      <c r="L353" s="254"/>
      <c r="M353" s="254"/>
      <c r="N353" s="254"/>
      <c r="O353" s="254"/>
      <c r="P353" s="207"/>
      <c r="Q353" s="207"/>
      <c r="R353" s="207"/>
      <c r="S353" s="207"/>
      <c r="T353" s="207"/>
      <c r="U353" s="207"/>
      <c r="V353" s="207"/>
      <c r="W353" s="207"/>
      <c r="X353" s="100"/>
      <c r="Y353" s="201"/>
      <c r="Z353" s="101"/>
      <c r="AA353" s="201"/>
      <c r="AB353" s="41"/>
      <c r="AC353" s="44"/>
      <c r="AD353" s="22"/>
    </row>
    <row r="354" spans="1:30" s="23" customFormat="1" x14ac:dyDescent="0.3">
      <c r="A354" s="251"/>
      <c r="B354" s="253" t="s">
        <v>80</v>
      </c>
      <c r="C354" s="253"/>
      <c r="D354" s="253"/>
      <c r="E354" s="253"/>
      <c r="F354" s="253"/>
      <c r="G354" s="253"/>
      <c r="H354" s="254"/>
      <c r="I354" s="254"/>
      <c r="J354" s="254"/>
      <c r="K354" s="254"/>
      <c r="L354" s="254"/>
      <c r="M354" s="254"/>
      <c r="N354" s="254"/>
      <c r="O354" s="254"/>
      <c r="P354" s="207"/>
      <c r="Q354" s="207"/>
      <c r="R354" s="207"/>
      <c r="S354" s="207"/>
      <c r="T354" s="207"/>
      <c r="U354" s="207"/>
      <c r="V354" s="207"/>
      <c r="W354" s="207"/>
      <c r="X354" s="284">
        <f>SUM(X345:X352)</f>
        <v>0</v>
      </c>
      <c r="Y354" s="205">
        <f>SUM(Y345:Y352)</f>
        <v>0</v>
      </c>
      <c r="Z354" s="285">
        <f>SUM(Z345:Z352)</f>
        <v>0</v>
      </c>
      <c r="AA354" s="205">
        <f>SUM(AA345:AA352)</f>
        <v>0</v>
      </c>
      <c r="AB354" s="286"/>
      <c r="AC354" s="44"/>
      <c r="AD354" s="22"/>
    </row>
    <row r="355" spans="1:30" s="268" customFormat="1" ht="16.2" thickBot="1" x14ac:dyDescent="0.35">
      <c r="A355" s="251"/>
      <c r="B355" s="253" t="s">
        <v>343</v>
      </c>
      <c r="C355" s="253"/>
      <c r="D355" s="253"/>
      <c r="E355" s="253"/>
      <c r="F355" s="253"/>
      <c r="G355" s="253"/>
      <c r="H355" s="254"/>
      <c r="I355" s="254"/>
      <c r="J355" s="254"/>
      <c r="K355" s="254"/>
      <c r="L355" s="254"/>
      <c r="M355" s="254"/>
      <c r="N355" s="254"/>
      <c r="O355" s="254"/>
      <c r="P355" s="272"/>
      <c r="Q355" s="272"/>
      <c r="R355" s="272"/>
      <c r="S355" s="272"/>
      <c r="T355" s="272"/>
      <c r="U355" s="272"/>
      <c r="V355" s="272"/>
      <c r="W355" s="272"/>
      <c r="X355" s="291"/>
      <c r="Y355" s="291">
        <f>X354/X359</f>
        <v>0</v>
      </c>
      <c r="Z355" s="292"/>
      <c r="AA355" s="291">
        <f>Z354/Z359</f>
        <v>0</v>
      </c>
      <c r="AB355" s="293"/>
      <c r="AC355" s="276"/>
      <c r="AD355" s="267"/>
    </row>
    <row r="356" spans="1:30" s="268" customFormat="1" ht="16.2" thickTop="1" x14ac:dyDescent="0.3">
      <c r="A356" s="251"/>
      <c r="B356" s="253" t="s">
        <v>347</v>
      </c>
      <c r="C356" s="253"/>
      <c r="D356" s="253"/>
      <c r="E356" s="253"/>
      <c r="F356" s="253"/>
      <c r="G356" s="253"/>
      <c r="H356" s="254"/>
      <c r="I356" s="254"/>
      <c r="J356" s="254"/>
      <c r="K356" s="254"/>
      <c r="L356" s="254"/>
      <c r="M356" s="254"/>
      <c r="N356" s="254"/>
      <c r="O356" s="254"/>
      <c r="P356" s="272"/>
      <c r="Q356" s="272"/>
      <c r="R356" s="272"/>
      <c r="S356" s="272"/>
      <c r="T356" s="272"/>
      <c r="U356" s="272"/>
      <c r="V356" s="272"/>
      <c r="W356" s="272"/>
      <c r="X356" s="294">
        <v>0</v>
      </c>
      <c r="Y356" s="295">
        <v>0</v>
      </c>
      <c r="Z356" s="296">
        <v>0</v>
      </c>
      <c r="AA356" s="295">
        <v>0</v>
      </c>
      <c r="AB356" s="297">
        <v>0</v>
      </c>
      <c r="AC356" s="276"/>
      <c r="AD356" s="267"/>
    </row>
    <row r="357" spans="1:30" s="268" customFormat="1" ht="16.2" thickBot="1" x14ac:dyDescent="0.35">
      <c r="A357" s="251"/>
      <c r="B357" s="253" t="s">
        <v>348</v>
      </c>
      <c r="C357" s="253"/>
      <c r="D357" s="253"/>
      <c r="E357" s="253"/>
      <c r="F357" s="253"/>
      <c r="G357" s="253"/>
      <c r="H357" s="254"/>
      <c r="I357" s="254"/>
      <c r="J357" s="254"/>
      <c r="K357" s="254"/>
      <c r="L357" s="254"/>
      <c r="M357" s="254"/>
      <c r="N357" s="254"/>
      <c r="O357" s="254"/>
      <c r="P357" s="272"/>
      <c r="Q357" s="272"/>
      <c r="R357" s="272"/>
      <c r="S357" s="272"/>
      <c r="T357" s="272"/>
      <c r="U357" s="272"/>
      <c r="V357" s="272"/>
      <c r="W357" s="272"/>
      <c r="X357" s="287">
        <v>0</v>
      </c>
      <c r="Y357" s="288">
        <v>0</v>
      </c>
      <c r="Z357" s="289">
        <v>0</v>
      </c>
      <c r="AA357" s="288">
        <v>0</v>
      </c>
      <c r="AB357" s="290">
        <v>0</v>
      </c>
      <c r="AC357" s="276"/>
      <c r="AD357" s="267"/>
    </row>
    <row r="358" spans="1:30" s="23" customFormat="1" ht="16.2" thickTop="1" x14ac:dyDescent="0.3">
      <c r="A358" s="48"/>
      <c r="B358" s="41"/>
      <c r="C358" s="41"/>
      <c r="D358" s="207"/>
      <c r="E358" s="207"/>
      <c r="F358" s="207"/>
      <c r="G358" s="207"/>
      <c r="H358" s="207"/>
      <c r="I358" s="207"/>
      <c r="J358" s="207"/>
      <c r="K358" s="207"/>
      <c r="L358" s="207"/>
      <c r="M358" s="207"/>
      <c r="N358" s="207"/>
      <c r="O358" s="207"/>
      <c r="P358" s="207"/>
      <c r="Q358" s="207"/>
      <c r="R358" s="207"/>
      <c r="S358" s="207"/>
      <c r="T358" s="207"/>
      <c r="U358" s="207"/>
      <c r="V358" s="207"/>
      <c r="W358" s="207"/>
      <c r="X358" s="284"/>
      <c r="Y358" s="205"/>
      <c r="Z358" s="285"/>
      <c r="AA358" s="205"/>
      <c r="AB358" s="286"/>
      <c r="AC358" s="44"/>
      <c r="AD358" s="22"/>
    </row>
    <row r="359" spans="1:30" s="23" customFormat="1" x14ac:dyDescent="0.3">
      <c r="A359" s="48"/>
      <c r="B359" s="45" t="s">
        <v>139</v>
      </c>
      <c r="C359" s="41"/>
      <c r="D359" s="207"/>
      <c r="E359" s="207"/>
      <c r="F359" s="207"/>
      <c r="G359" s="207"/>
      <c r="H359" s="207"/>
      <c r="I359" s="207"/>
      <c r="J359" s="207"/>
      <c r="K359" s="207"/>
      <c r="L359" s="207"/>
      <c r="M359" s="207"/>
      <c r="N359" s="207"/>
      <c r="O359" s="207"/>
      <c r="P359" s="207"/>
      <c r="Q359" s="207"/>
      <c r="R359" s="207"/>
      <c r="S359" s="207"/>
      <c r="T359" s="207"/>
      <c r="U359" s="207"/>
      <c r="V359" s="207"/>
      <c r="W359" s="207"/>
      <c r="X359" s="213">
        <f>X342+X320+X308</f>
        <v>3228</v>
      </c>
      <c r="Y359" s="201"/>
      <c r="Z359" s="214">
        <f>+Z342+Z320+Z308</f>
        <v>543172</v>
      </c>
      <c r="AA359" s="201"/>
      <c r="AB359" s="41"/>
      <c r="AC359" s="44"/>
      <c r="AD359" s="22"/>
    </row>
    <row r="360" spans="1:30" s="23" customFormat="1" x14ac:dyDescent="0.3">
      <c r="A360" s="48"/>
      <c r="B360" s="45" t="s">
        <v>253</v>
      </c>
      <c r="C360" s="45"/>
      <c r="D360" s="215"/>
      <c r="E360" s="215"/>
      <c r="F360" s="215"/>
      <c r="G360" s="215"/>
      <c r="H360" s="215"/>
      <c r="I360" s="215"/>
      <c r="J360" s="215"/>
      <c r="K360" s="215"/>
      <c r="L360" s="215"/>
      <c r="M360" s="215"/>
      <c r="N360" s="215"/>
      <c r="O360" s="215"/>
      <c r="P360" s="215"/>
      <c r="Q360" s="215"/>
      <c r="R360" s="215"/>
      <c r="S360" s="215"/>
      <c r="T360" s="215"/>
      <c r="U360" s="215"/>
      <c r="V360" s="215"/>
      <c r="W360" s="215"/>
      <c r="X360" s="213"/>
      <c r="Y360" s="216"/>
      <c r="Z360" s="214">
        <f>+AB63+AB64</f>
        <v>8386</v>
      </c>
      <c r="AA360" s="201"/>
      <c r="AB360" s="41"/>
      <c r="AC360" s="44"/>
      <c r="AD360" s="22"/>
    </row>
    <row r="361" spans="1:30" s="23" customFormat="1" x14ac:dyDescent="0.3">
      <c r="A361" s="48"/>
      <c r="B361" s="45" t="s">
        <v>107</v>
      </c>
      <c r="C361" s="45"/>
      <c r="D361" s="215"/>
      <c r="E361" s="215"/>
      <c r="F361" s="215"/>
      <c r="G361" s="215"/>
      <c r="H361" s="215"/>
      <c r="I361" s="215"/>
      <c r="J361" s="215"/>
      <c r="K361" s="215"/>
      <c r="L361" s="215"/>
      <c r="M361" s="215"/>
      <c r="N361" s="215"/>
      <c r="O361" s="215"/>
      <c r="P361" s="215"/>
      <c r="Q361" s="215"/>
      <c r="R361" s="215"/>
      <c r="S361" s="215"/>
      <c r="T361" s="215"/>
      <c r="U361" s="215"/>
      <c r="V361" s="215"/>
      <c r="W361" s="215"/>
      <c r="X361" s="213"/>
      <c r="Y361" s="216"/>
      <c r="Z361" s="214">
        <f>+Z359+Z360</f>
        <v>551558</v>
      </c>
      <c r="AA361" s="201"/>
      <c r="AB361" s="41"/>
      <c r="AC361" s="44"/>
      <c r="AD361" s="22"/>
    </row>
    <row r="362" spans="1:30" s="23" customFormat="1" x14ac:dyDescent="0.3">
      <c r="A362" s="48"/>
      <c r="B362" s="45" t="s">
        <v>275</v>
      </c>
      <c r="C362" s="41"/>
      <c r="D362" s="207"/>
      <c r="E362" s="207"/>
      <c r="F362" s="207"/>
      <c r="G362" s="207"/>
      <c r="H362" s="207"/>
      <c r="I362" s="207"/>
      <c r="J362" s="207"/>
      <c r="K362" s="207"/>
      <c r="L362" s="207"/>
      <c r="M362" s="207"/>
      <c r="N362" s="207"/>
      <c r="O362" s="207"/>
      <c r="P362" s="207"/>
      <c r="Q362" s="207"/>
      <c r="R362" s="207"/>
      <c r="S362" s="207"/>
      <c r="T362" s="207"/>
      <c r="U362" s="207"/>
      <c r="V362" s="207"/>
      <c r="W362" s="207"/>
      <c r="X362" s="213"/>
      <c r="Y362" s="201"/>
      <c r="Z362" s="214">
        <f>+AB66</f>
        <v>551558</v>
      </c>
      <c r="AA362" s="201"/>
      <c r="AB362" s="41"/>
      <c r="AC362" s="44"/>
      <c r="AD362" s="22"/>
    </row>
    <row r="363" spans="1:30" s="23" customFormat="1" x14ac:dyDescent="0.3">
      <c r="A363" s="48"/>
      <c r="B363" s="45"/>
      <c r="C363" s="41"/>
      <c r="D363" s="207"/>
      <c r="E363" s="207"/>
      <c r="F363" s="207"/>
      <c r="G363" s="207"/>
      <c r="H363" s="207"/>
      <c r="I363" s="207"/>
      <c r="J363" s="207"/>
      <c r="K363" s="207"/>
      <c r="L363" s="207"/>
      <c r="M363" s="207"/>
      <c r="N363" s="207"/>
      <c r="O363" s="207"/>
      <c r="P363" s="207"/>
      <c r="Q363" s="207"/>
      <c r="R363" s="207"/>
      <c r="S363" s="207"/>
      <c r="T363" s="207"/>
      <c r="U363" s="207"/>
      <c r="V363" s="207"/>
      <c r="W363" s="207"/>
      <c r="X363" s="213"/>
      <c r="Y363" s="201"/>
      <c r="Z363" s="214"/>
      <c r="AA363" s="201"/>
      <c r="AB363" s="41"/>
      <c r="AC363" s="44"/>
      <c r="AD363" s="22"/>
    </row>
    <row r="364" spans="1:30" s="23" customFormat="1" x14ac:dyDescent="0.3">
      <c r="A364" s="48"/>
      <c r="B364" s="45" t="s">
        <v>318</v>
      </c>
      <c r="C364" s="41"/>
      <c r="D364" s="207"/>
      <c r="E364" s="207"/>
      <c r="F364" s="207"/>
      <c r="G364" s="207"/>
      <c r="H364" s="207"/>
      <c r="I364" s="207"/>
      <c r="J364" s="207"/>
      <c r="K364" s="207"/>
      <c r="L364" s="207"/>
      <c r="M364" s="207"/>
      <c r="N364" s="207"/>
      <c r="O364" s="207"/>
      <c r="P364" s="207"/>
      <c r="Q364" s="207"/>
      <c r="R364" s="207"/>
      <c r="S364" s="207"/>
      <c r="T364" s="207"/>
      <c r="U364" s="207"/>
      <c r="V364" s="207"/>
      <c r="W364" s="207"/>
      <c r="X364" s="213"/>
      <c r="Y364" s="201"/>
      <c r="Z364" s="239">
        <f>(D30*0.375+F30*0.05+H30*0.05+J30+L30)/AB30</f>
        <v>0.38557005790868776</v>
      </c>
      <c r="AA364" s="201"/>
      <c r="AB364" s="41"/>
      <c r="AC364" s="44"/>
      <c r="AD364" s="22"/>
    </row>
    <row r="365" spans="1:30" s="23" customFormat="1" x14ac:dyDescent="0.3">
      <c r="A365" s="18"/>
      <c r="B365" s="20"/>
      <c r="C365" s="20"/>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8"/>
      <c r="AA365" s="217"/>
      <c r="AB365" s="20"/>
      <c r="AC365" s="21"/>
      <c r="AD365" s="22"/>
    </row>
    <row r="366" spans="1:30" s="23" customFormat="1" x14ac:dyDescent="0.3">
      <c r="A366" s="18"/>
      <c r="B366" s="19" t="s">
        <v>62</v>
      </c>
      <c r="C366" s="20"/>
      <c r="D366" s="219" t="s">
        <v>66</v>
      </c>
      <c r="E366" s="19"/>
      <c r="F366" s="19" t="s">
        <v>67</v>
      </c>
      <c r="G366" s="20"/>
      <c r="H366" s="19"/>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20" t="s">
        <v>122</v>
      </c>
      <c r="E368" s="19"/>
      <c r="F368" s="19" t="s">
        <v>170</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t="s">
        <v>153</v>
      </c>
      <c r="C369" s="19"/>
      <c r="D369" s="220" t="s">
        <v>98</v>
      </c>
      <c r="E369" s="19"/>
      <c r="F369" s="19" t="s">
        <v>171</v>
      </c>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19"/>
      <c r="C370" s="19"/>
      <c r="D370" s="220"/>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s="23" customFormat="1" x14ac:dyDescent="0.3">
      <c r="A371" s="18"/>
      <c r="B371" s="255" t="s">
        <v>337</v>
      </c>
      <c r="C371" s="256"/>
      <c r="D371" s="256"/>
      <c r="E371" s="256"/>
      <c r="F371" s="257"/>
      <c r="G371" s="256"/>
      <c r="H371" s="258"/>
      <c r="I371" s="255"/>
      <c r="J371" s="255"/>
      <c r="K371" s="255"/>
      <c r="L371" s="255"/>
      <c r="M371" s="255"/>
      <c r="N371" s="255"/>
      <c r="O371" s="255"/>
      <c r="P371" s="255"/>
      <c r="Q371" s="20"/>
      <c r="R371" s="20"/>
      <c r="S371" s="20"/>
      <c r="T371" s="20"/>
      <c r="U371" s="20"/>
      <c r="V371" s="20"/>
      <c r="W371" s="20"/>
      <c r="X371" s="20"/>
      <c r="Y371" s="20"/>
      <c r="Z371" s="20"/>
      <c r="AA371" s="20"/>
      <c r="AB371" s="20"/>
      <c r="AC371" s="21"/>
      <c r="AD371" s="22"/>
    </row>
    <row r="372" spans="1:30" s="23" customFormat="1" x14ac:dyDescent="0.3">
      <c r="A372" s="18"/>
      <c r="B372" s="256"/>
      <c r="C372" s="256"/>
      <c r="D372" s="256"/>
      <c r="E372" s="256"/>
      <c r="F372" s="257"/>
      <c r="G372" s="256"/>
      <c r="H372" s="258"/>
      <c r="I372" s="255"/>
      <c r="J372" s="255"/>
      <c r="K372" s="255"/>
      <c r="L372" s="255"/>
      <c r="M372" s="255"/>
      <c r="N372" s="255"/>
      <c r="O372" s="255"/>
      <c r="P372" s="255"/>
      <c r="Q372" s="20"/>
      <c r="R372" s="20"/>
      <c r="S372" s="20"/>
      <c r="T372" s="20"/>
      <c r="U372" s="20"/>
      <c r="V372" s="20"/>
      <c r="W372" s="20"/>
      <c r="X372" s="20"/>
      <c r="Y372" s="20"/>
      <c r="Z372" s="20"/>
      <c r="AA372" s="20"/>
      <c r="AB372" s="20"/>
      <c r="AC372" s="21"/>
      <c r="AD372" s="22"/>
    </row>
    <row r="373" spans="1:30" s="23" customFormat="1" ht="18" x14ac:dyDescent="0.35">
      <c r="A373" s="18"/>
      <c r="B373" s="259" t="s">
        <v>109</v>
      </c>
      <c r="C373" s="256"/>
      <c r="D373" s="256"/>
      <c r="E373" s="256"/>
      <c r="F373" s="257"/>
      <c r="G373" s="256"/>
      <c r="H373" s="258"/>
      <c r="I373" s="255"/>
      <c r="J373" s="255"/>
      <c r="K373" s="255"/>
      <c r="L373" s="255"/>
      <c r="M373" s="255"/>
      <c r="N373" s="255"/>
      <c r="O373" s="255"/>
      <c r="P373" s="260" t="s">
        <v>169</v>
      </c>
      <c r="Q373" s="20"/>
      <c r="R373" s="20"/>
      <c r="S373" s="20"/>
      <c r="T373" s="20"/>
      <c r="U373" s="20"/>
      <c r="V373" s="20"/>
      <c r="W373" s="20"/>
      <c r="X373" s="20"/>
      <c r="Y373" s="20"/>
      <c r="Z373" s="20"/>
      <c r="AA373" s="20"/>
      <c r="AB373" s="20"/>
      <c r="AC373" s="21"/>
      <c r="AD373" s="22"/>
    </row>
    <row r="374" spans="1:30" x14ac:dyDescent="0.3">
      <c r="A374" s="221"/>
      <c r="B374" s="222"/>
      <c r="C374" s="222"/>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4"/>
      <c r="AD374" s="5"/>
    </row>
    <row r="375" spans="1:30" x14ac:dyDescent="0.3">
      <c r="A375" s="221"/>
      <c r="B375" s="222"/>
      <c r="C375" s="222"/>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4"/>
      <c r="AD375" s="5"/>
    </row>
    <row r="376" spans="1:30" ht="18.600000000000001" thickBot="1" x14ac:dyDescent="0.4">
      <c r="A376" s="221"/>
      <c r="B376" s="225" t="str">
        <f>B244</f>
        <v>PM25 INVESTOR REPORT QUARTER ENDING JULY 2021</v>
      </c>
      <c r="C376" s="222"/>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6"/>
      <c r="AD376" s="5"/>
    </row>
    <row r="377" spans="1:30"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row>
    <row r="378" spans="1:30" x14ac:dyDescent="0.3">
      <c r="B378" s="280" t="s">
        <v>326</v>
      </c>
    </row>
    <row r="379" spans="1:30" x14ac:dyDescent="0.3">
      <c r="B379" s="264" t="s">
        <v>327</v>
      </c>
    </row>
    <row r="380" spans="1:30" x14ac:dyDescent="0.3">
      <c r="B380" s="264" t="s">
        <v>328</v>
      </c>
    </row>
    <row r="381" spans="1:30" x14ac:dyDescent="0.3">
      <c r="B381" s="264" t="s">
        <v>329</v>
      </c>
    </row>
    <row r="382" spans="1:30" x14ac:dyDescent="0.3">
      <c r="B382" s="264" t="s">
        <v>330</v>
      </c>
    </row>
    <row r="383" spans="1:30" x14ac:dyDescent="0.3">
      <c r="B383" s="264" t="s">
        <v>331</v>
      </c>
    </row>
    <row r="384" spans="1:30" x14ac:dyDescent="0.3">
      <c r="B384" s="264" t="s">
        <v>332</v>
      </c>
    </row>
    <row r="385" spans="2:2" x14ac:dyDescent="0.3">
      <c r="B385" s="264" t="s">
        <v>333</v>
      </c>
    </row>
    <row r="386" spans="2:2" x14ac:dyDescent="0.3">
      <c r="B386" s="264"/>
    </row>
    <row r="387" spans="2:2" s="264" customFormat="1" x14ac:dyDescent="0.3">
      <c r="B387" s="280" t="s">
        <v>350</v>
      </c>
    </row>
    <row r="388" spans="2:2" s="264" customFormat="1" x14ac:dyDescent="0.3">
      <c r="B388" s="264" t="s">
        <v>358</v>
      </c>
    </row>
    <row r="389" spans="2:2" s="264" customFormat="1" x14ac:dyDescent="0.3">
      <c r="B389" s="264" t="s">
        <v>369</v>
      </c>
    </row>
    <row r="390" spans="2:2" s="264" customFormat="1" x14ac:dyDescent="0.3"/>
    <row r="391" spans="2:2" s="264" customFormat="1" x14ac:dyDescent="0.3">
      <c r="B391" s="264" t="s">
        <v>370</v>
      </c>
    </row>
    <row r="392" spans="2:2" x14ac:dyDescent="0.3">
      <c r="B392" s="264"/>
    </row>
    <row r="393" spans="2:2" x14ac:dyDescent="0.3">
      <c r="B393" s="280" t="s">
        <v>334</v>
      </c>
    </row>
    <row r="394" spans="2:2" x14ac:dyDescent="0.3">
      <c r="B394" s="264" t="s">
        <v>335</v>
      </c>
    </row>
    <row r="395" spans="2:2" x14ac:dyDescent="0.3">
      <c r="B395" s="264" t="s">
        <v>362</v>
      </c>
    </row>
    <row r="396" spans="2:2" x14ac:dyDescent="0.3">
      <c r="B396" s="264"/>
    </row>
    <row r="397" spans="2:2" x14ac:dyDescent="0.3">
      <c r="B397" s="301" t="s">
        <v>379</v>
      </c>
    </row>
    <row r="398" spans="2:2" x14ac:dyDescent="0.3">
      <c r="B398" s="302" t="s">
        <v>366</v>
      </c>
    </row>
    <row r="399" spans="2:2" x14ac:dyDescent="0.3">
      <c r="B399" s="299"/>
    </row>
    <row r="400" spans="2:2" x14ac:dyDescent="0.3">
      <c r="B400" s="264" t="s">
        <v>378</v>
      </c>
    </row>
    <row r="401" spans="2:2" x14ac:dyDescent="0.3">
      <c r="B401" s="302" t="s">
        <v>377</v>
      </c>
    </row>
    <row r="402" spans="2:2" x14ac:dyDescent="0.3">
      <c r="B402" s="303"/>
    </row>
    <row r="403" spans="2:2" x14ac:dyDescent="0.3">
      <c r="B403" s="280" t="s">
        <v>365</v>
      </c>
    </row>
    <row r="404" spans="2:2" x14ac:dyDescent="0.3">
      <c r="B404" s="264" t="s">
        <v>368</v>
      </c>
    </row>
    <row r="405" spans="2:2" x14ac:dyDescent="0.3">
      <c r="B405" s="302" t="s">
        <v>367</v>
      </c>
    </row>
  </sheetData>
  <hyperlinks>
    <hyperlink ref="X284" r:id="rId1" display="http://www.paragon-group.co.uk" xr:uid="{5F0FD3C0-43D1-4294-9625-9071E8AFCC33}"/>
    <hyperlink ref="K9" r:id="rId2" display="http://www.paragon-group.co.uk" xr:uid="{041797E1-5145-4CB0-85FB-1BDC1B31E936}"/>
    <hyperlink ref="P373" r:id="rId3" xr:uid="{53C72A78-A83B-43E0-BE7F-C8CDD2259D62}"/>
    <hyperlink ref="B398" r:id="rId4" display="https://www.londonstockexchange.com/news-article/41YH/notice-of-base-rate-modification/15064143" xr:uid="{DA0A9D0B-1097-44B9-9E1E-F0CAD6E4983C}"/>
    <hyperlink ref="B405" r:id="rId5" display="https://investorreporting.paragonbankinggroup.co.uk/bondinvestor_viewer/resources/bondinvestor/pdf/investornews/2021/libor-mortgages-transition-july-19" xr:uid="{A2C62BE1-3346-4E32-9CAB-1A8C2B0D8FE5}"/>
    <hyperlink ref="B401" r:id="rId6" xr:uid="{097371EC-A338-456A-898E-D4A17E4D5C99}"/>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4" max="18" man="1"/>
  </rowBreaks>
  <colBreaks count="1" manualBreakCount="1">
    <brk id="29" max="299" man="1"/>
  </colBreaks>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C28D-A716-4065-94D8-26C6D3C70BB6}">
  <sheetPr>
    <tabColor rgb="FF2D2926"/>
  </sheetPr>
  <dimension ref="A1:JB374"/>
  <sheetViews>
    <sheetView showGridLines="0" showOutlineSymbols="0" zoomScale="70" zoomScaleNormal="7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44522</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382</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445710</v>
      </c>
      <c r="E29" s="55"/>
      <c r="F29" s="55">
        <f t="shared" ref="F29:L29" si="0">F28*F32</f>
        <v>33500</v>
      </c>
      <c r="G29" s="55"/>
      <c r="H29" s="55">
        <f t="shared" si="0"/>
        <v>30000</v>
      </c>
      <c r="I29" s="55"/>
      <c r="J29" s="55">
        <f t="shared" si="0"/>
        <v>24700</v>
      </c>
      <c r="K29" s="55"/>
      <c r="L29" s="55">
        <f t="shared" si="0"/>
        <v>17648</v>
      </c>
      <c r="M29" s="55"/>
      <c r="N29" s="55">
        <f>N28*N32</f>
        <v>8237.4712199999994</v>
      </c>
      <c r="O29" s="55"/>
      <c r="P29" s="55">
        <v>0</v>
      </c>
      <c r="Q29" s="55"/>
      <c r="R29" s="55" t="s">
        <v>83</v>
      </c>
      <c r="S29" s="55"/>
      <c r="T29" s="55" t="s">
        <v>83</v>
      </c>
      <c r="U29" s="55"/>
      <c r="V29" s="55" t="s">
        <v>83</v>
      </c>
      <c r="W29" s="51"/>
      <c r="X29" s="55" t="s">
        <v>83</v>
      </c>
      <c r="Y29" s="51"/>
      <c r="Z29" s="51"/>
      <c r="AA29" s="50"/>
      <c r="AB29" s="51">
        <f>SUM(D29:L29)</f>
        <v>551558</v>
      </c>
      <c r="AC29" s="52"/>
      <c r="AD29" s="22"/>
    </row>
    <row r="30" spans="1:33" s="23" customFormat="1" x14ac:dyDescent="0.3">
      <c r="A30" s="48"/>
      <c r="B30" s="45" t="s">
        <v>92</v>
      </c>
      <c r="C30" s="50"/>
      <c r="D30" s="58">
        <f>D28*D31</f>
        <v>430668</v>
      </c>
      <c r="E30" s="58"/>
      <c r="F30" s="58">
        <f>F28</f>
        <v>33500</v>
      </c>
      <c r="G30" s="58"/>
      <c r="H30" s="58">
        <f>H28</f>
        <v>30000</v>
      </c>
      <c r="I30" s="58"/>
      <c r="J30" s="58">
        <f>J28</f>
        <v>24700</v>
      </c>
      <c r="K30" s="58"/>
      <c r="L30" s="58">
        <f>L28</f>
        <v>17648</v>
      </c>
      <c r="M30" s="58"/>
      <c r="N30" s="58">
        <f>N28*N31</f>
        <v>8008.7435999999998</v>
      </c>
      <c r="O30" s="58"/>
      <c r="P30" s="58">
        <v>0</v>
      </c>
      <c r="Q30" s="58"/>
      <c r="R30" s="58" t="s">
        <v>83</v>
      </c>
      <c r="S30" s="58"/>
      <c r="T30" s="58" t="s">
        <v>83</v>
      </c>
      <c r="U30" s="58"/>
      <c r="V30" s="58" t="s">
        <v>83</v>
      </c>
      <c r="W30" s="57"/>
      <c r="X30" s="58" t="s">
        <v>83</v>
      </c>
      <c r="Y30" s="51"/>
      <c r="Z30" s="51"/>
      <c r="AA30" s="50"/>
      <c r="AB30" s="57">
        <f>SUM(D30:L30)</f>
        <v>536516</v>
      </c>
      <c r="AC30" s="52"/>
      <c r="AD30" s="22"/>
      <c r="AE30" s="238"/>
    </row>
    <row r="31" spans="1:33" s="67" customFormat="1" x14ac:dyDescent="0.3">
      <c r="A31" s="59"/>
      <c r="B31" s="169" t="s">
        <v>88</v>
      </c>
      <c r="C31" s="63"/>
      <c r="D31" s="61">
        <v>0.71777999999999997</v>
      </c>
      <c r="E31" s="61"/>
      <c r="F31" s="61">
        <v>1</v>
      </c>
      <c r="G31" s="61"/>
      <c r="H31" s="61">
        <v>1</v>
      </c>
      <c r="I31" s="61"/>
      <c r="J31" s="61">
        <v>1</v>
      </c>
      <c r="K31" s="61"/>
      <c r="L31" s="61">
        <v>1</v>
      </c>
      <c r="M31" s="61"/>
      <c r="N31" s="61">
        <v>0.73319999999999996</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0.74285000000000001</v>
      </c>
      <c r="E32" s="61"/>
      <c r="F32" s="61">
        <v>1</v>
      </c>
      <c r="G32" s="61"/>
      <c r="H32" s="61">
        <v>1</v>
      </c>
      <c r="I32" s="61"/>
      <c r="J32" s="61">
        <v>1</v>
      </c>
      <c r="K32" s="61"/>
      <c r="L32" s="61">
        <v>1</v>
      </c>
      <c r="M32" s="61"/>
      <c r="N32" s="61">
        <v>0.75414000000000003</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7.2062999999999997E-3</v>
      </c>
      <c r="E34" s="71"/>
      <c r="F34" s="71">
        <v>1.02063E-2</v>
      </c>
      <c r="G34" s="71"/>
      <c r="H34" s="71">
        <v>1.3706299999999999E-2</v>
      </c>
      <c r="I34" s="71"/>
      <c r="J34" s="71">
        <v>1.67063E-2</v>
      </c>
      <c r="K34" s="71"/>
      <c r="L34" s="71">
        <v>2.6706299999999999E-2</v>
      </c>
      <c r="M34" s="71"/>
      <c r="N34" s="71">
        <v>4.0706300000000001E-2</v>
      </c>
      <c r="O34" s="71"/>
      <c r="P34" s="71">
        <v>4.0706300000000001E-2</v>
      </c>
      <c r="Q34" s="71"/>
      <c r="R34" s="71" t="s">
        <v>83</v>
      </c>
      <c r="S34" s="71"/>
      <c r="T34" s="71" t="s">
        <v>83</v>
      </c>
      <c r="U34" s="71"/>
      <c r="V34" s="71" t="s">
        <v>83</v>
      </c>
      <c r="W34" s="70"/>
      <c r="X34" s="71" t="s">
        <v>83</v>
      </c>
      <c r="Y34" s="49"/>
      <c r="Z34" s="49"/>
      <c r="AA34" s="41"/>
      <c r="AB34" s="70">
        <f>SUMPRODUCT(D34:L34,D29:L29)/AB29</f>
        <v>8.791420694469124E-3</v>
      </c>
      <c r="AC34" s="44"/>
      <c r="AD34" s="22"/>
    </row>
    <row r="35" spans="1:30" s="23" customFormat="1" x14ac:dyDescent="0.3">
      <c r="A35" s="48"/>
      <c r="B35" s="41" t="s">
        <v>10</v>
      </c>
      <c r="C35" s="72"/>
      <c r="D35" s="71">
        <v>7.3588000000000004E-3</v>
      </c>
      <c r="E35" s="71"/>
      <c r="F35" s="71">
        <v>1.03588E-2</v>
      </c>
      <c r="G35" s="71"/>
      <c r="H35" s="71">
        <v>1.3858799999999999E-2</v>
      </c>
      <c r="I35" s="71"/>
      <c r="J35" s="71">
        <v>1.68588E-2</v>
      </c>
      <c r="K35" s="71"/>
      <c r="L35" s="71">
        <v>2.6858799999999999E-2</v>
      </c>
      <c r="M35" s="71"/>
      <c r="N35" s="71">
        <v>4.0858800000000001E-2</v>
      </c>
      <c r="O35" s="71"/>
      <c r="P35" s="71">
        <v>4.0858800000000001E-2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0.2457763288658549</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44515</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91</v>
      </c>
      <c r="Y47" s="41"/>
      <c r="Z47" s="79">
        <v>44333</v>
      </c>
      <c r="AA47" s="80"/>
      <c r="AB47" s="79">
        <v>44423</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91</v>
      </c>
      <c r="Y48" s="41"/>
      <c r="Z48" s="79">
        <v>44424</v>
      </c>
      <c r="AA48" s="80"/>
      <c r="AB48" s="79">
        <v>44514</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44514</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380</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543172</v>
      </c>
      <c r="S57" s="241"/>
      <c r="T57" s="240">
        <f>403+125</f>
        <v>528</v>
      </c>
      <c r="U57" s="241"/>
      <c r="V57" s="241">
        <v>15639</v>
      </c>
      <c r="W57" s="241"/>
      <c r="X57" s="241">
        <v>0</v>
      </c>
      <c r="Y57" s="241"/>
      <c r="Z57" s="241">
        <v>0</v>
      </c>
      <c r="AA57" s="241"/>
      <c r="AB57" s="240">
        <f>R57-T57-V57+X57-Z57</f>
        <v>527005</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543172</v>
      </c>
      <c r="S60" s="241"/>
      <c r="T60" s="241">
        <f>T57+T58</f>
        <v>528</v>
      </c>
      <c r="U60" s="241"/>
      <c r="V60" s="241">
        <f>SUM(V57:V59)</f>
        <v>15639</v>
      </c>
      <c r="W60" s="241"/>
      <c r="X60" s="241">
        <f>SUM(X57:X59)</f>
        <v>0</v>
      </c>
      <c r="Y60" s="241"/>
      <c r="Z60" s="241">
        <f>SUM(Z57:Z59)</f>
        <v>0</v>
      </c>
      <c r="AA60" s="241"/>
      <c r="AB60" s="241">
        <f>SUM(AB57:AB59)</f>
        <v>527005</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8386</v>
      </c>
      <c r="S63" s="241"/>
      <c r="T63" s="241">
        <v>0</v>
      </c>
      <c r="U63" s="241"/>
      <c r="V63" s="241">
        <v>1125</v>
      </c>
      <c r="W63" s="241"/>
      <c r="X63" s="241"/>
      <c r="Y63" s="241"/>
      <c r="Z63" s="241"/>
      <c r="AA63" s="241"/>
      <c r="AB63" s="241">
        <f>+R63+V63</f>
        <v>9511</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551558</v>
      </c>
      <c r="S66" s="241"/>
      <c r="T66" s="241"/>
      <c r="U66" s="241"/>
      <c r="V66" s="241"/>
      <c r="W66" s="241"/>
      <c r="X66" s="241"/>
      <c r="Y66" s="241"/>
      <c r="Z66" s="241"/>
      <c r="AA66" s="241"/>
      <c r="AB66" s="241">
        <f>SUM(AB60:AB65)</f>
        <v>536516</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44498</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8386</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+T57+V57+Z57+8</f>
        <v>16175</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1153+4816-176-585</f>
        <v>5208</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234+26</f>
        <v>260</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229</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2460</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24561</v>
      </c>
      <c r="AA85" s="41"/>
      <c r="AB85" s="100">
        <f>SUM(AB70:AB84)</f>
        <v>8157</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24561</v>
      </c>
      <c r="AA88" s="41"/>
      <c r="AB88" s="100">
        <f>AB85+AB86+AB87</f>
        <v>8157</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-275-13-7</f>
        <v>-295</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-688</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-798</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-85</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-103</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-103</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-8</v>
      </c>
      <c r="AA101" s="115"/>
      <c r="AB101" s="101">
        <v>8</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-3200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-118</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-84</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-229</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-11-142</f>
        <v>-153</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-2282</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-9511</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-15042</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-24553</v>
      </c>
      <c r="AA131" s="100"/>
      <c r="AB131" s="100">
        <f>SUM(AB89:AB129)</f>
        <v>-8157</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OCTOBER 2021</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+'July 21'!AB147</f>
        <v>7417.5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-229</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7188.5</v>
      </c>
      <c r="AC147" s="44"/>
      <c r="AD147" s="22"/>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+'July 21'!AB160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+'July 21'!AB166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-8</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-8</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8</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8386</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-8386</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9511</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9511</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+'July 21'!AB190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+'July 21'!AB198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+'July 21'!AB206</f>
        <v>1301</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2475</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2460</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1316</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+'July 21'!AB214</f>
        <v>2536</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2475</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3200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3261</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+'July 21'!Y221</f>
        <v>0</v>
      </c>
      <c r="Z219" s="101">
        <f>+'July 21'!Z221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436000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436531</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-531</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8.9874686716791974</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4.18</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74.988235294117644</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42.26</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61.058252427184463</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37.119999999999997</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60.058252427184463</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37.619999999999997</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51.550847457627121</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34.75</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OCTOBER 2021</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44498</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3.8350000000000002E-2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8.791420694469124E-3</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2.955857930553088E-2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1.4789015842395541E-2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15.4</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2.931151392963206E-2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0.12239999999999999</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91</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-8</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'July 21'!Z274+Z273</f>
        <v>18</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3119</v>
      </c>
      <c r="Y287" s="195">
        <f>X287/$X$296</f>
        <v>0.99776071657069743</v>
      </c>
      <c r="Z287" s="110">
        <f t="shared" ref="Z287:Z294" si="2">+Z299+Z311+Z333</f>
        <v>525115</v>
      </c>
      <c r="AA287" s="195">
        <f t="shared" ref="AA287:AA294" si="3">Z287/$Z$296</f>
        <v>0.9964136962647413</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2</v>
      </c>
      <c r="Y288" s="199">
        <f t="shared" ref="Y288:Y294" si="4">X288/$X$296</f>
        <v>6.3979526551503517E-4</v>
      </c>
      <c r="Z288" s="200">
        <f t="shared" si="2"/>
        <v>951</v>
      </c>
      <c r="AA288" s="201">
        <f t="shared" si="3"/>
        <v>1.8045369588523827E-3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2</v>
      </c>
      <c r="Y289" s="203">
        <f t="shared" si="4"/>
        <v>6.3979526551503517E-4</v>
      </c>
      <c r="Z289" s="134">
        <f t="shared" si="2"/>
        <v>422</v>
      </c>
      <c r="AA289" s="201">
        <f t="shared" si="3"/>
        <v>8.0075141602072085E-4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0</v>
      </c>
      <c r="Y291" s="203">
        <f t="shared" si="4"/>
        <v>0</v>
      </c>
      <c r="Z291" s="134">
        <f t="shared" si="2"/>
        <v>0</v>
      </c>
      <c r="AA291" s="201">
        <f t="shared" si="3"/>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3</v>
      </c>
      <c r="Y293" s="205">
        <f t="shared" si="4"/>
        <v>9.5969289827255275E-4</v>
      </c>
      <c r="Z293" s="206">
        <f t="shared" si="2"/>
        <v>517</v>
      </c>
      <c r="AA293" s="201">
        <f t="shared" si="3"/>
        <v>9.8101536038557513E-4</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3126</v>
      </c>
      <c r="Y296" s="201">
        <f>SUM(Y287:Y295)</f>
        <v>1</v>
      </c>
      <c r="Z296" s="101">
        <f>SUM(Z287:Z295)</f>
        <v>527005</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3119</v>
      </c>
      <c r="Y299" s="195">
        <f>X299/$X$308</f>
        <v>0.99807999999999997</v>
      </c>
      <c r="Z299" s="110">
        <v>525115</v>
      </c>
      <c r="AA299" s="195">
        <f>Z299/$Z$308</f>
        <v>0.99658578060176806</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2</v>
      </c>
      <c r="Y300" s="201">
        <f t="shared" ref="Y300:Y306" si="5">X300/$X$308</f>
        <v>6.4000000000000005E-4</v>
      </c>
      <c r="Z300" s="101">
        <v>951</v>
      </c>
      <c r="AA300" s="201">
        <f t="shared" ref="AA300:AA306" si="6">Z300/$Z$308</f>
        <v>1.8048486090709299E-3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2</v>
      </c>
      <c r="Y301" s="201">
        <f t="shared" si="5"/>
        <v>6.4000000000000005E-4</v>
      </c>
      <c r="Z301" s="101">
        <v>422</v>
      </c>
      <c r="AA301" s="201">
        <f t="shared" si="6"/>
        <v>8.0088970875702675E-4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2</v>
      </c>
      <c r="Y305" s="201">
        <f>X305/$X$308</f>
        <v>6.4000000000000005E-4</v>
      </c>
      <c r="Z305" s="101">
        <v>426</v>
      </c>
      <c r="AA305" s="201">
        <f t="shared" si="6"/>
        <v>8.0848108040401277E-4</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3125</v>
      </c>
      <c r="Y308" s="201">
        <f>SUM(Y299:Y307)</f>
        <v>0.99999999999999989</v>
      </c>
      <c r="Z308" s="101">
        <f>SUM(Z299:Z307)</f>
        <v>526914</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1</v>
      </c>
      <c r="Y317" s="201">
        <f>X317/$X$320</f>
        <v>1</v>
      </c>
      <c r="Z317" s="101">
        <v>91</v>
      </c>
      <c r="AA317" s="201">
        <f>Z317/$Z$320</f>
        <v>1</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91</v>
      </c>
      <c r="AA320" s="201">
        <f>SUM(AA311:AA319)</f>
        <v>1</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1</v>
      </c>
      <c r="Y328" s="201">
        <f>X328/$X$330</f>
        <v>1</v>
      </c>
      <c r="Z328" s="275">
        <v>91</v>
      </c>
      <c r="AA328" s="201">
        <f>Z328/$Z$330</f>
        <v>1</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1</v>
      </c>
      <c r="Y330" s="274">
        <f>SUM(Y323:Y328)</f>
        <v>1</v>
      </c>
      <c r="Z330" s="275">
        <f>SUM(Z323:Z328)</f>
        <v>91</v>
      </c>
      <c r="AA330" s="274">
        <f>SUM(AA323:AA329)</f>
        <v>1</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48"/>
      <c r="B344" s="45" t="s">
        <v>139</v>
      </c>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213">
        <f>X342+X320+X308</f>
        <v>3126</v>
      </c>
      <c r="Y344" s="201"/>
      <c r="Z344" s="214">
        <f>+Z342+Z320+Z308</f>
        <v>527005</v>
      </c>
      <c r="AA344" s="201"/>
      <c r="AB344" s="41"/>
      <c r="AC344" s="44"/>
      <c r="AD344" s="22"/>
    </row>
    <row r="345" spans="1:30" s="23" customFormat="1" x14ac:dyDescent="0.3">
      <c r="A345" s="48"/>
      <c r="B345" s="45" t="s">
        <v>253</v>
      </c>
      <c r="C345" s="45"/>
      <c r="D345" s="215"/>
      <c r="E345" s="215"/>
      <c r="F345" s="215"/>
      <c r="G345" s="215"/>
      <c r="H345" s="215"/>
      <c r="I345" s="215"/>
      <c r="J345" s="215"/>
      <c r="K345" s="215"/>
      <c r="L345" s="215"/>
      <c r="M345" s="215"/>
      <c r="N345" s="215"/>
      <c r="O345" s="215"/>
      <c r="P345" s="215"/>
      <c r="Q345" s="215"/>
      <c r="R345" s="215"/>
      <c r="S345" s="215"/>
      <c r="T345" s="215"/>
      <c r="U345" s="215"/>
      <c r="V345" s="215"/>
      <c r="W345" s="215"/>
      <c r="X345" s="213"/>
      <c r="Y345" s="216"/>
      <c r="Z345" s="214">
        <f>+AB63+AB64</f>
        <v>9511</v>
      </c>
      <c r="AA345" s="201"/>
      <c r="AB345" s="41"/>
      <c r="AC345" s="44"/>
      <c r="AD345" s="22"/>
    </row>
    <row r="346" spans="1:30" s="23" customFormat="1" x14ac:dyDescent="0.3">
      <c r="A346" s="48"/>
      <c r="B346" s="45" t="s">
        <v>107</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+Z344+Z345</f>
        <v>536516</v>
      </c>
      <c r="AA346" s="201"/>
      <c r="AB346" s="41"/>
      <c r="AC346" s="44"/>
      <c r="AD346" s="22"/>
    </row>
    <row r="347" spans="1:30" s="23" customFormat="1" x14ac:dyDescent="0.3">
      <c r="A347" s="48"/>
      <c r="B347" s="45" t="s">
        <v>275</v>
      </c>
      <c r="C347" s="41"/>
      <c r="D347" s="207"/>
      <c r="E347" s="207"/>
      <c r="F347" s="207"/>
      <c r="G347" s="207"/>
      <c r="H347" s="207"/>
      <c r="I347" s="207"/>
      <c r="J347" s="207"/>
      <c r="K347" s="207"/>
      <c r="L347" s="207"/>
      <c r="M347" s="207"/>
      <c r="N347" s="207"/>
      <c r="O347" s="207"/>
      <c r="P347" s="207"/>
      <c r="Q347" s="207"/>
      <c r="R347" s="207"/>
      <c r="S347" s="207"/>
      <c r="T347" s="207"/>
      <c r="U347" s="207"/>
      <c r="V347" s="207"/>
      <c r="W347" s="207"/>
      <c r="X347" s="213"/>
      <c r="Y347" s="201"/>
      <c r="Z347" s="214">
        <f>+AB66</f>
        <v>536516</v>
      </c>
      <c r="AA347" s="201"/>
      <c r="AB347" s="41"/>
      <c r="AC347" s="44"/>
      <c r="AD347" s="22"/>
    </row>
    <row r="348" spans="1:30" s="23" customFormat="1" x14ac:dyDescent="0.3">
      <c r="A348" s="48"/>
      <c r="B348" s="45"/>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c r="AA348" s="201"/>
      <c r="AB348" s="41"/>
      <c r="AC348" s="44"/>
      <c r="AD348" s="22"/>
    </row>
    <row r="349" spans="1:30" s="23" customFormat="1" x14ac:dyDescent="0.3">
      <c r="A349" s="48"/>
      <c r="B349" s="45" t="s">
        <v>318</v>
      </c>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39">
        <f>(D30*0.375+F30*0.05+H30*0.05+J30+L30)/AB30</f>
        <v>0.38586640472977507</v>
      </c>
      <c r="AA349" s="201"/>
      <c r="AB349" s="41"/>
      <c r="AC349" s="44"/>
      <c r="AD349" s="22"/>
    </row>
    <row r="350" spans="1:30" s="23" customFormat="1" x14ac:dyDescent="0.3">
      <c r="A350" s="18"/>
      <c r="B350" s="20"/>
      <c r="C350" s="20"/>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8"/>
      <c r="AA350" s="217"/>
      <c r="AB350" s="20"/>
      <c r="AC350" s="21"/>
      <c r="AD350" s="22"/>
    </row>
    <row r="351" spans="1:30" s="23" customFormat="1" x14ac:dyDescent="0.3">
      <c r="A351" s="18"/>
      <c r="B351" s="19" t="s">
        <v>62</v>
      </c>
      <c r="C351" s="20"/>
      <c r="D351" s="219" t="s">
        <v>66</v>
      </c>
      <c r="E351" s="19"/>
      <c r="F351" s="19" t="s">
        <v>67</v>
      </c>
      <c r="G351" s="20"/>
      <c r="H351" s="19"/>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20" t="s">
        <v>122</v>
      </c>
      <c r="E353" s="19"/>
      <c r="F353" s="19" t="s">
        <v>170</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153</v>
      </c>
      <c r="C354" s="19"/>
      <c r="D354" s="220" t="s">
        <v>98</v>
      </c>
      <c r="E354" s="19"/>
      <c r="F354" s="19" t="s">
        <v>171</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c r="C355" s="19"/>
      <c r="D355" s="220"/>
      <c r="E355" s="19"/>
      <c r="F355" s="19"/>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256"/>
      <c r="C356" s="256"/>
      <c r="D356" s="256"/>
      <c r="E356" s="256"/>
      <c r="F356" s="257"/>
      <c r="G356" s="256"/>
      <c r="H356" s="258"/>
      <c r="I356" s="255"/>
      <c r="J356" s="255"/>
      <c r="K356" s="255"/>
      <c r="L356" s="255"/>
      <c r="M356" s="255"/>
      <c r="N356" s="255"/>
      <c r="O356" s="255"/>
      <c r="P356" s="255"/>
      <c r="Q356" s="20"/>
      <c r="R356" s="20"/>
      <c r="S356" s="20"/>
      <c r="T356" s="20"/>
      <c r="U356" s="20"/>
      <c r="V356" s="20"/>
      <c r="W356" s="20"/>
      <c r="X356" s="20"/>
      <c r="Y356" s="20"/>
      <c r="Z356" s="20"/>
      <c r="AA356" s="20"/>
      <c r="AB356" s="20"/>
      <c r="AC356" s="21"/>
      <c r="AD356" s="22"/>
    </row>
    <row r="357" spans="1:30" s="23" customFormat="1" ht="18" x14ac:dyDescent="0.35">
      <c r="A357" s="18"/>
      <c r="B357" s="259" t="s">
        <v>109</v>
      </c>
      <c r="C357" s="256"/>
      <c r="D357" s="256"/>
      <c r="E357" s="256"/>
      <c r="F357" s="257"/>
      <c r="G357" s="256"/>
      <c r="H357" s="258"/>
      <c r="I357" s="255"/>
      <c r="J357" s="255"/>
      <c r="K357" s="255"/>
      <c r="L357" s="255"/>
      <c r="M357" s="255"/>
      <c r="N357" s="255"/>
      <c r="O357" s="255"/>
      <c r="P357" s="260" t="s">
        <v>169</v>
      </c>
      <c r="Q357" s="20"/>
      <c r="R357" s="20"/>
      <c r="S357" s="20"/>
      <c r="T357" s="20"/>
      <c r="U357" s="20"/>
      <c r="V357" s="20"/>
      <c r="W357" s="20"/>
      <c r="X357" s="20"/>
      <c r="Y357" s="20"/>
      <c r="Z357" s="20"/>
      <c r="AA357" s="20"/>
      <c r="AB357" s="20"/>
      <c r="AC357" s="21"/>
      <c r="AD357" s="22"/>
    </row>
    <row r="358" spans="1:30" x14ac:dyDescent="0.3">
      <c r="A358" s="221"/>
      <c r="B358" s="222"/>
      <c r="C358" s="222"/>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4"/>
      <c r="AD358" s="5"/>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ht="18.600000000000001" thickBot="1" x14ac:dyDescent="0.4">
      <c r="A360" s="221"/>
      <c r="B360" s="225" t="str">
        <f>B244</f>
        <v>PM25 INVESTOR REPORT QUARTER ENDING OCTOBER 2021</v>
      </c>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6"/>
      <c r="AD360" s="5"/>
    </row>
    <row r="361" spans="1:30"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row>
    <row r="362" spans="1:30" x14ac:dyDescent="0.3">
      <c r="B362" s="280" t="s">
        <v>334</v>
      </c>
    </row>
    <row r="363" spans="1:30" x14ac:dyDescent="0.3">
      <c r="B363" s="264" t="s">
        <v>335</v>
      </c>
    </row>
    <row r="364" spans="1:30" x14ac:dyDescent="0.3">
      <c r="B364" s="264" t="s">
        <v>362</v>
      </c>
    </row>
    <row r="365" spans="1:30" x14ac:dyDescent="0.3">
      <c r="B365" s="264"/>
    </row>
    <row r="366" spans="1:30" x14ac:dyDescent="0.3">
      <c r="B366" s="301" t="s">
        <v>379</v>
      </c>
    </row>
    <row r="367" spans="1:30" x14ac:dyDescent="0.3">
      <c r="B367" s="302" t="s">
        <v>366</v>
      </c>
    </row>
    <row r="368" spans="1:30" x14ac:dyDescent="0.3">
      <c r="B368" s="299"/>
    </row>
    <row r="369" spans="2:2" x14ac:dyDescent="0.3">
      <c r="B369" s="264" t="s">
        <v>378</v>
      </c>
    </row>
    <row r="370" spans="2:2" x14ac:dyDescent="0.3">
      <c r="B370" s="302" t="s">
        <v>377</v>
      </c>
    </row>
    <row r="371" spans="2:2" x14ac:dyDescent="0.3">
      <c r="B371" s="303"/>
    </row>
    <row r="372" spans="2:2" x14ac:dyDescent="0.3">
      <c r="B372" s="280" t="s">
        <v>365</v>
      </c>
    </row>
    <row r="373" spans="2:2" x14ac:dyDescent="0.3">
      <c r="B373" s="264" t="s">
        <v>368</v>
      </c>
    </row>
    <row r="374" spans="2:2" x14ac:dyDescent="0.3">
      <c r="B374" s="302" t="s">
        <v>367</v>
      </c>
    </row>
  </sheetData>
  <hyperlinks>
    <hyperlink ref="X284" r:id="rId1" display="http://www.paragon-group.co.uk" xr:uid="{97679C82-FD00-4A35-9DEC-42A403E5E866}"/>
    <hyperlink ref="K9" r:id="rId2" display="http://www.paragon-group.co.uk" xr:uid="{9A923277-F920-49C4-8205-48BEE75E70DF}"/>
    <hyperlink ref="P357" r:id="rId3" xr:uid="{A7AE185F-8CB9-428D-A57A-185355B334D6}"/>
    <hyperlink ref="B367" r:id="rId4" display="https://www.londonstockexchange.com/news-article/41YH/notice-of-base-rate-modification/15064143" xr:uid="{E188EFC3-D26F-4841-9A97-7A97E6E785BB}"/>
    <hyperlink ref="B374" r:id="rId5" display="https://investorreporting.paragonbankinggroup.co.uk/bondinvestor_viewer/resources/bondinvestor/pdf/investornews/2021/libor-mortgages-transition-july-19" xr:uid="{968FB399-AA47-4E6E-9C45-255F1228017B}"/>
    <hyperlink ref="B370" r:id="rId6" xr:uid="{33695FF9-C704-4D89-8631-06DFBC6E3945}"/>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4" max="18" man="1"/>
  </rowBreaks>
  <colBreaks count="1" manualBreakCount="1">
    <brk id="29" max="299" man="1"/>
  </colBreaks>
  <drawing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5EB44-A5B2-47CE-A6F6-2D78F22F6BF6}">
  <sheetPr>
    <tabColor rgb="FF89CB31"/>
  </sheetPr>
  <dimension ref="A1:JB374"/>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44610</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382</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430668</v>
      </c>
      <c r="E29" s="55"/>
      <c r="F29" s="55">
        <f t="shared" ref="F29:L29" si="0">F28*F32</f>
        <v>33500</v>
      </c>
      <c r="G29" s="55"/>
      <c r="H29" s="55">
        <f t="shared" si="0"/>
        <v>30000</v>
      </c>
      <c r="I29" s="55"/>
      <c r="J29" s="55">
        <f t="shared" si="0"/>
        <v>24700</v>
      </c>
      <c r="K29" s="55"/>
      <c r="L29" s="55">
        <f t="shared" si="0"/>
        <v>17648</v>
      </c>
      <c r="M29" s="55"/>
      <c r="N29" s="55">
        <f>N28*N32</f>
        <v>8008.7435999999998</v>
      </c>
      <c r="O29" s="55"/>
      <c r="P29" s="55">
        <v>0</v>
      </c>
      <c r="Q29" s="55"/>
      <c r="R29" s="55" t="s">
        <v>83</v>
      </c>
      <c r="S29" s="55"/>
      <c r="T29" s="55" t="s">
        <v>83</v>
      </c>
      <c r="U29" s="55"/>
      <c r="V29" s="55" t="s">
        <v>83</v>
      </c>
      <c r="W29" s="51"/>
      <c r="X29" s="55" t="s">
        <v>83</v>
      </c>
      <c r="Y29" s="51"/>
      <c r="Z29" s="51"/>
      <c r="AA29" s="50"/>
      <c r="AB29" s="51">
        <f>SUM(D29:L29)</f>
        <v>536516</v>
      </c>
      <c r="AC29" s="52"/>
      <c r="AD29" s="22"/>
    </row>
    <row r="30" spans="1:33" s="23" customFormat="1" x14ac:dyDescent="0.3">
      <c r="A30" s="48"/>
      <c r="B30" s="45" t="s">
        <v>92</v>
      </c>
      <c r="C30" s="50"/>
      <c r="D30" s="58">
        <f>D28*D31</f>
        <v>415794</v>
      </c>
      <c r="E30" s="58"/>
      <c r="F30" s="58">
        <f>F28</f>
        <v>33500</v>
      </c>
      <c r="G30" s="58"/>
      <c r="H30" s="58">
        <f>H28</f>
        <v>30000</v>
      </c>
      <c r="I30" s="58"/>
      <c r="J30" s="58">
        <f>J28</f>
        <v>24700</v>
      </c>
      <c r="K30" s="58"/>
      <c r="L30" s="58">
        <f>L28</f>
        <v>17648</v>
      </c>
      <c r="M30" s="58"/>
      <c r="N30" s="58">
        <f>N28*N31</f>
        <v>7783.0744199999999</v>
      </c>
      <c r="O30" s="58"/>
      <c r="P30" s="58">
        <v>0</v>
      </c>
      <c r="Q30" s="58"/>
      <c r="R30" s="58" t="s">
        <v>83</v>
      </c>
      <c r="S30" s="58"/>
      <c r="T30" s="58" t="s">
        <v>83</v>
      </c>
      <c r="U30" s="58"/>
      <c r="V30" s="58" t="s">
        <v>83</v>
      </c>
      <c r="W30" s="57"/>
      <c r="X30" s="58" t="s">
        <v>83</v>
      </c>
      <c r="Y30" s="51"/>
      <c r="Z30" s="51"/>
      <c r="AA30" s="50"/>
      <c r="AB30" s="57">
        <f>SUM(D30:L30)</f>
        <v>521642</v>
      </c>
      <c r="AC30" s="52"/>
      <c r="AD30" s="22"/>
      <c r="AE30" s="238"/>
    </row>
    <row r="31" spans="1:33" s="67" customFormat="1" x14ac:dyDescent="0.3">
      <c r="A31" s="59"/>
      <c r="B31" s="169" t="s">
        <v>88</v>
      </c>
      <c r="C31" s="63"/>
      <c r="D31" s="61">
        <v>0.69298999999999999</v>
      </c>
      <c r="E31" s="61"/>
      <c r="F31" s="61">
        <v>1</v>
      </c>
      <c r="G31" s="61"/>
      <c r="H31" s="61">
        <v>1</v>
      </c>
      <c r="I31" s="61"/>
      <c r="J31" s="61">
        <v>1</v>
      </c>
      <c r="K31" s="61"/>
      <c r="L31" s="61">
        <v>1</v>
      </c>
      <c r="M31" s="61"/>
      <c r="N31" s="61">
        <v>0.71253999999999995</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0.71777999999999997</v>
      </c>
      <c r="E32" s="61"/>
      <c r="F32" s="61">
        <v>1</v>
      </c>
      <c r="G32" s="61"/>
      <c r="H32" s="61">
        <v>1</v>
      </c>
      <c r="I32" s="61"/>
      <c r="J32" s="61">
        <v>1</v>
      </c>
      <c r="K32" s="61"/>
      <c r="L32" s="61">
        <v>1</v>
      </c>
      <c r="M32" s="61"/>
      <c r="N32" s="61">
        <v>0.73319999999999996</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7.5174999999999999E-3</v>
      </c>
      <c r="E34" s="71"/>
      <c r="F34" s="71">
        <v>1.0517500000000001E-2</v>
      </c>
      <c r="G34" s="71"/>
      <c r="H34" s="71">
        <v>1.40175E-2</v>
      </c>
      <c r="I34" s="71"/>
      <c r="J34" s="71">
        <v>1.7017500000000001E-2</v>
      </c>
      <c r="K34" s="71"/>
      <c r="L34" s="71">
        <v>2.70175E-2</v>
      </c>
      <c r="M34" s="71"/>
      <c r="N34" s="71">
        <v>4.1017499999999998E-2</v>
      </c>
      <c r="O34" s="71"/>
      <c r="P34" s="71">
        <v>4.1017499999999998E-2</v>
      </c>
      <c r="Q34" s="71"/>
      <c r="R34" s="71" t="s">
        <v>83</v>
      </c>
      <c r="S34" s="71"/>
      <c r="T34" s="71" t="s">
        <v>83</v>
      </c>
      <c r="U34" s="71"/>
      <c r="V34" s="71" t="s">
        <v>83</v>
      </c>
      <c r="W34" s="70"/>
      <c r="X34" s="71" t="s">
        <v>83</v>
      </c>
      <c r="Y34" s="49"/>
      <c r="Z34" s="49"/>
      <c r="AA34" s="41"/>
      <c r="AB34" s="70">
        <f>SUMPRODUCT(D34:L34,D29:L29)/AB29</f>
        <v>9.1470618397214622E-3</v>
      </c>
      <c r="AC34" s="44"/>
      <c r="AD34" s="22"/>
    </row>
    <row r="35" spans="1:30" s="23" customFormat="1" x14ac:dyDescent="0.3">
      <c r="A35" s="48"/>
      <c r="B35" s="41" t="s">
        <v>10</v>
      </c>
      <c r="C35" s="72"/>
      <c r="D35" s="71">
        <v>7.2062999999999997E-3</v>
      </c>
      <c r="E35" s="71"/>
      <c r="F35" s="71">
        <v>1.02063E-2</v>
      </c>
      <c r="G35" s="71"/>
      <c r="H35" s="71">
        <v>1.3706299999999999E-2</v>
      </c>
      <c r="I35" s="71"/>
      <c r="J35" s="71">
        <v>1.67063E-2</v>
      </c>
      <c r="K35" s="71"/>
      <c r="L35" s="71">
        <v>2.6706299999999999E-2</v>
      </c>
      <c r="M35" s="71"/>
      <c r="N35" s="71">
        <v>4.0706300000000001E-2</v>
      </c>
      <c r="O35" s="71"/>
      <c r="P35" s="71">
        <v>4.0706300000000001E-2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0.25456836798991811</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44607</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91</v>
      </c>
      <c r="Y47" s="41"/>
      <c r="Z47" s="79">
        <v>44424</v>
      </c>
      <c r="AA47" s="80"/>
      <c r="AB47" s="79">
        <v>44514</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44515</v>
      </c>
      <c r="AA48" s="80"/>
      <c r="AB48" s="79">
        <v>44606</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44606</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384</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527005</v>
      </c>
      <c r="S57" s="241"/>
      <c r="T57" s="240">
        <f>390+124</f>
        <v>514</v>
      </c>
      <c r="U57" s="241"/>
      <c r="V57" s="241">
        <v>14865</v>
      </c>
      <c r="W57" s="241"/>
      <c r="X57" s="241">
        <v>0</v>
      </c>
      <c r="Y57" s="241"/>
      <c r="Z57" s="241">
        <v>0</v>
      </c>
      <c r="AA57" s="241"/>
      <c r="AB57" s="240">
        <f>R57-T57-V57+X57-Z57</f>
        <v>511626</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527005</v>
      </c>
      <c r="S60" s="241"/>
      <c r="T60" s="241">
        <f>T57+T58</f>
        <v>514</v>
      </c>
      <c r="U60" s="241"/>
      <c r="V60" s="241">
        <f>SUM(V57:V59)</f>
        <v>14865</v>
      </c>
      <c r="W60" s="241"/>
      <c r="X60" s="241">
        <f>SUM(X57:X59)</f>
        <v>0</v>
      </c>
      <c r="Y60" s="241"/>
      <c r="Z60" s="241">
        <f>SUM(Z57:Z59)</f>
        <v>0</v>
      </c>
      <c r="AA60" s="241"/>
      <c r="AB60" s="241">
        <f>SUM(AB57:AB59)</f>
        <v>511626</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9511</v>
      </c>
      <c r="S63" s="241"/>
      <c r="T63" s="241">
        <v>0</v>
      </c>
      <c r="U63" s="241"/>
      <c r="V63" s="241">
        <v>505</v>
      </c>
      <c r="W63" s="241"/>
      <c r="X63" s="241"/>
      <c r="Y63" s="241"/>
      <c r="Z63" s="241"/>
      <c r="AA63" s="241"/>
      <c r="AB63" s="241">
        <f>+R63+V63</f>
        <v>10016</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536516</v>
      </c>
      <c r="S66" s="241"/>
      <c r="T66" s="241"/>
      <c r="U66" s="241"/>
      <c r="V66" s="241"/>
      <c r="W66" s="241"/>
      <c r="X66" s="241"/>
      <c r="Y66" s="241"/>
      <c r="Z66" s="241"/>
      <c r="AA66" s="241"/>
      <c r="AB66" s="241">
        <f>SUM(AB60:AB65)</f>
        <v>521642</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44592</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9511</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+T57+V57+Z57+2</f>
        <v>15381</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1081+5257-123-1186</f>
        <v>5029</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19+150</f>
        <v>169</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2</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226</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2457</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24892</v>
      </c>
      <c r="AA85" s="41"/>
      <c r="AB85" s="100">
        <f>SUM(AB70:AB84)</f>
        <v>7883</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24892</v>
      </c>
      <c r="AA88" s="41"/>
      <c r="AB88" s="100">
        <f>AB85+AB86+AB87</f>
        <v>7883</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-266-15-7</f>
        <v>-288</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-603</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-816</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-89</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-106</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-106</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-2</v>
      </c>
      <c r="AA101" s="115"/>
      <c r="AB101" s="101">
        <v>2</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-3450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-120</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-83</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-226</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-10-156</f>
        <v>-166</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-1805</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-10016</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-14874</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-24890</v>
      </c>
      <c r="AA131" s="100"/>
      <c r="AB131" s="100">
        <f>SUM(AB89:AB129)</f>
        <v>-7883</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JANUARY 2022</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+'Oct 21'!AB147</f>
        <v>7188.5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-226</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6962.5</v>
      </c>
      <c r="AC147" s="44"/>
      <c r="AD147" s="22"/>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+'Oct 21'!AB160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+'Oct 21'!AB166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-2</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-2</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2</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9511</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-9511</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10016</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10016</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+'Oct 21'!AB190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+'Oct 21'!AB198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+'Oct 21'!AB206</f>
        <v>1316</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3010</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2457</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1869</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+'Oct 21'!AB214</f>
        <v>3261</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3010</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3450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3701</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+'Oct 21'!Y221</f>
        <v>0</v>
      </c>
      <c r="Z219" s="101">
        <f>+'Oct 21'!Z221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414600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423849</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-9249</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8.5661764705882355</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4.33</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69.370786516853926</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43.58</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57.405660377358494</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38.17</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56.405660377358494</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38.630000000000003</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48.94166666666667</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35.57</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JANUARY 2022</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44592</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3.857E-2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9.1470618397214622E-3</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2.9422938160278536E-2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1.4692944851598088E-2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15.16</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2.8664569183398072E-2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0.1217</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2</v>
      </c>
      <c r="Z268" s="165">
        <f>+Z320</f>
        <v>173</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-2</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'Oct 21'!Z274+Z273</f>
        <v>16</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3017</v>
      </c>
      <c r="Y287" s="195">
        <f>X287/$X$296</f>
        <v>0.99636723910171732</v>
      </c>
      <c r="Z287" s="110">
        <f t="shared" ref="Z287:Z294" si="2">+Z299+Z311+Z333</f>
        <v>509133</v>
      </c>
      <c r="AA287" s="195">
        <f t="shared" ref="AA287:AA294" si="3">Z287/$Z$296</f>
        <v>0.99512730001993643</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3</v>
      </c>
      <c r="Y288" s="199">
        <f t="shared" ref="Y288:Y294" si="4">X288/$X$296</f>
        <v>9.9075297225891673E-4</v>
      </c>
      <c r="Z288" s="200">
        <f t="shared" si="2"/>
        <v>1012</v>
      </c>
      <c r="AA288" s="201">
        <f t="shared" si="3"/>
        <v>1.9780073725729343E-3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4</v>
      </c>
      <c r="Y289" s="203">
        <f t="shared" si="4"/>
        <v>1.321003963011889E-3</v>
      </c>
      <c r="Z289" s="134">
        <f t="shared" si="2"/>
        <v>882</v>
      </c>
      <c r="AA289" s="201">
        <f t="shared" si="3"/>
        <v>1.7239155164123793E-3</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1</v>
      </c>
      <c r="Y291" s="203">
        <f t="shared" si="4"/>
        <v>3.3025099075297226E-4</v>
      </c>
      <c r="Z291" s="134">
        <f t="shared" si="2"/>
        <v>82</v>
      </c>
      <c r="AA291" s="201">
        <f t="shared" si="3"/>
        <v>1.6027332465511917E-4</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3</v>
      </c>
      <c r="Y293" s="205">
        <f t="shared" si="4"/>
        <v>9.9075297225891673E-4</v>
      </c>
      <c r="Z293" s="206">
        <f t="shared" si="2"/>
        <v>517</v>
      </c>
      <c r="AA293" s="201">
        <f t="shared" si="3"/>
        <v>1.0105037664231294E-3</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3028</v>
      </c>
      <c r="Y296" s="201">
        <f>SUM(Y287:Y295)</f>
        <v>1</v>
      </c>
      <c r="Z296" s="101">
        <f>SUM(Z287:Z295)</f>
        <v>511626</v>
      </c>
      <c r="AA296" s="201">
        <f>SUM(AA287:AA295)</f>
        <v>0.99999999999999989</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3017</v>
      </c>
      <c r="Y299" s="195">
        <f>X299/$X$308</f>
        <v>0.99702577660277591</v>
      </c>
      <c r="Z299" s="110">
        <v>509133</v>
      </c>
      <c r="AA299" s="195">
        <f>Z299/$Z$308</f>
        <v>0.9954639038191192</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3</v>
      </c>
      <c r="Y300" s="201">
        <f t="shared" ref="Y300:Y306" si="5">X300/$X$308</f>
        <v>9.9140779907468612E-4</v>
      </c>
      <c r="Z300" s="101">
        <v>1012</v>
      </c>
      <c r="AA300" s="201">
        <f t="shared" ref="AA300:AA306" si="6">Z300/$Z$308</f>
        <v>1.9786764375221183E-3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4</v>
      </c>
      <c r="Y301" s="201">
        <f t="shared" si="5"/>
        <v>1.3218770654329147E-3</v>
      </c>
      <c r="Z301" s="101">
        <v>882</v>
      </c>
      <c r="AA301" s="201">
        <f t="shared" si="6"/>
        <v>1.7244986342831111E-3</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2</v>
      </c>
      <c r="Y305" s="201">
        <f>X305/$X$308</f>
        <v>6.6093853271645734E-4</v>
      </c>
      <c r="Z305" s="101">
        <v>426</v>
      </c>
      <c r="AA305" s="201">
        <f t="shared" si="6"/>
        <v>8.3292110907551623E-4</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3026</v>
      </c>
      <c r="Y308" s="201">
        <f>SUM(Y299:Y307)</f>
        <v>1</v>
      </c>
      <c r="Z308" s="101">
        <f>SUM(Z299:Z307)</f>
        <v>511453</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1</v>
      </c>
      <c r="Y315" s="201">
        <f>X315/$X$320</f>
        <v>0.5</v>
      </c>
      <c r="Z315" s="101">
        <v>82</v>
      </c>
      <c r="AA315" s="201">
        <f>Z315/$Z$320</f>
        <v>0.47398843930635837</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1</v>
      </c>
      <c r="Y317" s="201">
        <f>X317/$X$320</f>
        <v>0.5</v>
      </c>
      <c r="Z317" s="101">
        <v>91</v>
      </c>
      <c r="AA317" s="201">
        <f>Z317/$Z$320</f>
        <v>0.52601156069364163</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2</v>
      </c>
      <c r="Y320" s="201">
        <f>SUM(Y311:Y319)</f>
        <v>1</v>
      </c>
      <c r="Z320" s="101">
        <f>SUM(Z311:Z319)</f>
        <v>173</v>
      </c>
      <c r="AA320" s="201">
        <f>SUM(AA311:AA319)</f>
        <v>1</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2</v>
      </c>
      <c r="Y328" s="201">
        <f>X328/$X$330</f>
        <v>1</v>
      </c>
      <c r="Z328" s="275">
        <v>173</v>
      </c>
      <c r="AA328" s="201">
        <f>Z328/$Z$330</f>
        <v>1</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2</v>
      </c>
      <c r="Y330" s="274">
        <f>SUM(Y323:Y328)</f>
        <v>1</v>
      </c>
      <c r="Z330" s="275">
        <f>SUM(Z323:Z328)</f>
        <v>173</v>
      </c>
      <c r="AA330" s="274">
        <f>SUM(AA323:AA329)</f>
        <v>1</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48"/>
      <c r="B344" s="45" t="s">
        <v>139</v>
      </c>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213">
        <f>X342+X320+X308</f>
        <v>3028</v>
      </c>
      <c r="Y344" s="201"/>
      <c r="Z344" s="214">
        <f>+Z342+Z320+Z308</f>
        <v>511626</v>
      </c>
      <c r="AA344" s="201"/>
      <c r="AB344" s="41"/>
      <c r="AC344" s="44"/>
      <c r="AD344" s="22"/>
    </row>
    <row r="345" spans="1:30" s="23" customFormat="1" x14ac:dyDescent="0.3">
      <c r="A345" s="48"/>
      <c r="B345" s="45" t="s">
        <v>253</v>
      </c>
      <c r="C345" s="45"/>
      <c r="D345" s="215"/>
      <c r="E345" s="215"/>
      <c r="F345" s="215"/>
      <c r="G345" s="215"/>
      <c r="H345" s="215"/>
      <c r="I345" s="215"/>
      <c r="J345" s="215"/>
      <c r="K345" s="215"/>
      <c r="L345" s="215"/>
      <c r="M345" s="215"/>
      <c r="N345" s="215"/>
      <c r="O345" s="215"/>
      <c r="P345" s="215"/>
      <c r="Q345" s="215"/>
      <c r="R345" s="215"/>
      <c r="S345" s="215"/>
      <c r="T345" s="215"/>
      <c r="U345" s="215"/>
      <c r="V345" s="215"/>
      <c r="W345" s="215"/>
      <c r="X345" s="213"/>
      <c r="Y345" s="216"/>
      <c r="Z345" s="214">
        <f>+AB63+AB64</f>
        <v>10016</v>
      </c>
      <c r="AA345" s="201"/>
      <c r="AB345" s="41"/>
      <c r="AC345" s="44"/>
      <c r="AD345" s="22"/>
    </row>
    <row r="346" spans="1:30" s="23" customFormat="1" x14ac:dyDescent="0.3">
      <c r="A346" s="48"/>
      <c r="B346" s="45" t="s">
        <v>107</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+Z344+Z345</f>
        <v>521642</v>
      </c>
      <c r="AA346" s="201"/>
      <c r="AB346" s="41"/>
      <c r="AC346" s="44"/>
      <c r="AD346" s="22"/>
    </row>
    <row r="347" spans="1:30" s="23" customFormat="1" x14ac:dyDescent="0.3">
      <c r="A347" s="48"/>
      <c r="B347" s="45" t="s">
        <v>275</v>
      </c>
      <c r="C347" s="41"/>
      <c r="D347" s="207"/>
      <c r="E347" s="207"/>
      <c r="F347" s="207"/>
      <c r="G347" s="207"/>
      <c r="H347" s="207"/>
      <c r="I347" s="207"/>
      <c r="J347" s="207"/>
      <c r="K347" s="207"/>
      <c r="L347" s="207"/>
      <c r="M347" s="207"/>
      <c r="N347" s="207"/>
      <c r="O347" s="207"/>
      <c r="P347" s="207"/>
      <c r="Q347" s="207"/>
      <c r="R347" s="207"/>
      <c r="S347" s="207"/>
      <c r="T347" s="207"/>
      <c r="U347" s="207"/>
      <c r="V347" s="207"/>
      <c r="W347" s="207"/>
      <c r="X347" s="213"/>
      <c r="Y347" s="201"/>
      <c r="Z347" s="214">
        <f>+AB66</f>
        <v>521642</v>
      </c>
      <c r="AA347" s="201"/>
      <c r="AB347" s="41"/>
      <c r="AC347" s="44"/>
      <c r="AD347" s="22"/>
    </row>
    <row r="348" spans="1:30" s="23" customFormat="1" x14ac:dyDescent="0.3">
      <c r="A348" s="48"/>
      <c r="B348" s="45"/>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c r="AA348" s="201"/>
      <c r="AB348" s="41"/>
      <c r="AC348" s="44"/>
      <c r="AD348" s="22"/>
    </row>
    <row r="349" spans="1:30" s="23" customFormat="1" x14ac:dyDescent="0.3">
      <c r="A349" s="48"/>
      <c r="B349" s="45" t="s">
        <v>318</v>
      </c>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39">
        <f>(D30*0.375+F30*0.05+H30*0.05+J30+L30)/AB30</f>
        <v>0.38617624731137445</v>
      </c>
      <c r="AA349" s="201"/>
      <c r="AB349" s="41"/>
      <c r="AC349" s="44"/>
      <c r="AD349" s="22"/>
    </row>
    <row r="350" spans="1:30" s="23" customFormat="1" x14ac:dyDescent="0.3">
      <c r="A350" s="18"/>
      <c r="B350" s="20"/>
      <c r="C350" s="20"/>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8"/>
      <c r="AA350" s="217"/>
      <c r="AB350" s="20"/>
      <c r="AC350" s="21"/>
      <c r="AD350" s="22"/>
    </row>
    <row r="351" spans="1:30" s="23" customFormat="1" x14ac:dyDescent="0.3">
      <c r="A351" s="18"/>
      <c r="B351" s="19" t="s">
        <v>62</v>
      </c>
      <c r="C351" s="20"/>
      <c r="D351" s="219" t="s">
        <v>66</v>
      </c>
      <c r="E351" s="19"/>
      <c r="F351" s="19" t="s">
        <v>67</v>
      </c>
      <c r="G351" s="20"/>
      <c r="H351" s="19"/>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20" t="s">
        <v>122</v>
      </c>
      <c r="E353" s="19"/>
      <c r="F353" s="19" t="s">
        <v>170</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153</v>
      </c>
      <c r="C354" s="19"/>
      <c r="D354" s="220" t="s">
        <v>98</v>
      </c>
      <c r="E354" s="19"/>
      <c r="F354" s="19" t="s">
        <v>171</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c r="C355" s="19"/>
      <c r="D355" s="220"/>
      <c r="E355" s="19"/>
      <c r="F355" s="19"/>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256"/>
      <c r="C356" s="256"/>
      <c r="D356" s="256"/>
      <c r="E356" s="256"/>
      <c r="F356" s="257"/>
      <c r="G356" s="256"/>
      <c r="H356" s="258"/>
      <c r="I356" s="255"/>
      <c r="J356" s="255"/>
      <c r="K356" s="255"/>
      <c r="L356" s="255"/>
      <c r="M356" s="255"/>
      <c r="N356" s="255"/>
      <c r="O356" s="255"/>
      <c r="P356" s="255"/>
      <c r="Q356" s="20"/>
      <c r="R356" s="20"/>
      <c r="S356" s="20"/>
      <c r="T356" s="20"/>
      <c r="U356" s="20"/>
      <c r="V356" s="20"/>
      <c r="W356" s="20"/>
      <c r="X356" s="20"/>
      <c r="Y356" s="20"/>
      <c r="Z356" s="20"/>
      <c r="AA356" s="20"/>
      <c r="AB356" s="20"/>
      <c r="AC356" s="21"/>
      <c r="AD356" s="22"/>
    </row>
    <row r="357" spans="1:30" s="23" customFormat="1" ht="18" x14ac:dyDescent="0.35">
      <c r="A357" s="18"/>
      <c r="B357" s="259" t="s">
        <v>109</v>
      </c>
      <c r="C357" s="256"/>
      <c r="D357" s="256"/>
      <c r="E357" s="256"/>
      <c r="F357" s="257"/>
      <c r="G357" s="256"/>
      <c r="H357" s="258"/>
      <c r="I357" s="255"/>
      <c r="J357" s="255"/>
      <c r="K357" s="255"/>
      <c r="L357" s="255"/>
      <c r="M357" s="255"/>
      <c r="N357" s="255"/>
      <c r="O357" s="255"/>
      <c r="P357" s="260" t="s">
        <v>169</v>
      </c>
      <c r="Q357" s="20"/>
      <c r="R357" s="20"/>
      <c r="S357" s="20"/>
      <c r="T357" s="20"/>
      <c r="U357" s="20"/>
      <c r="V357" s="20"/>
      <c r="W357" s="20"/>
      <c r="X357" s="20"/>
      <c r="Y357" s="20"/>
      <c r="Z357" s="20"/>
      <c r="AA357" s="20"/>
      <c r="AB357" s="20"/>
      <c r="AC357" s="21"/>
      <c r="AD357" s="22"/>
    </row>
    <row r="358" spans="1:30" x14ac:dyDescent="0.3">
      <c r="A358" s="221"/>
      <c r="B358" s="222"/>
      <c r="C358" s="222"/>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4"/>
      <c r="AD358" s="5"/>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ht="18.600000000000001" thickBot="1" x14ac:dyDescent="0.4">
      <c r="A360" s="221"/>
      <c r="B360" s="225" t="str">
        <f>B244</f>
        <v>PM25 INVESTOR REPORT QUARTER ENDING JANUARY 2022</v>
      </c>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6"/>
      <c r="AD360" s="5"/>
    </row>
    <row r="361" spans="1:30"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row>
    <row r="362" spans="1:30" x14ac:dyDescent="0.3">
      <c r="B362" s="280" t="s">
        <v>334</v>
      </c>
    </row>
    <row r="363" spans="1:30" x14ac:dyDescent="0.3">
      <c r="B363" s="264"/>
    </row>
    <row r="364" spans="1:30" x14ac:dyDescent="0.3">
      <c r="B364" s="301" t="s">
        <v>379</v>
      </c>
    </row>
    <row r="365" spans="1:30" x14ac:dyDescent="0.3">
      <c r="B365" s="302" t="s">
        <v>366</v>
      </c>
    </row>
    <row r="366" spans="1:30" x14ac:dyDescent="0.3">
      <c r="B366" s="299"/>
    </row>
    <row r="367" spans="1:30" x14ac:dyDescent="0.3">
      <c r="B367" s="264" t="s">
        <v>378</v>
      </c>
    </row>
    <row r="368" spans="1:30" x14ac:dyDescent="0.3">
      <c r="B368" s="302" t="s">
        <v>377</v>
      </c>
    </row>
    <row r="369" spans="2:2" x14ac:dyDescent="0.3">
      <c r="B369" s="302"/>
    </row>
    <row r="370" spans="2:2" x14ac:dyDescent="0.3">
      <c r="B370" s="304" t="s">
        <v>385</v>
      </c>
    </row>
    <row r="371" spans="2:2" x14ac:dyDescent="0.3">
      <c r="B371" s="303"/>
    </row>
    <row r="372" spans="2:2" x14ac:dyDescent="0.3">
      <c r="B372" s="280" t="s">
        <v>365</v>
      </c>
    </row>
    <row r="373" spans="2:2" x14ac:dyDescent="0.3">
      <c r="B373" s="264" t="s">
        <v>368</v>
      </c>
    </row>
    <row r="374" spans="2:2" x14ac:dyDescent="0.3">
      <c r="B374" s="302" t="s">
        <v>367</v>
      </c>
    </row>
  </sheetData>
  <hyperlinks>
    <hyperlink ref="X284" r:id="rId1" display="http://www.paragon-group.co.uk" xr:uid="{46AD9402-45AC-46AF-946E-E37D1DF75661}"/>
    <hyperlink ref="K9" r:id="rId2" display="http://www.paragon-group.co.uk" xr:uid="{9CBEF3DC-A689-4864-BC21-1F4D28D37242}"/>
    <hyperlink ref="P357" r:id="rId3" xr:uid="{5A1CCB54-5C5E-4D7C-A05A-05ACBFC1AC20}"/>
    <hyperlink ref="B365" r:id="rId4" display="https://www.londonstockexchange.com/news-article/41YH/notice-of-base-rate-modification/15064143" xr:uid="{18E37E87-E7C9-40D4-B78E-7E4A664D19D0}"/>
    <hyperlink ref="B374" r:id="rId5" display="https://investorreporting.paragonbankinggroup.co.uk/bondinvestor_viewer/resources/bondinvestor/pdf/investornews/2021/libor-mortgages-transition-july-19" xr:uid="{98484FFB-2A34-4FB8-A7AD-5FA956391156}"/>
    <hyperlink ref="B368" r:id="rId6" xr:uid="{B702A2E8-9AE0-46E5-BF7A-7E1B98A00726}"/>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4" max="18" man="1"/>
  </rowBreaks>
  <colBreaks count="1" manualBreakCount="1">
    <brk id="29" max="299" man="1"/>
  </colBreaks>
  <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C270-D531-4B65-8D7C-34A692C392AA}">
  <sheetPr>
    <tabColor rgb="FF2D2926"/>
  </sheetPr>
  <dimension ref="A1:JB374"/>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44701</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382</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415794</v>
      </c>
      <c r="E29" s="55"/>
      <c r="F29" s="55">
        <f t="shared" ref="F29:L29" si="0">F28*F32</f>
        <v>33500</v>
      </c>
      <c r="G29" s="55"/>
      <c r="H29" s="55">
        <f t="shared" si="0"/>
        <v>30000</v>
      </c>
      <c r="I29" s="55"/>
      <c r="J29" s="55">
        <f t="shared" si="0"/>
        <v>24700</v>
      </c>
      <c r="K29" s="55"/>
      <c r="L29" s="55">
        <f t="shared" si="0"/>
        <v>17648</v>
      </c>
      <c r="M29" s="55"/>
      <c r="N29" s="55">
        <f>N28*N32</f>
        <v>7783.0744199999999</v>
      </c>
      <c r="O29" s="55"/>
      <c r="P29" s="55">
        <v>0</v>
      </c>
      <c r="Q29" s="55"/>
      <c r="R29" s="55" t="s">
        <v>83</v>
      </c>
      <c r="S29" s="55"/>
      <c r="T29" s="55" t="s">
        <v>83</v>
      </c>
      <c r="U29" s="55"/>
      <c r="V29" s="55" t="s">
        <v>83</v>
      </c>
      <c r="W29" s="51"/>
      <c r="X29" s="55" t="s">
        <v>83</v>
      </c>
      <c r="Y29" s="51"/>
      <c r="Z29" s="51"/>
      <c r="AA29" s="50"/>
      <c r="AB29" s="51">
        <f>SUM(D29:L29)</f>
        <v>521642</v>
      </c>
      <c r="AC29" s="52"/>
      <c r="AD29" s="22"/>
    </row>
    <row r="30" spans="1:33" s="23" customFormat="1" x14ac:dyDescent="0.3">
      <c r="A30" s="48"/>
      <c r="B30" s="45" t="s">
        <v>92</v>
      </c>
      <c r="C30" s="50"/>
      <c r="D30" s="58">
        <f>D28*D31</f>
        <v>401754</v>
      </c>
      <c r="E30" s="58"/>
      <c r="F30" s="58">
        <f>F28</f>
        <v>33500</v>
      </c>
      <c r="G30" s="58"/>
      <c r="H30" s="58">
        <f>H28</f>
        <v>30000</v>
      </c>
      <c r="I30" s="58"/>
      <c r="J30" s="58">
        <f>J28</f>
        <v>24700</v>
      </c>
      <c r="K30" s="58"/>
      <c r="L30" s="58">
        <f>L28</f>
        <v>17648</v>
      </c>
      <c r="M30" s="58"/>
      <c r="N30" s="58">
        <f>N28*N31</f>
        <v>7559.9175299999997</v>
      </c>
      <c r="O30" s="58"/>
      <c r="P30" s="58">
        <v>0</v>
      </c>
      <c r="Q30" s="58"/>
      <c r="R30" s="58" t="s">
        <v>83</v>
      </c>
      <c r="S30" s="58"/>
      <c r="T30" s="58" t="s">
        <v>83</v>
      </c>
      <c r="U30" s="58"/>
      <c r="V30" s="58" t="s">
        <v>83</v>
      </c>
      <c r="W30" s="57"/>
      <c r="X30" s="58" t="s">
        <v>83</v>
      </c>
      <c r="Y30" s="51"/>
      <c r="Z30" s="51"/>
      <c r="AA30" s="50"/>
      <c r="AB30" s="57">
        <f>SUM(D30:L30)</f>
        <v>507602</v>
      </c>
      <c r="AC30" s="52"/>
      <c r="AD30" s="22"/>
      <c r="AE30" s="238"/>
    </row>
    <row r="31" spans="1:33" s="67" customFormat="1" x14ac:dyDescent="0.3">
      <c r="A31" s="59"/>
      <c r="B31" s="169" t="s">
        <v>88</v>
      </c>
      <c r="C31" s="63"/>
      <c r="D31" s="61">
        <v>0.66959000000000002</v>
      </c>
      <c r="E31" s="61"/>
      <c r="F31" s="61">
        <v>1</v>
      </c>
      <c r="G31" s="61"/>
      <c r="H31" s="61">
        <v>1</v>
      </c>
      <c r="I31" s="61"/>
      <c r="J31" s="61">
        <v>1</v>
      </c>
      <c r="K31" s="61"/>
      <c r="L31" s="61">
        <v>1</v>
      </c>
      <c r="M31" s="61"/>
      <c r="N31" s="61">
        <v>0.69211</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0.69298999999999999</v>
      </c>
      <c r="E32" s="61"/>
      <c r="F32" s="61">
        <v>1</v>
      </c>
      <c r="G32" s="61"/>
      <c r="H32" s="61">
        <v>1</v>
      </c>
      <c r="I32" s="61"/>
      <c r="J32" s="61">
        <v>1</v>
      </c>
      <c r="K32" s="61"/>
      <c r="L32" s="61">
        <v>1</v>
      </c>
      <c r="M32" s="61"/>
      <c r="N32" s="61">
        <v>0.71253999999999995</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270" t="s">
        <v>404</v>
      </c>
      <c r="C33" s="41"/>
      <c r="D33" s="49" t="s">
        <v>394</v>
      </c>
      <c r="E33" s="49"/>
      <c r="F33" s="49" t="s">
        <v>395</v>
      </c>
      <c r="G33" s="49"/>
      <c r="H33" s="49" t="s">
        <v>396</v>
      </c>
      <c r="I33" s="49"/>
      <c r="J33" s="49" t="s">
        <v>397</v>
      </c>
      <c r="K33" s="49"/>
      <c r="L33" s="49" t="s">
        <v>398</v>
      </c>
      <c r="M33" s="49"/>
      <c r="N33" s="49" t="s">
        <v>399</v>
      </c>
      <c r="O33" s="49"/>
      <c r="P33" s="49" t="s">
        <v>399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1.37045E-2</v>
      </c>
      <c r="E34" s="71"/>
      <c r="F34" s="71">
        <v>1.6704500000000001E-2</v>
      </c>
      <c r="G34" s="71"/>
      <c r="H34" s="71">
        <v>2.02045E-2</v>
      </c>
      <c r="I34" s="71"/>
      <c r="J34" s="71">
        <v>2.3204499999999999E-2</v>
      </c>
      <c r="K34" s="71"/>
      <c r="L34" s="71">
        <v>3.3204499999999998E-2</v>
      </c>
      <c r="M34" s="71"/>
      <c r="N34" s="71">
        <v>4.7204500000000003E-2</v>
      </c>
      <c r="O34" s="71"/>
      <c r="P34" s="71">
        <v>4.7204500000000003E-2</v>
      </c>
      <c r="Q34" s="71"/>
      <c r="R34" s="71" t="s">
        <v>83</v>
      </c>
      <c r="S34" s="71"/>
      <c r="T34" s="71" t="s">
        <v>83</v>
      </c>
      <c r="U34" s="71"/>
      <c r="V34" s="71" t="s">
        <v>83</v>
      </c>
      <c r="W34" s="70"/>
      <c r="X34" s="71" t="s">
        <v>83</v>
      </c>
      <c r="Y34" s="49"/>
      <c r="Z34" s="49"/>
      <c r="AA34" s="41"/>
      <c r="AB34" s="70">
        <f>SUMPRODUCT(D34:L34,D29:L29)/AB29</f>
        <v>1.5380526853665925E-2</v>
      </c>
      <c r="AC34" s="44"/>
      <c r="AD34" s="22"/>
    </row>
    <row r="35" spans="1:30" s="23" customFormat="1" x14ac:dyDescent="0.3">
      <c r="A35" s="48"/>
      <c r="B35" s="41" t="s">
        <v>10</v>
      </c>
      <c r="C35" s="72"/>
      <c r="D35" s="71">
        <v>7.5174999999999999E-3</v>
      </c>
      <c r="E35" s="71"/>
      <c r="F35" s="71">
        <v>1.0517500000000001E-2</v>
      </c>
      <c r="G35" s="71"/>
      <c r="H35" s="71">
        <v>1.40175E-2</v>
      </c>
      <c r="I35" s="71"/>
      <c r="J35" s="71">
        <v>1.7017500000000001E-2</v>
      </c>
      <c r="K35" s="71"/>
      <c r="L35" s="71">
        <v>2.70175E-2</v>
      </c>
      <c r="M35" s="71"/>
      <c r="N35" s="71">
        <v>4.1017499999999998E-2</v>
      </c>
      <c r="O35" s="71"/>
      <c r="P35" s="71">
        <v>4.1017499999999998E-2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270" t="s">
        <v>405</v>
      </c>
      <c r="C38" s="41"/>
      <c r="D38" s="49" t="s">
        <v>400</v>
      </c>
      <c r="E38" s="49"/>
      <c r="F38" s="49" t="s">
        <v>401</v>
      </c>
      <c r="G38" s="49"/>
      <c r="H38" s="49" t="s">
        <v>402</v>
      </c>
      <c r="I38" s="49"/>
      <c r="J38" s="49" t="s">
        <v>403</v>
      </c>
      <c r="K38" s="49"/>
      <c r="L38" s="49" t="s">
        <v>398</v>
      </c>
      <c r="M38" s="49"/>
      <c r="N38" s="49" t="s">
        <v>399</v>
      </c>
      <c r="O38" s="49"/>
      <c r="P38" s="49" t="s">
        <v>399</v>
      </c>
      <c r="Q38" s="49"/>
      <c r="R38" s="49" t="s">
        <v>83</v>
      </c>
      <c r="S38" s="49"/>
      <c r="T38" s="49" t="s">
        <v>83</v>
      </c>
      <c r="U38" s="49"/>
      <c r="V38" s="49" t="s">
        <v>83</v>
      </c>
      <c r="W38" s="49"/>
      <c r="X38" s="49" t="s">
        <v>83</v>
      </c>
      <c r="Y38" s="73"/>
      <c r="Z38" s="73"/>
      <c r="AA38" s="73"/>
      <c r="AB38" s="73"/>
      <c r="AC38" s="44"/>
      <c r="AD38" s="22"/>
    </row>
    <row r="39" spans="1:30" s="23" customFormat="1" x14ac:dyDescent="0.3">
      <c r="A39" s="48"/>
      <c r="B39" s="270" t="s">
        <v>406</v>
      </c>
      <c r="C39" s="41"/>
      <c r="D39" s="49" t="s">
        <v>400</v>
      </c>
      <c r="E39" s="49"/>
      <c r="F39" s="49" t="s">
        <v>401</v>
      </c>
      <c r="G39" s="49"/>
      <c r="H39" s="49" t="s">
        <v>402</v>
      </c>
      <c r="I39" s="49"/>
      <c r="J39" s="49" t="s">
        <v>403</v>
      </c>
      <c r="K39" s="49"/>
      <c r="L39" s="49" t="s">
        <v>398</v>
      </c>
      <c r="M39" s="49"/>
      <c r="N39" s="49" t="s">
        <v>399</v>
      </c>
      <c r="O39" s="49"/>
      <c r="P39" s="49" t="s">
        <v>399</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0.26346470725867072</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44697</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44515</v>
      </c>
      <c r="AA47" s="80"/>
      <c r="AB47" s="79">
        <v>44606</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90</v>
      </c>
      <c r="Y48" s="41"/>
      <c r="Z48" s="79">
        <v>44607</v>
      </c>
      <c r="AA48" s="80"/>
      <c r="AB48" s="79">
        <v>44696</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44696</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386</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511626</v>
      </c>
      <c r="S57" s="241"/>
      <c r="T57" s="240">
        <f>387+126</f>
        <v>513</v>
      </c>
      <c r="U57" s="241"/>
      <c r="V57" s="241">
        <v>19269</v>
      </c>
      <c r="W57" s="241"/>
      <c r="X57" s="241">
        <v>0</v>
      </c>
      <c r="Y57" s="241"/>
      <c r="Z57" s="241">
        <v>0</v>
      </c>
      <c r="AA57" s="241"/>
      <c r="AB57" s="240">
        <f>R57-T57-V57+X57-Z57</f>
        <v>491844</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511626</v>
      </c>
      <c r="S60" s="241"/>
      <c r="T60" s="241">
        <f>T57+T58</f>
        <v>513</v>
      </c>
      <c r="U60" s="241"/>
      <c r="V60" s="241">
        <f>SUM(V57:V59)</f>
        <v>19269</v>
      </c>
      <c r="W60" s="241"/>
      <c r="X60" s="241">
        <f>SUM(X57:X59)</f>
        <v>0</v>
      </c>
      <c r="Y60" s="241"/>
      <c r="Z60" s="241">
        <f>SUM(Z57:Z59)</f>
        <v>0</v>
      </c>
      <c r="AA60" s="241"/>
      <c r="AB60" s="241">
        <f>SUM(AB57:AB59)</f>
        <v>491844</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10016</v>
      </c>
      <c r="S63" s="241"/>
      <c r="T63" s="241">
        <v>0</v>
      </c>
      <c r="U63" s="241"/>
      <c r="V63" s="241">
        <v>5742</v>
      </c>
      <c r="W63" s="241"/>
      <c r="X63" s="241"/>
      <c r="Y63" s="241"/>
      <c r="Z63" s="241"/>
      <c r="AA63" s="241"/>
      <c r="AB63" s="241">
        <f>+R63+V63</f>
        <v>15758</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521642</v>
      </c>
      <c r="S66" s="241"/>
      <c r="T66" s="241"/>
      <c r="U66" s="241"/>
      <c r="V66" s="241"/>
      <c r="W66" s="241"/>
      <c r="X66" s="241"/>
      <c r="Y66" s="241"/>
      <c r="Z66" s="241"/>
      <c r="AA66" s="241"/>
      <c r="AB66" s="241">
        <f>SUM(AB60:AB65)</f>
        <v>507602</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44680</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10016</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+T57+V57+Z57+3</f>
        <v>19785</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1193+5192-241-1034</f>
        <v>5110</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30+149</f>
        <v>179</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20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223</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2820</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29801</v>
      </c>
      <c r="AA85" s="41"/>
      <c r="AB85" s="100">
        <f>SUM(AB70:AB84)</f>
        <v>8352</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29801</v>
      </c>
      <c r="AA88" s="41"/>
      <c r="AB88" s="100">
        <f>AB85+AB86+AB87</f>
        <v>8352</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-250-11-7</f>
        <v>-268</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-145</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-1404</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-138</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-149</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-141</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-3</v>
      </c>
      <c r="AA101" s="115"/>
      <c r="AB101" s="101">
        <v>3</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-3450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-145</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-91</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-223</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-10-156</f>
        <v>-166</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-2008</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-15758</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-14040</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-29798</v>
      </c>
      <c r="AA131" s="100"/>
      <c r="AB131" s="100">
        <f>SUM(AB89:AB129)</f>
        <v>-8352</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APRIL 2022</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+'Jan 22'!AB147</f>
        <v>6962.5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-223</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6739.5</v>
      </c>
      <c r="AC147" s="44"/>
      <c r="AD147" s="22"/>
      <c r="AE147" s="118"/>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+'Jan 22'!AB160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+'Jan 22'!AB166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-3</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-3</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3</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10016</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-10016</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15758</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15758</v>
      </c>
      <c r="AC182" s="44"/>
      <c r="AD182" s="22"/>
    </row>
    <row r="183" spans="1:262" ht="16.2" thickBot="1" x14ac:dyDescent="0.35">
      <c r="A183" s="7"/>
      <c r="B183" s="41" t="s">
        <v>388</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306">
        <f>+AB182/AB57</f>
        <v>3.2038613869438279E-2</v>
      </c>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+'Jan 22'!AB190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+'Jan 22'!AB198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+'Jan 22'!AB206</f>
        <v>1869</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3539</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2820</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2588</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+'Jan 22'!AB214</f>
        <v>3701</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3539</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3450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3612</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+'Jan 22'!Y221</f>
        <v>0</v>
      </c>
      <c r="Z219" s="101">
        <f>+'Jan 22'!Z221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401600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405179</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-3579</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5.6531339031339032</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4.41</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47.340579710144929</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43.84</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42.919463087248324</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38.5</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44.297872340425535</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39.01</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42.103448275862071</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35.99</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APRIL 2022</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44680</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3.953268846920191E-2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1.5380526853665925E-2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2.4152161615535985E-2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1.6010980710909013E-2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14.89430122806921</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3.7922559916571133E-2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0.1232</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3</v>
      </c>
      <c r="Z268" s="165">
        <f>+Z320</f>
        <v>520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-3</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'Jan 22'!Z274+Z273</f>
        <v>13</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2905</v>
      </c>
      <c r="Y287" s="195">
        <f>X287/$X$296</f>
        <v>0.99554489376285127</v>
      </c>
      <c r="Z287" s="110">
        <f t="shared" ref="Z287:Z294" si="2">+Z299+Z311+Z333</f>
        <v>488799</v>
      </c>
      <c r="AA287" s="195">
        <f t="shared" ref="AA287:AA294" si="3">Z287/$Z$296</f>
        <v>0.99380901261375554</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7</v>
      </c>
      <c r="Y288" s="199">
        <f t="shared" ref="Y288:Y294" si="4">X288/$X$296</f>
        <v>2.3989033584647019E-3</v>
      </c>
      <c r="Z288" s="200">
        <f t="shared" si="2"/>
        <v>2101</v>
      </c>
      <c r="AA288" s="201">
        <f t="shared" si="3"/>
        <v>4.2716796382592853E-3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1</v>
      </c>
      <c r="Y289" s="203">
        <f t="shared" si="4"/>
        <v>3.4270047978067172E-4</v>
      </c>
      <c r="Z289" s="134">
        <f t="shared" si="2"/>
        <v>300</v>
      </c>
      <c r="AA289" s="201">
        <f t="shared" si="3"/>
        <v>6.0994949618171619E-4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1</v>
      </c>
      <c r="Y291" s="203">
        <f t="shared" si="4"/>
        <v>3.4270047978067172E-4</v>
      </c>
      <c r="Z291" s="134">
        <f t="shared" si="2"/>
        <v>45</v>
      </c>
      <c r="AA291" s="201">
        <f t="shared" si="3"/>
        <v>9.1492424427257429E-5</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4</v>
      </c>
      <c r="Y293" s="205">
        <f t="shared" si="4"/>
        <v>1.3708019191226869E-3</v>
      </c>
      <c r="Z293" s="206">
        <f t="shared" si="2"/>
        <v>599</v>
      </c>
      <c r="AA293" s="201">
        <f t="shared" si="3"/>
        <v>1.2178658273761598E-3</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2918</v>
      </c>
      <c r="Y296" s="201">
        <f>SUM(Y287:Y295)</f>
        <v>1</v>
      </c>
      <c r="Z296" s="101">
        <f>SUM(Z287:Z295)</f>
        <v>491844</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2904</v>
      </c>
      <c r="Y299" s="195">
        <f>X299/$X$308</f>
        <v>0.99622641509433962</v>
      </c>
      <c r="Z299" s="110">
        <v>488452</v>
      </c>
      <c r="AA299" s="195">
        <f>Z299/$Z$308</f>
        <v>0.99415457010038177</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7</v>
      </c>
      <c r="Y300" s="201">
        <f t="shared" ref="Y300:Y306" si="5">X300/$X$308</f>
        <v>2.4013722126929675E-3</v>
      </c>
      <c r="Z300" s="101">
        <v>2101</v>
      </c>
      <c r="AA300" s="201">
        <f t="shared" ref="AA300:AA306" si="6">Z300/$Z$308</f>
        <v>4.2762006333905934E-3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1</v>
      </c>
      <c r="Y301" s="201">
        <f t="shared" si="5"/>
        <v>3.4305317324185246E-4</v>
      </c>
      <c r="Z301" s="101">
        <v>300</v>
      </c>
      <c r="AA301" s="201">
        <f t="shared" si="6"/>
        <v>6.1059504522473966E-4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1</v>
      </c>
      <c r="Y303" s="201">
        <f t="shared" si="5"/>
        <v>3.4305317324185246E-4</v>
      </c>
      <c r="Z303" s="101">
        <v>45</v>
      </c>
      <c r="AA303" s="201">
        <f t="shared" si="6"/>
        <v>9.1589256783710946E-5</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2</v>
      </c>
      <c r="Y305" s="201">
        <f>X305/$X$308</f>
        <v>6.8610634648370492E-4</v>
      </c>
      <c r="Z305" s="101">
        <v>426</v>
      </c>
      <c r="AA305" s="201">
        <f t="shared" si="6"/>
        <v>8.670449642191304E-4</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2915</v>
      </c>
      <c r="Y308" s="201">
        <f>SUM(Y299:Y307)</f>
        <v>1.0000000000000002</v>
      </c>
      <c r="Z308" s="101">
        <f>SUM(Z299:Z307)</f>
        <v>491324</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1</v>
      </c>
      <c r="Y311" s="195">
        <f>X311/X320</f>
        <v>0.33333333333333331</v>
      </c>
      <c r="Z311" s="110">
        <v>347</v>
      </c>
      <c r="AA311" s="195">
        <f>Z311/Z320</f>
        <v>0.66730769230769227</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f>X315/$X$320</f>
        <v>0</v>
      </c>
      <c r="Z315" s="101">
        <v>0</v>
      </c>
      <c r="AA315" s="201">
        <f>Z315/$Z$320</f>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2</v>
      </c>
      <c r="Y317" s="201">
        <f>X317/$X$320</f>
        <v>0.66666666666666663</v>
      </c>
      <c r="Z317" s="101">
        <v>173</v>
      </c>
      <c r="AA317" s="201">
        <f>Z317/$Z$320</f>
        <v>0.33269230769230768</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3</v>
      </c>
      <c r="Y320" s="201">
        <f>SUM(Y311:Y319)</f>
        <v>1</v>
      </c>
      <c r="Z320" s="101">
        <f>SUM(Z311:Z319)</f>
        <v>520</v>
      </c>
      <c r="AA320" s="201">
        <f>SUM(AA311:AA319)</f>
        <v>1</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82">
        <v>0</v>
      </c>
      <c r="Z323" s="283">
        <v>0</v>
      </c>
      <c r="AA323" s="282">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1</v>
      </c>
      <c r="Y324" s="282">
        <f>X324/X330</f>
        <v>0.33333333333333331</v>
      </c>
      <c r="Z324" s="283">
        <v>82</v>
      </c>
      <c r="AA324" s="282">
        <f>Z324/Z330</f>
        <v>0.15769230769230769</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v>0</v>
      </c>
      <c r="Z325" s="283">
        <v>0</v>
      </c>
      <c r="AA325" s="282">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1</v>
      </c>
      <c r="Y326" s="282">
        <f>X326/X330</f>
        <v>0.33333333333333331</v>
      </c>
      <c r="Z326" s="283">
        <v>347</v>
      </c>
      <c r="AA326" s="282">
        <f>Z326/Z330</f>
        <v>0.66730769230769227</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1</v>
      </c>
      <c r="Y327" s="282">
        <f>X327/X330</f>
        <v>0.33333333333333331</v>
      </c>
      <c r="Z327" s="283">
        <v>91</v>
      </c>
      <c r="AA327" s="282">
        <f>Z327/Z330</f>
        <v>0.17499999999999999</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305">
        <f>X328/$X$330</f>
        <v>0</v>
      </c>
      <c r="Z328" s="283">
        <v>0</v>
      </c>
      <c r="AA328" s="305">
        <f>Z328/$Z$330</f>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3</v>
      </c>
      <c r="Y330" s="274">
        <f>SUM(Y323:Y328)</f>
        <v>1</v>
      </c>
      <c r="Z330" s="275">
        <f>SUM(Z323:Z328)</f>
        <v>520</v>
      </c>
      <c r="AA330" s="274">
        <f>SUM(AA323:AA329)</f>
        <v>1</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48"/>
      <c r="B344" s="45" t="s">
        <v>139</v>
      </c>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213">
        <f>X342+X320+X308</f>
        <v>2918</v>
      </c>
      <c r="Y344" s="201"/>
      <c r="Z344" s="214">
        <f>+Z342+Z320+Z308</f>
        <v>491844</v>
      </c>
      <c r="AA344" s="201"/>
      <c r="AB344" s="41"/>
      <c r="AC344" s="44"/>
      <c r="AD344" s="22"/>
    </row>
    <row r="345" spans="1:30" s="23" customFormat="1" x14ac:dyDescent="0.3">
      <c r="A345" s="48"/>
      <c r="B345" s="45" t="s">
        <v>253</v>
      </c>
      <c r="C345" s="45"/>
      <c r="D345" s="215"/>
      <c r="E345" s="215"/>
      <c r="F345" s="215"/>
      <c r="G345" s="215"/>
      <c r="H345" s="215"/>
      <c r="I345" s="215"/>
      <c r="J345" s="215"/>
      <c r="K345" s="215"/>
      <c r="L345" s="215"/>
      <c r="M345" s="215"/>
      <c r="N345" s="215"/>
      <c r="O345" s="215"/>
      <c r="P345" s="215"/>
      <c r="Q345" s="215"/>
      <c r="R345" s="215"/>
      <c r="S345" s="215"/>
      <c r="T345" s="215"/>
      <c r="U345" s="215"/>
      <c r="V345" s="215"/>
      <c r="W345" s="215"/>
      <c r="X345" s="213"/>
      <c r="Y345" s="216"/>
      <c r="Z345" s="214">
        <f>+AB63+AB64</f>
        <v>15758</v>
      </c>
      <c r="AA345" s="201"/>
      <c r="AB345" s="41"/>
      <c r="AC345" s="44"/>
      <c r="AD345" s="22"/>
    </row>
    <row r="346" spans="1:30" s="23" customFormat="1" x14ac:dyDescent="0.3">
      <c r="A346" s="48"/>
      <c r="B346" s="45" t="s">
        <v>107</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+Z344+Z345</f>
        <v>507602</v>
      </c>
      <c r="AA346" s="201"/>
      <c r="AB346" s="41"/>
      <c r="AC346" s="44"/>
      <c r="AD346" s="22"/>
    </row>
    <row r="347" spans="1:30" s="23" customFormat="1" x14ac:dyDescent="0.3">
      <c r="A347" s="48"/>
      <c r="B347" s="45" t="s">
        <v>275</v>
      </c>
      <c r="C347" s="41"/>
      <c r="D347" s="207"/>
      <c r="E347" s="207"/>
      <c r="F347" s="207"/>
      <c r="G347" s="207"/>
      <c r="H347" s="207"/>
      <c r="I347" s="207"/>
      <c r="J347" s="207"/>
      <c r="K347" s="207"/>
      <c r="L347" s="207"/>
      <c r="M347" s="207"/>
      <c r="N347" s="207"/>
      <c r="O347" s="207"/>
      <c r="P347" s="207"/>
      <c r="Q347" s="207"/>
      <c r="R347" s="207"/>
      <c r="S347" s="207"/>
      <c r="T347" s="207"/>
      <c r="U347" s="207"/>
      <c r="V347" s="207"/>
      <c r="W347" s="207"/>
      <c r="X347" s="213"/>
      <c r="Y347" s="201"/>
      <c r="Z347" s="214">
        <f>+AB66</f>
        <v>507602</v>
      </c>
      <c r="AA347" s="201"/>
      <c r="AB347" s="41"/>
      <c r="AC347" s="44"/>
      <c r="AD347" s="22"/>
    </row>
    <row r="348" spans="1:30" s="23" customFormat="1" x14ac:dyDescent="0.3">
      <c r="A348" s="48"/>
      <c r="B348" s="45"/>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c r="AA348" s="201"/>
      <c r="AB348" s="41"/>
      <c r="AC348" s="44"/>
      <c r="AD348" s="22"/>
    </row>
    <row r="349" spans="1:30" s="23" customFormat="1" x14ac:dyDescent="0.3">
      <c r="A349" s="48"/>
      <c r="B349" s="45" t="s">
        <v>318</v>
      </c>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39">
        <f>(D30*0.375+F30*0.05+H30*0.05+J30+L30)/AB30</f>
        <v>0.38648537633815472</v>
      </c>
      <c r="AA349" s="201"/>
      <c r="AB349" s="41"/>
      <c r="AC349" s="44"/>
      <c r="AD349" s="22"/>
    </row>
    <row r="350" spans="1:30" s="23" customFormat="1" x14ac:dyDescent="0.3">
      <c r="A350" s="18"/>
      <c r="B350" s="20"/>
      <c r="C350" s="20"/>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8"/>
      <c r="AA350" s="217"/>
      <c r="AB350" s="20"/>
      <c r="AC350" s="21"/>
      <c r="AD350" s="22"/>
    </row>
    <row r="351" spans="1:30" s="23" customFormat="1" x14ac:dyDescent="0.3">
      <c r="A351" s="18"/>
      <c r="B351" s="19" t="s">
        <v>62</v>
      </c>
      <c r="C351" s="20"/>
      <c r="D351" s="219" t="s">
        <v>66</v>
      </c>
      <c r="E351" s="19"/>
      <c r="F351" s="19" t="s">
        <v>67</v>
      </c>
      <c r="G351" s="20"/>
      <c r="H351" s="19"/>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20" t="s">
        <v>122</v>
      </c>
      <c r="E353" s="19"/>
      <c r="F353" s="19" t="s">
        <v>170</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153</v>
      </c>
      <c r="C354" s="19"/>
      <c r="D354" s="220" t="s">
        <v>98</v>
      </c>
      <c r="E354" s="19"/>
      <c r="F354" s="19" t="s">
        <v>171</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c r="C355" s="19"/>
      <c r="D355" s="220"/>
      <c r="E355" s="19"/>
      <c r="F355" s="19"/>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256"/>
      <c r="C356" s="256"/>
      <c r="D356" s="256"/>
      <c r="E356" s="256"/>
      <c r="F356" s="257"/>
      <c r="G356" s="256"/>
      <c r="H356" s="258"/>
      <c r="I356" s="255"/>
      <c r="J356" s="255"/>
      <c r="K356" s="255"/>
      <c r="L356" s="255"/>
      <c r="M356" s="255"/>
      <c r="N356" s="255"/>
      <c r="O356" s="255"/>
      <c r="P356" s="255"/>
      <c r="Q356" s="20"/>
      <c r="R356" s="20"/>
      <c r="S356" s="20"/>
      <c r="T356" s="20"/>
      <c r="U356" s="20"/>
      <c r="V356" s="20"/>
      <c r="W356" s="20"/>
      <c r="X356" s="20"/>
      <c r="Y356" s="20"/>
      <c r="Z356" s="20"/>
      <c r="AA356" s="20"/>
      <c r="AB356" s="20"/>
      <c r="AC356" s="21"/>
      <c r="AD356" s="22"/>
    </row>
    <row r="357" spans="1:30" s="23" customFormat="1" ht="18" x14ac:dyDescent="0.35">
      <c r="A357" s="18"/>
      <c r="B357" s="259" t="s">
        <v>109</v>
      </c>
      <c r="C357" s="256"/>
      <c r="D357" s="256"/>
      <c r="E357" s="256"/>
      <c r="F357" s="257"/>
      <c r="G357" s="256"/>
      <c r="H357" s="258"/>
      <c r="I357" s="255"/>
      <c r="J357" s="255"/>
      <c r="K357" s="255"/>
      <c r="L357" s="255"/>
      <c r="M357" s="255"/>
      <c r="N357" s="255"/>
      <c r="O357" s="255"/>
      <c r="P357" s="260" t="s">
        <v>169</v>
      </c>
      <c r="Q357" s="20"/>
      <c r="R357" s="20"/>
      <c r="S357" s="20"/>
      <c r="T357" s="20"/>
      <c r="U357" s="20"/>
      <c r="V357" s="20"/>
      <c r="W357" s="20"/>
      <c r="X357" s="20"/>
      <c r="Y357" s="20"/>
      <c r="Z357" s="20"/>
      <c r="AA357" s="20"/>
      <c r="AB357" s="20"/>
      <c r="AC357" s="21"/>
      <c r="AD357" s="22"/>
    </row>
    <row r="358" spans="1:30" x14ac:dyDescent="0.3">
      <c r="A358" s="221"/>
      <c r="B358" s="222"/>
      <c r="C358" s="222"/>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4"/>
      <c r="AD358" s="5"/>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ht="18.600000000000001" thickBot="1" x14ac:dyDescent="0.4">
      <c r="A360" s="221"/>
      <c r="B360" s="225" t="str">
        <f>B244</f>
        <v>PM25 INVESTOR REPORT QUARTER ENDING APRIL 2022</v>
      </c>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6"/>
      <c r="AD360" s="5"/>
    </row>
    <row r="361" spans="1:30"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row>
    <row r="362" spans="1:30" x14ac:dyDescent="0.3">
      <c r="B362" s="280" t="s">
        <v>334</v>
      </c>
    </row>
    <row r="363" spans="1:30" x14ac:dyDescent="0.3">
      <c r="B363" s="264"/>
    </row>
    <row r="364" spans="1:30" x14ac:dyDescent="0.3">
      <c r="B364" s="301" t="s">
        <v>379</v>
      </c>
    </row>
    <row r="365" spans="1:30" x14ac:dyDescent="0.3">
      <c r="B365" s="302" t="s">
        <v>366</v>
      </c>
    </row>
    <row r="366" spans="1:30" x14ac:dyDescent="0.3">
      <c r="B366" s="299"/>
    </row>
    <row r="367" spans="1:30" x14ac:dyDescent="0.3">
      <c r="B367" s="264" t="s">
        <v>378</v>
      </c>
    </row>
    <row r="368" spans="1:30" x14ac:dyDescent="0.3">
      <c r="B368" s="302" t="s">
        <v>377</v>
      </c>
    </row>
    <row r="369" spans="2:2" x14ac:dyDescent="0.3">
      <c r="B369" s="302"/>
    </row>
    <row r="370" spans="2:2" x14ac:dyDescent="0.3">
      <c r="B370" s="304" t="s">
        <v>387</v>
      </c>
    </row>
    <row r="371" spans="2:2" x14ac:dyDescent="0.3">
      <c r="B371" s="303"/>
    </row>
    <row r="372" spans="2:2" x14ac:dyDescent="0.3">
      <c r="B372" s="280" t="s">
        <v>365</v>
      </c>
    </row>
    <row r="373" spans="2:2" x14ac:dyDescent="0.3">
      <c r="B373" s="264" t="s">
        <v>368</v>
      </c>
    </row>
    <row r="374" spans="2:2" x14ac:dyDescent="0.3">
      <c r="B374" s="302" t="s">
        <v>367</v>
      </c>
    </row>
  </sheetData>
  <hyperlinks>
    <hyperlink ref="X284" r:id="rId1" display="http://www.paragon-group.co.uk" xr:uid="{5C5367E6-AD82-4AC8-92AA-5A367D30BB7B}"/>
    <hyperlink ref="K9" r:id="rId2" display="http://www.paragon-group.co.uk" xr:uid="{3DAC208D-AA19-4EFE-9695-E8EB27DAEB60}"/>
    <hyperlink ref="P357" r:id="rId3" xr:uid="{4E3230B1-8BB2-4844-8F0B-B311A38FB608}"/>
    <hyperlink ref="B365" r:id="rId4" display="https://www.londonstockexchange.com/news-article/41YH/notice-of-base-rate-modification/15064143" xr:uid="{874B6F26-1536-48D7-8F05-3EC2BD90B5FC}"/>
    <hyperlink ref="B374" r:id="rId5" display="https://investorreporting.paragonbankinggroup.co.uk/bondinvestor_viewer/resources/bondinvestor/pdf/investornews/2021/libor-mortgages-transition-july-19" xr:uid="{71975CBE-A76B-4C54-9FB7-671F9A3A964D}"/>
    <hyperlink ref="B368" r:id="rId6" xr:uid="{C11776B4-9074-45A5-8E29-26B42C27DFFD}"/>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4" max="18" man="1"/>
  </rowBreaks>
  <colBreaks count="1" manualBreakCount="1">
    <brk id="29" max="299" man="1"/>
  </colBreaks>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6FDBB-2AE9-47A4-85FE-1F421CF098AF}">
  <sheetPr>
    <tabColor rgb="FF89CB31"/>
  </sheetPr>
  <dimension ref="A1:JB374"/>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308"/>
      <c r="K18" s="20"/>
      <c r="L18" s="308"/>
      <c r="M18" s="20"/>
      <c r="N18" s="20"/>
      <c r="O18" s="20"/>
      <c r="P18" s="20"/>
      <c r="Q18" s="20"/>
      <c r="R18" s="20"/>
      <c r="S18" s="20"/>
      <c r="T18" s="20"/>
      <c r="U18" s="20"/>
      <c r="V18" s="20"/>
      <c r="W18" s="20"/>
      <c r="X18" s="20"/>
      <c r="Y18" s="20"/>
      <c r="Z18" s="20"/>
      <c r="AA18" s="20"/>
      <c r="AB18" s="229">
        <v>44792</v>
      </c>
      <c r="AC18" s="21"/>
      <c r="AD18" s="22"/>
    </row>
    <row r="19" spans="1:33" s="23" customFormat="1" x14ac:dyDescent="0.3">
      <c r="A19" s="18"/>
      <c r="B19" s="20"/>
      <c r="C19" s="20"/>
      <c r="D19" s="309"/>
      <c r="E19" s="309"/>
      <c r="F19" s="309"/>
      <c r="G19" s="309"/>
      <c r="H19" s="309"/>
      <c r="I19" s="20"/>
      <c r="J19" s="20"/>
      <c r="K19" s="20"/>
      <c r="L19" s="20"/>
      <c r="M19" s="20"/>
      <c r="N19" s="309"/>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382</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401754</v>
      </c>
      <c r="E29" s="55"/>
      <c r="F29" s="55">
        <f t="shared" ref="F29:L29" si="0">F28*F32</f>
        <v>33500</v>
      </c>
      <c r="G29" s="55"/>
      <c r="H29" s="55">
        <f t="shared" si="0"/>
        <v>30000</v>
      </c>
      <c r="I29" s="55"/>
      <c r="J29" s="55">
        <f t="shared" si="0"/>
        <v>24700</v>
      </c>
      <c r="K29" s="55"/>
      <c r="L29" s="55">
        <f t="shared" si="0"/>
        <v>17648</v>
      </c>
      <c r="M29" s="55"/>
      <c r="N29" s="55">
        <f>N28*N32</f>
        <v>7559.9175299999997</v>
      </c>
      <c r="O29" s="55"/>
      <c r="P29" s="55">
        <v>0</v>
      </c>
      <c r="Q29" s="55"/>
      <c r="R29" s="55" t="s">
        <v>83</v>
      </c>
      <c r="S29" s="55"/>
      <c r="T29" s="55" t="s">
        <v>83</v>
      </c>
      <c r="U29" s="55"/>
      <c r="V29" s="55" t="s">
        <v>83</v>
      </c>
      <c r="W29" s="51"/>
      <c r="X29" s="55" t="s">
        <v>83</v>
      </c>
      <c r="Y29" s="51"/>
      <c r="Z29" s="51"/>
      <c r="AA29" s="50"/>
      <c r="AB29" s="51">
        <f>SUM(D29:L29)</f>
        <v>507602</v>
      </c>
      <c r="AC29" s="52"/>
      <c r="AD29" s="22"/>
    </row>
    <row r="30" spans="1:33" s="23" customFormat="1" x14ac:dyDescent="0.3">
      <c r="A30" s="48"/>
      <c r="B30" s="45" t="s">
        <v>92</v>
      </c>
      <c r="C30" s="50"/>
      <c r="D30" s="58">
        <f>D28*D31</f>
        <v>387582</v>
      </c>
      <c r="E30" s="58"/>
      <c r="F30" s="58">
        <f>F28</f>
        <v>33500</v>
      </c>
      <c r="G30" s="58"/>
      <c r="H30" s="58">
        <f>H28</f>
        <v>30000</v>
      </c>
      <c r="I30" s="58"/>
      <c r="J30" s="58">
        <f>J28</f>
        <v>24700</v>
      </c>
      <c r="K30" s="58"/>
      <c r="L30" s="58">
        <f>L28</f>
        <v>17648</v>
      </c>
      <c r="M30" s="58"/>
      <c r="N30" s="58">
        <f>N28*N31</f>
        <v>7349.3220900000006</v>
      </c>
      <c r="O30" s="58"/>
      <c r="P30" s="58">
        <v>0</v>
      </c>
      <c r="Q30" s="58"/>
      <c r="R30" s="58" t="s">
        <v>83</v>
      </c>
      <c r="S30" s="58"/>
      <c r="T30" s="58" t="s">
        <v>83</v>
      </c>
      <c r="U30" s="58"/>
      <c r="V30" s="58" t="s">
        <v>83</v>
      </c>
      <c r="W30" s="57"/>
      <c r="X30" s="58" t="s">
        <v>83</v>
      </c>
      <c r="Y30" s="51"/>
      <c r="Z30" s="51"/>
      <c r="AA30" s="50"/>
      <c r="AB30" s="57">
        <f>SUM(D30:L30)</f>
        <v>493430</v>
      </c>
      <c r="AC30" s="52"/>
      <c r="AD30" s="22"/>
      <c r="AE30" s="238"/>
    </row>
    <row r="31" spans="1:33" s="67" customFormat="1" x14ac:dyDescent="0.3">
      <c r="A31" s="59"/>
      <c r="B31" s="169" t="s">
        <v>88</v>
      </c>
      <c r="C31" s="63"/>
      <c r="D31" s="61">
        <v>0.64597000000000004</v>
      </c>
      <c r="E31" s="61"/>
      <c r="F31" s="61">
        <v>1</v>
      </c>
      <c r="G31" s="61"/>
      <c r="H31" s="61">
        <v>1</v>
      </c>
      <c r="I31" s="61"/>
      <c r="J31" s="61">
        <v>1</v>
      </c>
      <c r="K31" s="61"/>
      <c r="L31" s="61">
        <v>1</v>
      </c>
      <c r="M31" s="61"/>
      <c r="N31" s="61">
        <v>0.67283000000000004</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0.66959000000000002</v>
      </c>
      <c r="E32" s="61"/>
      <c r="F32" s="61">
        <v>1</v>
      </c>
      <c r="G32" s="61"/>
      <c r="H32" s="61">
        <v>1</v>
      </c>
      <c r="I32" s="61"/>
      <c r="J32" s="61">
        <v>1</v>
      </c>
      <c r="K32" s="61"/>
      <c r="L32" s="61">
        <v>1</v>
      </c>
      <c r="M32" s="61"/>
      <c r="N32" s="61">
        <v>0.69211</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270" t="s">
        <v>404</v>
      </c>
      <c r="C33" s="41"/>
      <c r="D33" s="49" t="s">
        <v>394</v>
      </c>
      <c r="E33" s="49"/>
      <c r="F33" s="49" t="s">
        <v>395</v>
      </c>
      <c r="G33" s="49"/>
      <c r="H33" s="49" t="s">
        <v>396</v>
      </c>
      <c r="I33" s="49"/>
      <c r="J33" s="49" t="s">
        <v>397</v>
      </c>
      <c r="K33" s="49"/>
      <c r="L33" s="49" t="s">
        <v>398</v>
      </c>
      <c r="M33" s="49"/>
      <c r="N33" s="49" t="s">
        <v>399</v>
      </c>
      <c r="O33" s="49"/>
      <c r="P33" s="49" t="s">
        <v>399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1.8782299999999998E-2</v>
      </c>
      <c r="E34" s="71"/>
      <c r="F34" s="71">
        <v>2.1782300000000001E-2</v>
      </c>
      <c r="G34" s="71"/>
      <c r="H34" s="71">
        <v>2.5282300000000001E-2</v>
      </c>
      <c r="I34" s="71"/>
      <c r="J34" s="71">
        <v>2.82823E-2</v>
      </c>
      <c r="K34" s="71"/>
      <c r="L34" s="71">
        <v>3.8282299999999998E-2</v>
      </c>
      <c r="M34" s="71"/>
      <c r="N34" s="71">
        <v>5.2282299999999997E-2</v>
      </c>
      <c r="O34" s="71"/>
      <c r="P34" s="71">
        <v>5.2282299999999997E-2</v>
      </c>
      <c r="Q34" s="71"/>
      <c r="R34" s="71" t="s">
        <v>83</v>
      </c>
      <c r="S34" s="71"/>
      <c r="T34" s="71" t="s">
        <v>83</v>
      </c>
      <c r="U34" s="71"/>
      <c r="V34" s="71" t="s">
        <v>83</v>
      </c>
      <c r="W34" s="70"/>
      <c r="X34" s="71" t="s">
        <v>83</v>
      </c>
      <c r="Y34" s="49"/>
      <c r="Z34" s="49"/>
      <c r="AA34" s="41"/>
      <c r="AB34" s="70">
        <f>SUMPRODUCT(D34:L34,D29:L29)/AB29</f>
        <v>2.0504684860579742E-2</v>
      </c>
      <c r="AC34" s="44"/>
      <c r="AD34" s="22"/>
    </row>
    <row r="35" spans="1:30" s="23" customFormat="1" x14ac:dyDescent="0.3">
      <c r="A35" s="48"/>
      <c r="B35" s="41" t="s">
        <v>10</v>
      </c>
      <c r="C35" s="72"/>
      <c r="D35" s="71">
        <v>1.37045E-2</v>
      </c>
      <c r="E35" s="71"/>
      <c r="F35" s="71">
        <v>1.6704500000000001E-2</v>
      </c>
      <c r="G35" s="71"/>
      <c r="H35" s="71">
        <v>2.02045E-2</v>
      </c>
      <c r="I35" s="71"/>
      <c r="J35" s="71">
        <v>2.3204499999999999E-2</v>
      </c>
      <c r="K35" s="71"/>
      <c r="L35" s="71">
        <v>3.3204499999999998E-2</v>
      </c>
      <c r="M35" s="71"/>
      <c r="N35" s="71">
        <v>4.7204500000000003E-2</v>
      </c>
      <c r="O35" s="71"/>
      <c r="P35" s="71">
        <v>4.7204500000000003E-2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270" t="s">
        <v>405</v>
      </c>
      <c r="C38" s="41"/>
      <c r="D38" s="49" t="s">
        <v>400</v>
      </c>
      <c r="E38" s="49"/>
      <c r="F38" s="49" t="s">
        <v>401</v>
      </c>
      <c r="G38" s="49"/>
      <c r="H38" s="49" t="s">
        <v>402</v>
      </c>
      <c r="I38" s="49"/>
      <c r="J38" s="49" t="s">
        <v>403</v>
      </c>
      <c r="K38" s="49"/>
      <c r="L38" s="49" t="s">
        <v>398</v>
      </c>
      <c r="M38" s="49"/>
      <c r="N38" s="49" t="s">
        <v>399</v>
      </c>
      <c r="O38" s="49"/>
      <c r="P38" s="49" t="s">
        <v>399</v>
      </c>
      <c r="Q38" s="49"/>
      <c r="R38" s="49" t="s">
        <v>83</v>
      </c>
      <c r="S38" s="49"/>
      <c r="T38" s="49" t="s">
        <v>83</v>
      </c>
      <c r="U38" s="49"/>
      <c r="V38" s="49" t="s">
        <v>83</v>
      </c>
      <c r="W38" s="49"/>
      <c r="X38" s="49" t="s">
        <v>83</v>
      </c>
      <c r="Y38" s="73"/>
      <c r="Z38" s="73"/>
      <c r="AA38" s="73"/>
      <c r="AB38" s="73"/>
      <c r="AC38" s="44"/>
      <c r="AD38" s="22"/>
    </row>
    <row r="39" spans="1:30" s="23" customFormat="1" x14ac:dyDescent="0.3">
      <c r="A39" s="48"/>
      <c r="B39" s="270" t="s">
        <v>406</v>
      </c>
      <c r="C39" s="41"/>
      <c r="D39" s="49" t="s">
        <v>400</v>
      </c>
      <c r="E39" s="49"/>
      <c r="F39" s="49" t="s">
        <v>401</v>
      </c>
      <c r="G39" s="49"/>
      <c r="H39" s="49" t="s">
        <v>402</v>
      </c>
      <c r="I39" s="49"/>
      <c r="J39" s="49" t="s">
        <v>403</v>
      </c>
      <c r="K39" s="49"/>
      <c r="L39" s="49" t="s">
        <v>398</v>
      </c>
      <c r="M39" s="49"/>
      <c r="N39" s="49" t="s">
        <v>399</v>
      </c>
      <c r="O39" s="49"/>
      <c r="P39" s="49" t="s">
        <v>399</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0.2730983379001089</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44788</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90</v>
      </c>
      <c r="Y47" s="41"/>
      <c r="Z47" s="79">
        <v>44607</v>
      </c>
      <c r="AA47" s="80"/>
      <c r="AB47" s="79">
        <v>44696</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91</v>
      </c>
      <c r="Y48" s="41"/>
      <c r="Z48" s="79">
        <v>44697</v>
      </c>
      <c r="AA48" s="80"/>
      <c r="AB48" s="79">
        <v>44787</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44787</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389</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491844</v>
      </c>
      <c r="S57" s="241"/>
      <c r="T57" s="240">
        <f>375+124</f>
        <v>499</v>
      </c>
      <c r="U57" s="241"/>
      <c r="V57" s="241">
        <v>13510</v>
      </c>
      <c r="W57" s="241"/>
      <c r="X57" s="241">
        <v>0</v>
      </c>
      <c r="Y57" s="241"/>
      <c r="Z57" s="241">
        <v>0</v>
      </c>
      <c r="AA57" s="241"/>
      <c r="AB57" s="240">
        <f>R57-T57-V57+X57-Z57</f>
        <v>477835</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491844</v>
      </c>
      <c r="S60" s="241"/>
      <c r="T60" s="241">
        <f>T57+T58</f>
        <v>499</v>
      </c>
      <c r="U60" s="241"/>
      <c r="V60" s="241">
        <f>SUM(V57:V59)</f>
        <v>13510</v>
      </c>
      <c r="W60" s="241"/>
      <c r="X60" s="241">
        <f>SUM(X57:X59)</f>
        <v>0</v>
      </c>
      <c r="Y60" s="241"/>
      <c r="Z60" s="241">
        <f>SUM(Z57:Z59)</f>
        <v>0</v>
      </c>
      <c r="AA60" s="241"/>
      <c r="AB60" s="241">
        <f>SUM(AB57:AB59)</f>
        <v>477835</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15758</v>
      </c>
      <c r="S63" s="241"/>
      <c r="T63" s="241">
        <v>0</v>
      </c>
      <c r="U63" s="241"/>
      <c r="V63" s="241">
        <v>-163</v>
      </c>
      <c r="W63" s="241"/>
      <c r="X63" s="241"/>
      <c r="Y63" s="241"/>
      <c r="Z63" s="241"/>
      <c r="AA63" s="241"/>
      <c r="AB63" s="241">
        <f>+R63+V63</f>
        <v>15595</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507602</v>
      </c>
      <c r="S66" s="241"/>
      <c r="T66" s="241"/>
      <c r="U66" s="241"/>
      <c r="V66" s="241"/>
      <c r="W66" s="241"/>
      <c r="X66" s="241"/>
      <c r="Y66" s="241"/>
      <c r="Z66" s="241"/>
      <c r="AA66" s="241"/>
      <c r="AB66" s="241">
        <f>SUM(AB60:AB65)</f>
        <v>493430</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44771</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15758</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14009</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1246+4840-304-879</f>
        <v>4903</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25+165</f>
        <v>190</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71</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211</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3507</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29767</v>
      </c>
      <c r="AA85" s="41"/>
      <c r="AB85" s="100">
        <f>SUM(AB70:AB84)</f>
        <v>8882</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29767</v>
      </c>
      <c r="AA88" s="41"/>
      <c r="AB88" s="100">
        <f>AB85+AB86+AB87</f>
        <v>8882</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-249-22-7</f>
        <v>-278</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203</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-1884</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-182</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-189</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-174</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0</v>
      </c>
      <c r="AA101" s="115"/>
      <c r="AB101" s="101">
        <v>0</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-4000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-168</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-98</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-211</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-9-156</f>
        <v>-165</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-1709</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-15595</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-14172</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-29767</v>
      </c>
      <c r="AA131" s="100"/>
      <c r="AB131" s="100">
        <f>SUM(AB89:AB129)</f>
        <v>-8882</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JULY 2022</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+'April 22'!AB147</f>
        <v>6739.5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-211</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6528.5</v>
      </c>
      <c r="AC147" s="44"/>
      <c r="AD147" s="22"/>
      <c r="AE147" s="118"/>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+'April 22'!AB160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307"/>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+'April 22'!AB166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0</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0</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0</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+'April 22'!AB182</f>
        <v>15758</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-15758</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15595</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15595</v>
      </c>
      <c r="AC182" s="44"/>
      <c r="AD182" s="22"/>
    </row>
    <row r="183" spans="1:262" ht="16.2" thickBot="1" x14ac:dyDescent="0.35">
      <c r="A183" s="7"/>
      <c r="B183" s="41" t="s">
        <v>388</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306">
        <f>+AB182/AB57</f>
        <v>3.2636788849707533E-2</v>
      </c>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+'April 22'!AB190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+'April 22'!AB198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+'April 22'!AB206</f>
        <v>2588</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3549</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3507</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2630</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+'April 22'!AB214</f>
        <v>3612</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3549</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4000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4063</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+'April 22'!Y221</f>
        <v>0</v>
      </c>
      <c r="Z219" s="101">
        <f>+'April 22'!Z221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395000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399435</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-4435</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4.6735668789808917</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4.42</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38.027472527472526</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43.35</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35.656084656084658</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38.270000000000003</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37.643678160919542</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38.909999999999997</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37.952380952380949</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36.130000000000003</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JULY 2022</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44771</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4.0021683425531265E-2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2.0504684860579742E-2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1.9516998564951524E-2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(+AB88+AB90+AB93)/R66</f>
        <v>1.7897880623007789E-2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14.673525654973979</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2.7598394017360056E-2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0.12239999999999999</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2</v>
      </c>
      <c r="Z268" s="165">
        <f>+Z320</f>
        <v>424</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0</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'April 22'!Z274+Z273</f>
        <v>13</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1</v>
      </c>
      <c r="Z280" s="165">
        <v>91</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11.75</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2821</v>
      </c>
      <c r="Y287" s="195">
        <f>X287/$X$296</f>
        <v>0.99752475247524752</v>
      </c>
      <c r="Z287" s="110">
        <f t="shared" ref="Z287:Z294" si="2">+Z299+Z311+Z333</f>
        <v>476243</v>
      </c>
      <c r="AA287" s="195">
        <f t="shared" ref="AA287:AA294" si="3">Z287/$Z$296</f>
        <v>0.99666830600521106</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1</v>
      </c>
      <c r="Y288" s="199">
        <f t="shared" ref="Y288:Y294" si="4">X288/$X$296</f>
        <v>3.5360678925035362E-4</v>
      </c>
      <c r="Z288" s="200">
        <f t="shared" si="2"/>
        <v>196</v>
      </c>
      <c r="AA288" s="201">
        <f t="shared" si="3"/>
        <v>4.1018343151924828E-4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2</v>
      </c>
      <c r="Y289" s="203">
        <f t="shared" si="4"/>
        <v>7.0721357850070724E-4</v>
      </c>
      <c r="Z289" s="134">
        <f t="shared" si="2"/>
        <v>588</v>
      </c>
      <c r="AA289" s="201">
        <f t="shared" si="3"/>
        <v>1.2305502945577449E-3</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1</v>
      </c>
      <c r="Y291" s="203">
        <f t="shared" si="4"/>
        <v>3.5360678925035362E-4</v>
      </c>
      <c r="Z291" s="134">
        <f t="shared" si="2"/>
        <v>300</v>
      </c>
      <c r="AA291" s="201">
        <f t="shared" si="3"/>
        <v>6.2783178293762492E-4</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3</v>
      </c>
      <c r="Y293" s="205">
        <f t="shared" si="4"/>
        <v>1.0608203677510608E-3</v>
      </c>
      <c r="Z293" s="206">
        <f t="shared" si="2"/>
        <v>508</v>
      </c>
      <c r="AA293" s="201">
        <f t="shared" si="3"/>
        <v>1.0631284857743782E-3</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2828</v>
      </c>
      <c r="Y296" s="201">
        <f>SUM(Y287:Y295)</f>
        <v>0.99999999999999989</v>
      </c>
      <c r="Z296" s="101">
        <f>SUM(Z287:Z295)</f>
        <v>477835</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2820</v>
      </c>
      <c r="Y299" s="195">
        <f>X299/$X$308</f>
        <v>0.99787685774946921</v>
      </c>
      <c r="Z299" s="110">
        <v>475901</v>
      </c>
      <c r="AA299" s="195">
        <f>Z299/$Z$308</f>
        <v>0.99683710681153137</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1</v>
      </c>
      <c r="Y300" s="201">
        <f t="shared" ref="Y300:Y306" si="5">X300/$X$308</f>
        <v>3.5385704175513094E-4</v>
      </c>
      <c r="Z300" s="101">
        <v>196</v>
      </c>
      <c r="AA300" s="201">
        <f t="shared" ref="AA300:AA306" si="6">Z300/$Z$308</f>
        <v>4.1054772512573022E-4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2</v>
      </c>
      <c r="Y301" s="201">
        <f t="shared" si="5"/>
        <v>7.0771408351026188E-4</v>
      </c>
      <c r="Z301" s="101">
        <v>588</v>
      </c>
      <c r="AA301" s="201">
        <f t="shared" si="6"/>
        <v>1.2316431753771908E-3</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1</v>
      </c>
      <c r="Y303" s="201">
        <f t="shared" si="5"/>
        <v>3.5385704175513094E-4</v>
      </c>
      <c r="Z303" s="101">
        <v>300</v>
      </c>
      <c r="AA303" s="201">
        <f t="shared" si="6"/>
        <v>6.283893751924442E-4</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2</v>
      </c>
      <c r="Y305" s="201">
        <f>X305/$X$308</f>
        <v>7.0771408351026188E-4</v>
      </c>
      <c r="Z305" s="101">
        <v>426</v>
      </c>
      <c r="AA305" s="201">
        <f t="shared" si="6"/>
        <v>8.9231291277327084E-4</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2826</v>
      </c>
      <c r="Y308" s="201">
        <f>SUM(Y299:Y307)</f>
        <v>1</v>
      </c>
      <c r="Z308" s="101">
        <f>SUM(Z299:Z307)</f>
        <v>477411</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1</v>
      </c>
      <c r="Y311" s="195">
        <f>X311/X320</f>
        <v>0.5</v>
      </c>
      <c r="Z311" s="110">
        <v>342</v>
      </c>
      <c r="AA311" s="195">
        <f>Z311/Z320</f>
        <v>0.80660377358490565</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f>X315/$X$320</f>
        <v>0</v>
      </c>
      <c r="Z315" s="101">
        <v>0</v>
      </c>
      <c r="AA315" s="201">
        <f>Z315/$Z$320</f>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1</v>
      </c>
      <c r="Y317" s="201">
        <f>X317/$X$320</f>
        <v>0.5</v>
      </c>
      <c r="Z317" s="101">
        <v>82</v>
      </c>
      <c r="AA317" s="201">
        <f>Z317/$Z$320</f>
        <v>0.19339622641509435</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2</v>
      </c>
      <c r="Y320" s="201">
        <f>SUM(Y311:Y319)</f>
        <v>1</v>
      </c>
      <c r="Z320" s="101">
        <f>SUM(Z311:Z319)</f>
        <v>424</v>
      </c>
      <c r="AA320" s="201">
        <f>SUM(AA311:AA319)</f>
        <v>1</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82">
        <v>0</v>
      </c>
      <c r="Z323" s="283">
        <v>0</v>
      </c>
      <c r="AA323" s="282">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82">
        <f>X324/X330</f>
        <v>0</v>
      </c>
      <c r="Z324" s="283">
        <v>0</v>
      </c>
      <c r="AA324" s="282">
        <f>Z324/Z330</f>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1</v>
      </c>
      <c r="Y325" s="282">
        <f>X325/X330</f>
        <v>0.5</v>
      </c>
      <c r="Z325" s="283">
        <v>82</v>
      </c>
      <c r="AA325" s="282">
        <f>Z325/Z330</f>
        <v>0.19339622641509435</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1</v>
      </c>
      <c r="Y326" s="282">
        <f>X326/X330</f>
        <v>0.5</v>
      </c>
      <c r="Z326" s="283">
        <v>342</v>
      </c>
      <c r="AA326" s="282">
        <f>Z326/Z330</f>
        <v>0.80660377358490565</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82">
        <f>X327/X330</f>
        <v>0</v>
      </c>
      <c r="Z327" s="283">
        <v>0</v>
      </c>
      <c r="AA327" s="282">
        <f>Z327/Z330</f>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305">
        <f>X328/$X$330</f>
        <v>0</v>
      </c>
      <c r="Z328" s="283">
        <v>0</v>
      </c>
      <c r="AA328" s="305">
        <f>Z328/$Z$330</f>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2</v>
      </c>
      <c r="Y330" s="274">
        <f>SUM(Y323:Y328)</f>
        <v>1</v>
      </c>
      <c r="Z330" s="275">
        <f>SUM(Z323:Z328)</f>
        <v>424</v>
      </c>
      <c r="AA330" s="274">
        <f>SUM(AA323:AA329)</f>
        <v>1</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48"/>
      <c r="B344" s="45" t="s">
        <v>139</v>
      </c>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213">
        <f>X342+X320+X308</f>
        <v>2828</v>
      </c>
      <c r="Y344" s="201"/>
      <c r="Z344" s="214">
        <f>+Z342+Z320+Z308</f>
        <v>477835</v>
      </c>
      <c r="AA344" s="201"/>
      <c r="AB344" s="41"/>
      <c r="AC344" s="44"/>
      <c r="AD344" s="22"/>
    </row>
    <row r="345" spans="1:30" s="23" customFormat="1" x14ac:dyDescent="0.3">
      <c r="A345" s="48"/>
      <c r="B345" s="45" t="s">
        <v>253</v>
      </c>
      <c r="C345" s="45"/>
      <c r="D345" s="215"/>
      <c r="E345" s="215"/>
      <c r="F345" s="215"/>
      <c r="G345" s="215"/>
      <c r="H345" s="215"/>
      <c r="I345" s="215"/>
      <c r="J345" s="215"/>
      <c r="K345" s="215"/>
      <c r="L345" s="215"/>
      <c r="M345" s="215"/>
      <c r="N345" s="215"/>
      <c r="O345" s="215"/>
      <c r="P345" s="215"/>
      <c r="Q345" s="215"/>
      <c r="R345" s="215"/>
      <c r="S345" s="215"/>
      <c r="T345" s="215"/>
      <c r="U345" s="215"/>
      <c r="V345" s="215"/>
      <c r="W345" s="215"/>
      <c r="X345" s="213"/>
      <c r="Y345" s="216"/>
      <c r="Z345" s="214">
        <f>+AB63+AB64</f>
        <v>15595</v>
      </c>
      <c r="AA345" s="201"/>
      <c r="AB345" s="41"/>
      <c r="AC345" s="44"/>
      <c r="AD345" s="22"/>
    </row>
    <row r="346" spans="1:30" s="23" customFormat="1" x14ac:dyDescent="0.3">
      <c r="A346" s="48"/>
      <c r="B346" s="45" t="s">
        <v>107</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+Z344+Z345</f>
        <v>493430</v>
      </c>
      <c r="AA346" s="201"/>
      <c r="AB346" s="41"/>
      <c r="AC346" s="44"/>
      <c r="AD346" s="22"/>
    </row>
    <row r="347" spans="1:30" s="23" customFormat="1" x14ac:dyDescent="0.3">
      <c r="A347" s="48"/>
      <c r="B347" s="45" t="s">
        <v>275</v>
      </c>
      <c r="C347" s="41"/>
      <c r="D347" s="207"/>
      <c r="E347" s="207"/>
      <c r="F347" s="207"/>
      <c r="G347" s="207"/>
      <c r="H347" s="207"/>
      <c r="I347" s="207"/>
      <c r="J347" s="207"/>
      <c r="K347" s="207"/>
      <c r="L347" s="207"/>
      <c r="M347" s="207"/>
      <c r="N347" s="207"/>
      <c r="O347" s="207"/>
      <c r="P347" s="207"/>
      <c r="Q347" s="207"/>
      <c r="R347" s="207"/>
      <c r="S347" s="207"/>
      <c r="T347" s="207"/>
      <c r="U347" s="207"/>
      <c r="V347" s="207"/>
      <c r="W347" s="207"/>
      <c r="X347" s="213"/>
      <c r="Y347" s="201"/>
      <c r="Z347" s="214">
        <f>+AB66</f>
        <v>493430</v>
      </c>
      <c r="AA347" s="201"/>
      <c r="AB347" s="41"/>
      <c r="AC347" s="44"/>
      <c r="AD347" s="22"/>
    </row>
    <row r="348" spans="1:30" s="23" customFormat="1" x14ac:dyDescent="0.3">
      <c r="A348" s="48"/>
      <c r="B348" s="45"/>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c r="AA348" s="201"/>
      <c r="AB348" s="41"/>
      <c r="AC348" s="44"/>
      <c r="AD348" s="22"/>
    </row>
    <row r="349" spans="1:30" s="23" customFormat="1" x14ac:dyDescent="0.3">
      <c r="A349" s="48"/>
      <c r="B349" s="45" t="s">
        <v>318</v>
      </c>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39">
        <f>(D30*0.375+F30*0.05+H30*0.05+J30+L30)/AB30</f>
        <v>0.38681525241675618</v>
      </c>
      <c r="AA349" s="201"/>
      <c r="AB349" s="41"/>
      <c r="AC349" s="44"/>
      <c r="AD349" s="22"/>
    </row>
    <row r="350" spans="1:30" s="23" customFormat="1" x14ac:dyDescent="0.3">
      <c r="A350" s="18"/>
      <c r="B350" s="20"/>
      <c r="C350" s="20"/>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8"/>
      <c r="AA350" s="217"/>
      <c r="AB350" s="20"/>
      <c r="AC350" s="21"/>
      <c r="AD350" s="22"/>
    </row>
    <row r="351" spans="1:30" s="23" customFormat="1" x14ac:dyDescent="0.3">
      <c r="A351" s="18"/>
      <c r="B351" s="19" t="s">
        <v>62</v>
      </c>
      <c r="C351" s="20"/>
      <c r="D351" s="219" t="s">
        <v>66</v>
      </c>
      <c r="E351" s="19"/>
      <c r="F351" s="19" t="s">
        <v>67</v>
      </c>
      <c r="G351" s="20"/>
      <c r="H351" s="19"/>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20" t="s">
        <v>122</v>
      </c>
      <c r="E353" s="19"/>
      <c r="F353" s="19" t="s">
        <v>170</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153</v>
      </c>
      <c r="C354" s="19"/>
      <c r="D354" s="220" t="s">
        <v>98</v>
      </c>
      <c r="E354" s="19"/>
      <c r="F354" s="19" t="s">
        <v>171</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c r="C355" s="19"/>
      <c r="D355" s="220"/>
      <c r="E355" s="19"/>
      <c r="F355" s="19"/>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256"/>
      <c r="C356" s="256"/>
      <c r="D356" s="256"/>
      <c r="E356" s="256"/>
      <c r="F356" s="257"/>
      <c r="G356" s="256"/>
      <c r="H356" s="258"/>
      <c r="I356" s="255"/>
      <c r="J356" s="255"/>
      <c r="K356" s="255"/>
      <c r="L356" s="255"/>
      <c r="M356" s="255"/>
      <c r="N356" s="255"/>
      <c r="O356" s="255"/>
      <c r="P356" s="255"/>
      <c r="Q356" s="20"/>
      <c r="R356" s="20"/>
      <c r="S356" s="20"/>
      <c r="T356" s="20"/>
      <c r="U356" s="20"/>
      <c r="V356" s="20"/>
      <c r="W356" s="20"/>
      <c r="X356" s="20"/>
      <c r="Y356" s="20"/>
      <c r="Z356" s="20"/>
      <c r="AA356" s="20"/>
      <c r="AB356" s="20"/>
      <c r="AC356" s="21"/>
      <c r="AD356" s="22"/>
    </row>
    <row r="357" spans="1:30" s="23" customFormat="1" ht="18" x14ac:dyDescent="0.35">
      <c r="A357" s="18"/>
      <c r="B357" s="259" t="s">
        <v>109</v>
      </c>
      <c r="C357" s="256"/>
      <c r="D357" s="256"/>
      <c r="E357" s="256"/>
      <c r="F357" s="257"/>
      <c r="G357" s="256"/>
      <c r="H357" s="258"/>
      <c r="I357" s="255"/>
      <c r="J357" s="255"/>
      <c r="K357" s="255"/>
      <c r="L357" s="255"/>
      <c r="M357" s="255"/>
      <c r="N357" s="255"/>
      <c r="O357" s="255"/>
      <c r="P357" s="260" t="s">
        <v>169</v>
      </c>
      <c r="Q357" s="20"/>
      <c r="R357" s="20"/>
      <c r="S357" s="20"/>
      <c r="T357" s="20"/>
      <c r="U357" s="20"/>
      <c r="V357" s="20"/>
      <c r="W357" s="20"/>
      <c r="X357" s="20"/>
      <c r="Y357" s="20"/>
      <c r="Z357" s="20"/>
      <c r="AA357" s="20"/>
      <c r="AB357" s="20"/>
      <c r="AC357" s="21"/>
      <c r="AD357" s="22"/>
    </row>
    <row r="358" spans="1:30" x14ac:dyDescent="0.3">
      <c r="A358" s="221"/>
      <c r="B358" s="222"/>
      <c r="C358" s="222"/>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4"/>
      <c r="AD358" s="5"/>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ht="18.600000000000001" thickBot="1" x14ac:dyDescent="0.4">
      <c r="A360" s="221"/>
      <c r="B360" s="225" t="str">
        <f>B244</f>
        <v>PM25 INVESTOR REPORT QUARTER ENDING JULY 2022</v>
      </c>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6"/>
      <c r="AD360" s="5"/>
    </row>
    <row r="361" spans="1:30"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row>
    <row r="362" spans="1:30" x14ac:dyDescent="0.3">
      <c r="B362" s="280" t="s">
        <v>334</v>
      </c>
    </row>
    <row r="363" spans="1:30" x14ac:dyDescent="0.3">
      <c r="B363" s="264"/>
    </row>
    <row r="364" spans="1:30" x14ac:dyDescent="0.3">
      <c r="B364" s="301" t="s">
        <v>379</v>
      </c>
    </row>
    <row r="365" spans="1:30" x14ac:dyDescent="0.3">
      <c r="B365" s="302" t="s">
        <v>366</v>
      </c>
    </row>
    <row r="366" spans="1:30" x14ac:dyDescent="0.3">
      <c r="B366" s="299"/>
    </row>
    <row r="367" spans="1:30" x14ac:dyDescent="0.3">
      <c r="B367" s="264" t="s">
        <v>378</v>
      </c>
    </row>
    <row r="368" spans="1:30" x14ac:dyDescent="0.3">
      <c r="B368" s="302" t="s">
        <v>377</v>
      </c>
    </row>
    <row r="369" spans="2:2" x14ac:dyDescent="0.3">
      <c r="B369" s="302"/>
    </row>
    <row r="370" spans="2:2" x14ac:dyDescent="0.3">
      <c r="B370" s="304" t="s">
        <v>387</v>
      </c>
    </row>
    <row r="371" spans="2:2" x14ac:dyDescent="0.3">
      <c r="B371" s="303"/>
    </row>
    <row r="372" spans="2:2" x14ac:dyDescent="0.3">
      <c r="B372" s="280" t="s">
        <v>365</v>
      </c>
    </row>
    <row r="373" spans="2:2" x14ac:dyDescent="0.3">
      <c r="B373" s="264" t="s">
        <v>368</v>
      </c>
    </row>
    <row r="374" spans="2:2" x14ac:dyDescent="0.3">
      <c r="B374" s="302" t="s">
        <v>367</v>
      </c>
    </row>
  </sheetData>
  <hyperlinks>
    <hyperlink ref="X284" r:id="rId1" display="http://www.paragon-group.co.uk" xr:uid="{2F5BB80C-6D67-46C1-B0E4-57A8A18AF4FC}"/>
    <hyperlink ref="K9" r:id="rId2" display="http://www.paragon-group.co.uk" xr:uid="{323C5204-57A3-40EC-A5D2-3779CF18DED6}"/>
    <hyperlink ref="P357" r:id="rId3" xr:uid="{AB221EAC-A64E-4505-97D2-3F4F92AFC5AC}"/>
    <hyperlink ref="B365" r:id="rId4" display="https://www.londonstockexchange.com/news-article/41YH/notice-of-base-rate-modification/15064143" xr:uid="{9BB19C43-DF47-430A-B5A2-2697E6496D4E}"/>
    <hyperlink ref="B374" r:id="rId5" display="https://investorreporting.paragonbankinggroup.co.uk/bondinvestor_viewer/resources/bondinvestor/pdf/investornews/2021/libor-mortgages-transition-july-19" xr:uid="{787EBCA4-925E-4DE4-B233-918783D7A6D8}"/>
    <hyperlink ref="B368" r:id="rId6" xr:uid="{72B6310F-8087-406B-A966-2B850F173C0F}"/>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4" max="18" man="1"/>
  </rowBreaks>
  <colBreaks count="1" manualBreakCount="1">
    <brk id="29" max="299" man="1"/>
  </colBreaks>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7015-4E28-4643-8D20-3B9DFF7B6F9A}">
  <sheetPr>
    <tabColor rgb="FF2D2926"/>
  </sheetPr>
  <dimension ref="A1:JB375"/>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308"/>
      <c r="K18" s="20"/>
      <c r="L18" s="308"/>
      <c r="M18" s="20"/>
      <c r="N18" s="20"/>
      <c r="O18" s="20"/>
      <c r="P18" s="20"/>
      <c r="Q18" s="20"/>
      <c r="R18" s="20"/>
      <c r="S18" s="20"/>
      <c r="T18" s="20"/>
      <c r="U18" s="20"/>
      <c r="V18" s="20"/>
      <c r="W18" s="20"/>
      <c r="X18" s="20"/>
      <c r="Y18" s="20"/>
      <c r="Z18" s="20"/>
      <c r="AA18" s="20"/>
      <c r="AB18" s="229">
        <v>44887</v>
      </c>
      <c r="AC18" s="21"/>
      <c r="AD18" s="22"/>
    </row>
    <row r="19" spans="1:33" s="23" customFormat="1" x14ac:dyDescent="0.3">
      <c r="A19" s="18"/>
      <c r="B19" s="20"/>
      <c r="C19" s="20"/>
      <c r="D19" s="309"/>
      <c r="E19" s="309"/>
      <c r="F19" s="309"/>
      <c r="G19" s="309"/>
      <c r="H19" s="309"/>
      <c r="I19" s="20"/>
      <c r="J19" s="20"/>
      <c r="K19" s="20"/>
      <c r="L19" s="20"/>
      <c r="M19" s="20"/>
      <c r="N19" s="309"/>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407</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+AB139+AB150+AB194+AB211</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387582</v>
      </c>
      <c r="E29" s="55"/>
      <c r="F29" s="55">
        <f t="shared" ref="F29:L29" si="0">F28*F32</f>
        <v>33500</v>
      </c>
      <c r="G29" s="55"/>
      <c r="H29" s="55">
        <f t="shared" si="0"/>
        <v>30000</v>
      </c>
      <c r="I29" s="55"/>
      <c r="J29" s="55">
        <f t="shared" si="0"/>
        <v>24700</v>
      </c>
      <c r="K29" s="55"/>
      <c r="L29" s="55">
        <f t="shared" si="0"/>
        <v>17648</v>
      </c>
      <c r="M29" s="55"/>
      <c r="N29" s="55">
        <f>N28*N32</f>
        <v>7349.3220900000006</v>
      </c>
      <c r="O29" s="55"/>
      <c r="P29" s="55">
        <v>0</v>
      </c>
      <c r="Q29" s="55"/>
      <c r="R29" s="55" t="s">
        <v>83</v>
      </c>
      <c r="S29" s="55"/>
      <c r="T29" s="55" t="s">
        <v>83</v>
      </c>
      <c r="U29" s="55"/>
      <c r="V29" s="55" t="s">
        <v>83</v>
      </c>
      <c r="W29" s="51"/>
      <c r="X29" s="55" t="s">
        <v>83</v>
      </c>
      <c r="Y29" s="51"/>
      <c r="Z29" s="51"/>
      <c r="AA29" s="50"/>
      <c r="AB29" s="51">
        <f>SUM(D29:L29)</f>
        <v>493430</v>
      </c>
      <c r="AC29" s="52"/>
      <c r="AD29" s="22"/>
    </row>
    <row r="30" spans="1:33" s="23" customFormat="1" x14ac:dyDescent="0.3">
      <c r="A30" s="48"/>
      <c r="B30" s="45" t="s">
        <v>92</v>
      </c>
      <c r="C30" s="50"/>
      <c r="D30" s="58">
        <f>D28*D31</f>
        <v>353562</v>
      </c>
      <c r="E30" s="58"/>
      <c r="F30" s="58">
        <f>F28</f>
        <v>33500</v>
      </c>
      <c r="G30" s="58"/>
      <c r="H30" s="58">
        <f>H28</f>
        <v>30000</v>
      </c>
      <c r="I30" s="58"/>
      <c r="J30" s="58">
        <f>J28</f>
        <v>24700</v>
      </c>
      <c r="K30" s="58"/>
      <c r="L30" s="58">
        <f>L28</f>
        <v>17648</v>
      </c>
      <c r="M30" s="58"/>
      <c r="N30" s="58">
        <f>N28*N31</f>
        <v>7136.7605100000001</v>
      </c>
      <c r="O30" s="58"/>
      <c r="P30" s="58">
        <v>0</v>
      </c>
      <c r="Q30" s="58"/>
      <c r="R30" s="58" t="s">
        <v>83</v>
      </c>
      <c r="S30" s="58"/>
      <c r="T30" s="58" t="s">
        <v>83</v>
      </c>
      <c r="U30" s="58"/>
      <c r="V30" s="58" t="s">
        <v>83</v>
      </c>
      <c r="W30" s="57"/>
      <c r="X30" s="58" t="s">
        <v>83</v>
      </c>
      <c r="Y30" s="51"/>
      <c r="Z30" s="51"/>
      <c r="AA30" s="50"/>
      <c r="AB30" s="57">
        <f>SUM(D30:L30)</f>
        <v>459410</v>
      </c>
      <c r="AC30" s="52"/>
      <c r="AD30" s="22"/>
      <c r="AE30" s="238"/>
    </row>
    <row r="31" spans="1:33" s="67" customFormat="1" x14ac:dyDescent="0.3">
      <c r="A31" s="59"/>
      <c r="B31" s="169" t="s">
        <v>88</v>
      </c>
      <c r="C31" s="63"/>
      <c r="D31" s="61">
        <v>0.58926999999999996</v>
      </c>
      <c r="E31" s="61"/>
      <c r="F31" s="61">
        <v>1</v>
      </c>
      <c r="G31" s="61"/>
      <c r="H31" s="61">
        <v>1</v>
      </c>
      <c r="I31" s="61"/>
      <c r="J31" s="61">
        <v>1</v>
      </c>
      <c r="K31" s="61"/>
      <c r="L31" s="61">
        <v>1</v>
      </c>
      <c r="M31" s="61"/>
      <c r="N31" s="61">
        <v>0.65337000000000001</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0.64597000000000004</v>
      </c>
      <c r="E32" s="61"/>
      <c r="F32" s="61">
        <v>1</v>
      </c>
      <c r="G32" s="61"/>
      <c r="H32" s="61">
        <v>1</v>
      </c>
      <c r="I32" s="61"/>
      <c r="J32" s="61">
        <v>1</v>
      </c>
      <c r="K32" s="61"/>
      <c r="L32" s="61">
        <v>1</v>
      </c>
      <c r="M32" s="61"/>
      <c r="N32" s="61">
        <v>0.67283000000000004</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270" t="s">
        <v>404</v>
      </c>
      <c r="C33" s="41"/>
      <c r="D33" s="49" t="s">
        <v>394</v>
      </c>
      <c r="E33" s="49"/>
      <c r="F33" s="49" t="s">
        <v>395</v>
      </c>
      <c r="G33" s="49"/>
      <c r="H33" s="49" t="s">
        <v>396</v>
      </c>
      <c r="I33" s="49"/>
      <c r="J33" s="49" t="s">
        <v>397</v>
      </c>
      <c r="K33" s="49"/>
      <c r="L33" s="49" t="s">
        <v>398</v>
      </c>
      <c r="M33" s="49"/>
      <c r="N33" s="49" t="s">
        <v>399</v>
      </c>
      <c r="O33" s="49"/>
      <c r="P33" s="49" t="s">
        <v>399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2.75836E-2</v>
      </c>
      <c r="E34" s="71"/>
      <c r="F34" s="71">
        <v>3.0583599999999999E-2</v>
      </c>
      <c r="G34" s="71"/>
      <c r="H34" s="71">
        <v>3.4083599999999999E-2</v>
      </c>
      <c r="I34" s="71"/>
      <c r="J34" s="71">
        <v>3.7083600000000001E-2</v>
      </c>
      <c r="K34" s="71"/>
      <c r="L34" s="71">
        <v>4.7083600000000003E-2</v>
      </c>
      <c r="M34" s="71"/>
      <c r="N34" s="71">
        <v>6.1083600000000002E-2</v>
      </c>
      <c r="O34" s="71"/>
      <c r="P34" s="71">
        <v>6.1083600000000002E-2</v>
      </c>
      <c r="Q34" s="71"/>
      <c r="R34" s="71" t="s">
        <v>83</v>
      </c>
      <c r="S34" s="71"/>
      <c r="T34" s="71" t="s">
        <v>83</v>
      </c>
      <c r="U34" s="71"/>
      <c r="V34" s="71" t="s">
        <v>83</v>
      </c>
      <c r="W34" s="70"/>
      <c r="X34" s="71" t="s">
        <v>83</v>
      </c>
      <c r="Y34" s="49"/>
      <c r="Z34" s="49"/>
      <c r="AA34" s="41"/>
      <c r="AB34" s="70">
        <f>SUMPRODUCT(D34:L34,D29:L29)/AB29</f>
        <v>2.9355454163711166E-2</v>
      </c>
      <c r="AC34" s="44"/>
      <c r="AD34" s="22"/>
    </row>
    <row r="35" spans="1:30" s="23" customFormat="1" x14ac:dyDescent="0.3">
      <c r="A35" s="48"/>
      <c r="B35" s="41" t="s">
        <v>10</v>
      </c>
      <c r="C35" s="72"/>
      <c r="D35" s="71">
        <v>1.8782299999999998E-2</v>
      </c>
      <c r="E35" s="71"/>
      <c r="F35" s="71">
        <v>2.1782300000000001E-2</v>
      </c>
      <c r="G35" s="71"/>
      <c r="H35" s="71">
        <v>2.5282300000000001E-2</v>
      </c>
      <c r="I35" s="71"/>
      <c r="J35" s="71">
        <v>2.82823E-2</v>
      </c>
      <c r="K35" s="71"/>
      <c r="L35" s="71">
        <v>3.8282299999999998E-2</v>
      </c>
      <c r="M35" s="71"/>
      <c r="N35" s="71">
        <v>5.2282299999999997E-2</v>
      </c>
      <c r="O35" s="71"/>
      <c r="P35" s="71">
        <v>5.2282299999999997E-2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270" t="s">
        <v>405</v>
      </c>
      <c r="C38" s="41"/>
      <c r="D38" s="49" t="s">
        <v>400</v>
      </c>
      <c r="E38" s="49"/>
      <c r="F38" s="49" t="s">
        <v>401</v>
      </c>
      <c r="G38" s="49"/>
      <c r="H38" s="49" t="s">
        <v>402</v>
      </c>
      <c r="I38" s="49"/>
      <c r="J38" s="49" t="s">
        <v>403</v>
      </c>
      <c r="K38" s="49"/>
      <c r="L38" s="49" t="s">
        <v>398</v>
      </c>
      <c r="M38" s="49"/>
      <c r="N38" s="49" t="s">
        <v>399</v>
      </c>
      <c r="O38" s="49"/>
      <c r="P38" s="49" t="s">
        <v>399</v>
      </c>
      <c r="Q38" s="49"/>
      <c r="R38" s="49" t="s">
        <v>83</v>
      </c>
      <c r="S38" s="49"/>
      <c r="T38" s="49" t="s">
        <v>83</v>
      </c>
      <c r="U38" s="49"/>
      <c r="V38" s="49" t="s">
        <v>83</v>
      </c>
      <c r="W38" s="49"/>
      <c r="X38" s="49" t="s">
        <v>83</v>
      </c>
      <c r="Y38" s="73"/>
      <c r="Z38" s="73"/>
      <c r="AA38" s="73"/>
      <c r="AB38" s="73"/>
      <c r="AC38" s="44"/>
      <c r="AD38" s="22"/>
    </row>
    <row r="39" spans="1:30" s="23" customFormat="1" x14ac:dyDescent="0.3">
      <c r="A39" s="48"/>
      <c r="B39" s="270" t="s">
        <v>406</v>
      </c>
      <c r="C39" s="41"/>
      <c r="D39" s="49" t="s">
        <v>400</v>
      </c>
      <c r="E39" s="49"/>
      <c r="F39" s="49" t="s">
        <v>401</v>
      </c>
      <c r="G39" s="49"/>
      <c r="H39" s="49" t="s">
        <v>402</v>
      </c>
      <c r="I39" s="49"/>
      <c r="J39" s="49" t="s">
        <v>403</v>
      </c>
      <c r="K39" s="49"/>
      <c r="L39" s="49" t="s">
        <v>398</v>
      </c>
      <c r="M39" s="49"/>
      <c r="N39" s="49" t="s">
        <v>399</v>
      </c>
      <c r="O39" s="49"/>
      <c r="P39" s="49" t="s">
        <v>399</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0.29937606416979201</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44880</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91</v>
      </c>
      <c r="Y47" s="41"/>
      <c r="Z47" s="79">
        <v>44697</v>
      </c>
      <c r="AA47" s="80"/>
      <c r="AB47" s="79">
        <v>44787</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44788</v>
      </c>
      <c r="AA48" s="80"/>
      <c r="AB48" s="79">
        <v>44879</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44879</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408</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477835</v>
      </c>
      <c r="S57" s="241"/>
      <c r="T57" s="240">
        <f>361+113</f>
        <v>474</v>
      </c>
      <c r="U57" s="241"/>
      <c r="V57" s="241">
        <v>39832</v>
      </c>
      <c r="W57" s="241"/>
      <c r="X57" s="241">
        <v>0</v>
      </c>
      <c r="Y57" s="241"/>
      <c r="Z57" s="241">
        <v>0</v>
      </c>
      <c r="AA57" s="241"/>
      <c r="AB57" s="240">
        <f>R57-T57-V57+X57-Z57</f>
        <v>437529</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477835</v>
      </c>
      <c r="S60" s="241"/>
      <c r="T60" s="241">
        <f>T57+T58</f>
        <v>474</v>
      </c>
      <c r="U60" s="241"/>
      <c r="V60" s="241">
        <f>SUM(V57:V59)</f>
        <v>39832</v>
      </c>
      <c r="W60" s="241"/>
      <c r="X60" s="241">
        <f>SUM(X57:X59)</f>
        <v>0</v>
      </c>
      <c r="Y60" s="241"/>
      <c r="Z60" s="241">
        <f>SUM(Z57:Z59)</f>
        <v>0</v>
      </c>
      <c r="AA60" s="241"/>
      <c r="AB60" s="241">
        <f>SUM(AB57:AB59)</f>
        <v>437529</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15595</v>
      </c>
      <c r="S63" s="241"/>
      <c r="T63" s="241">
        <v>0</v>
      </c>
      <c r="U63" s="241"/>
      <c r="V63" s="241">
        <f>6281+5</f>
        <v>6286</v>
      </c>
      <c r="W63" s="241"/>
      <c r="X63" s="241"/>
      <c r="Y63" s="241"/>
      <c r="Z63" s="241"/>
      <c r="AA63" s="241"/>
      <c r="AB63" s="241">
        <f>+R63+V63</f>
        <v>21881</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493430</v>
      </c>
      <c r="S66" s="241"/>
      <c r="T66" s="241"/>
      <c r="U66" s="241"/>
      <c r="V66" s="241"/>
      <c r="W66" s="241"/>
      <c r="X66" s="241"/>
      <c r="Y66" s="241"/>
      <c r="Z66" s="241"/>
      <c r="AA66" s="241"/>
      <c r="AB66" s="241">
        <f>SUM(AB60:AB65)</f>
        <v>459410</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+Z246</f>
        <v>44865</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15595</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+T57+V57+Z57-18</f>
        <v>40288</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1138+5105-180-991</f>
        <v>5072</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19+392</f>
        <v>411</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157</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213</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412</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111</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3779</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55883</v>
      </c>
      <c r="AA85" s="41"/>
      <c r="AB85" s="100">
        <f>SUM(AB70:AB84)</f>
        <v>9743</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55883</v>
      </c>
      <c r="AA88" s="41"/>
      <c r="AB88" s="100">
        <f>AB85+AB86+AB87</f>
        <v>9743</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-242-20-7</f>
        <v>-269</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711</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-2694</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-258</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1"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-258</v>
      </c>
      <c r="AC97" s="117"/>
      <c r="AD97" s="5"/>
    </row>
    <row r="98" spans="1:31"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-231</v>
      </c>
      <c r="AC98" s="117"/>
      <c r="AD98" s="5"/>
    </row>
    <row r="99" spans="1:31"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1"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1"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18</v>
      </c>
      <c r="AA101" s="115"/>
      <c r="AB101" s="101">
        <v>-18</v>
      </c>
      <c r="AC101" s="117"/>
      <c r="AD101" s="5"/>
    </row>
    <row r="102" spans="1:31"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1"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-4500</v>
      </c>
      <c r="AC103" s="117"/>
      <c r="AD103" s="5"/>
    </row>
    <row r="104" spans="1:31"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c r="AE104" s="300"/>
    </row>
    <row r="105" spans="1:31"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c r="AE105" s="300"/>
    </row>
    <row r="106" spans="1:31"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1"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-209</v>
      </c>
      <c r="AC107" s="117"/>
      <c r="AD107" s="5"/>
    </row>
    <row r="108" spans="1:31"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-113</v>
      </c>
      <c r="AC108" s="117"/>
      <c r="AD108" s="5"/>
    </row>
    <row r="109" spans="1:31"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-213</v>
      </c>
      <c r="AC109" s="117"/>
      <c r="AD109" s="5"/>
    </row>
    <row r="110" spans="1:31"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1"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1"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-8-156</f>
        <v>-164</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-1500</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-21876</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-34020</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-55896</v>
      </c>
      <c r="AA131" s="100"/>
      <c r="AB131" s="100">
        <f>SUM(AB89:AB129)</f>
        <v>-9743</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5</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OCTOBER 2022</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+'July 22  '!AB147</f>
        <v>6528.5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-213</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6315.5</v>
      </c>
      <c r="AC147" s="44"/>
      <c r="AD147" s="22"/>
      <c r="AE147" s="118"/>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+'July 22  '!AB160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307"/>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+'July 22  '!AB166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18</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18</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-18</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+'July 22  '!AB182</f>
        <v>15595</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-15595</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-Z131-14490</f>
        <v>41406</v>
      </c>
      <c r="AC180" s="44"/>
      <c r="AD180" s="22"/>
      <c r="AE180" s="118"/>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240">
        <v>19530</v>
      </c>
      <c r="AC181" s="310"/>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21876</v>
      </c>
      <c r="AC182" s="44"/>
      <c r="AD182" s="22"/>
      <c r="AE182" s="118"/>
    </row>
    <row r="183" spans="1:262" ht="16.2" thickBot="1" x14ac:dyDescent="0.35">
      <c r="A183" s="7"/>
      <c r="B183" s="41" t="s">
        <v>388</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306">
        <f>+AB182/AB57</f>
        <v>4.9998971496746501E-2</v>
      </c>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+'July 22  '!AB190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60" t="s">
        <v>409</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240">
        <f>AB205</f>
        <v>111</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413</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111</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+'July 22  '!AB198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+'July 22  '!AB206</f>
        <v>2630</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240">
        <f>AB213</f>
        <v>4040</v>
      </c>
      <c r="AC204" s="310"/>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410</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240">
        <v>111</v>
      </c>
      <c r="AC205" s="310"/>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257</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AB84</f>
        <v>3779</v>
      </c>
      <c r="AC206" s="44"/>
      <c r="AD206" s="22"/>
      <c r="AE206" s="118"/>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0" customFormat="1" x14ac:dyDescent="0.3">
      <c r="A207" s="48"/>
      <c r="B207" s="41" t="s">
        <v>371</v>
      </c>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240">
        <f>AB203+AB204-AB206-AB205</f>
        <v>2780</v>
      </c>
      <c r="AC207" s="44"/>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42" customFormat="1" ht="16.2" thickBot="1" x14ac:dyDescent="0.35">
      <c r="A208" s="141"/>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29"/>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7"/>
      <c r="AC209" s="4"/>
      <c r="AD209" s="5"/>
    </row>
    <row r="210" spans="1:262" s="139" customFormat="1" x14ac:dyDescent="0.3">
      <c r="A210" s="7"/>
      <c r="B210" s="128" t="s">
        <v>374</v>
      </c>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38"/>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40" customFormat="1" x14ac:dyDescent="0.3">
      <c r="A211" s="48"/>
      <c r="B211" s="41" t="s">
        <v>229</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v>300</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41" t="s">
        <v>230</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f>+'July 22  '!AB214</f>
        <v>4063</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296</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v>4040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60" t="s">
        <v>258</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-AB103</f>
        <v>4500</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0" customFormat="1" x14ac:dyDescent="0.3">
      <c r="A215" s="48"/>
      <c r="B215" s="41" t="s">
        <v>231</v>
      </c>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101">
        <f>AB212-AB213+AB214</f>
        <v>4523</v>
      </c>
      <c r="AC215" s="44"/>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42" customFormat="1" ht="16.2" thickBot="1" x14ac:dyDescent="0.35">
      <c r="A216" s="14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29"/>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7"/>
      <c r="AC217" s="4"/>
      <c r="AD217" s="5"/>
    </row>
    <row r="218" spans="1:262" s="139" customFormat="1" x14ac:dyDescent="0.3">
      <c r="A218" s="7"/>
      <c r="B218" s="128" t="s">
        <v>266</v>
      </c>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236" t="s">
        <v>272</v>
      </c>
      <c r="Z218" s="236" t="s">
        <v>273</v>
      </c>
      <c r="AA218" s="12"/>
      <c r="AB218" s="237"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40" customFormat="1" x14ac:dyDescent="0.3">
      <c r="A219" s="48"/>
      <c r="B219" s="41" t="s">
        <v>267</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+AB28*0.16</f>
        <v>112935.68000000001</v>
      </c>
      <c r="Z219" s="73"/>
      <c r="AA219" s="41"/>
      <c r="AB219" s="101"/>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268</v>
      </c>
      <c r="C220" s="41"/>
      <c r="D220" s="41"/>
      <c r="E220" s="41"/>
      <c r="F220" s="41"/>
      <c r="G220" s="41"/>
      <c r="H220" s="41"/>
      <c r="I220" s="41"/>
      <c r="J220" s="41"/>
      <c r="K220" s="41"/>
      <c r="L220" s="41"/>
      <c r="M220" s="41"/>
      <c r="N220" s="41"/>
      <c r="O220" s="41"/>
      <c r="P220" s="41"/>
      <c r="Q220" s="41"/>
      <c r="R220" s="41"/>
      <c r="S220" s="41"/>
      <c r="T220" s="41"/>
      <c r="U220" s="41"/>
      <c r="V220" s="41"/>
      <c r="W220" s="41"/>
      <c r="X220" s="41"/>
      <c r="Y220" s="101">
        <f>+'July 22  '!Y221</f>
        <v>0</v>
      </c>
      <c r="Z220" s="101">
        <f>+'July 22  '!Z221</f>
        <v>117</v>
      </c>
      <c r="AA220" s="41"/>
      <c r="AB220" s="101">
        <f>Y220+Z220</f>
        <v>117</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269</v>
      </c>
      <c r="C221" s="41"/>
      <c r="D221" s="41"/>
      <c r="E221" s="41"/>
      <c r="F221" s="41"/>
      <c r="G221" s="41"/>
      <c r="H221" s="41"/>
      <c r="I221" s="41"/>
      <c r="J221" s="41"/>
      <c r="K221" s="41"/>
      <c r="L221" s="41"/>
      <c r="M221" s="41"/>
      <c r="N221" s="41"/>
      <c r="O221" s="41"/>
      <c r="P221" s="41"/>
      <c r="Q221" s="41"/>
      <c r="R221" s="41"/>
      <c r="S221" s="41"/>
      <c r="T221" s="41"/>
      <c r="U221" s="41"/>
      <c r="V221" s="41"/>
      <c r="W221" s="41"/>
      <c r="X221" s="41"/>
      <c r="Y221" s="100">
        <v>0</v>
      </c>
      <c r="Z221" s="100">
        <v>0</v>
      </c>
      <c r="AA221" s="41"/>
      <c r="AB221" s="101">
        <f>Y221+Z221</f>
        <v>0</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270</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Y220+Y221</f>
        <v>0</v>
      </c>
      <c r="Z222" s="101">
        <f>Z221+Z220</f>
        <v>117</v>
      </c>
      <c r="AA222" s="41"/>
      <c r="AB222" s="101">
        <f>Y222+Z222</f>
        <v>117</v>
      </c>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0" customFormat="1" x14ac:dyDescent="0.3">
      <c r="A223" s="48"/>
      <c r="B223" s="41" t="s">
        <v>271</v>
      </c>
      <c r="C223" s="41"/>
      <c r="D223" s="41"/>
      <c r="E223" s="41"/>
      <c r="F223" s="41"/>
      <c r="G223" s="41"/>
      <c r="H223" s="41"/>
      <c r="I223" s="41"/>
      <c r="J223" s="41"/>
      <c r="K223" s="41"/>
      <c r="L223" s="41"/>
      <c r="M223" s="41"/>
      <c r="N223" s="41"/>
      <c r="O223" s="41"/>
      <c r="P223" s="41"/>
      <c r="Q223" s="41"/>
      <c r="R223" s="41"/>
      <c r="S223" s="41"/>
      <c r="T223" s="41"/>
      <c r="U223" s="41"/>
      <c r="V223" s="41"/>
      <c r="W223" s="41"/>
      <c r="X223" s="41"/>
      <c r="Y223" s="101">
        <f>Y219-Y222-Z222</f>
        <v>112818.68000000001</v>
      </c>
      <c r="Z223" s="73"/>
      <c r="AA223" s="41"/>
      <c r="AB223" s="101"/>
      <c r="AC223" s="44"/>
      <c r="AD223" s="22"/>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row>
    <row r="224" spans="1:262" s="142" customFormat="1" ht="16.2" thickBot="1" x14ac:dyDescent="0.35">
      <c r="A224" s="141"/>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29"/>
      <c r="AC224" s="10"/>
      <c r="AD224" s="5"/>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row>
    <row r="225" spans="1:262" x14ac:dyDescent="0.3">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137"/>
      <c r="AC225" s="4"/>
      <c r="AD225" s="5"/>
    </row>
    <row r="226" spans="1:262" s="139" customFormat="1" x14ac:dyDescent="0.3">
      <c r="A226" s="7"/>
      <c r="B226" s="128" t="s">
        <v>309</v>
      </c>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236"/>
      <c r="Z226" s="236"/>
      <c r="AA226" s="12"/>
      <c r="AB226" s="237" t="s">
        <v>80</v>
      </c>
      <c r="AC226" s="10"/>
      <c r="AD226" s="5"/>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row>
    <row r="227" spans="1:262" s="140" customFormat="1" x14ac:dyDescent="0.3">
      <c r="A227" s="48"/>
      <c r="B227" s="41" t="s">
        <v>306</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73"/>
      <c r="AA227" s="41"/>
      <c r="AB227" s="101">
        <v>358400</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307</v>
      </c>
      <c r="C228" s="41"/>
      <c r="D228" s="41"/>
      <c r="E228" s="41"/>
      <c r="F228" s="41"/>
      <c r="G228" s="41"/>
      <c r="H228" s="41"/>
      <c r="I228" s="41"/>
      <c r="J228" s="41"/>
      <c r="K228" s="41"/>
      <c r="L228" s="41"/>
      <c r="M228" s="41"/>
      <c r="N228" s="41"/>
      <c r="O228" s="41"/>
      <c r="P228" s="41"/>
      <c r="Q228" s="41"/>
      <c r="R228" s="41"/>
      <c r="S228" s="41"/>
      <c r="T228" s="41"/>
      <c r="U228" s="41"/>
      <c r="V228" s="41"/>
      <c r="W228" s="41"/>
      <c r="X228" s="41"/>
      <c r="Y228" s="101"/>
      <c r="Z228" s="101"/>
      <c r="AA228" s="41"/>
      <c r="AB228" s="101">
        <v>362168</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0" customFormat="1" x14ac:dyDescent="0.3">
      <c r="A229" s="48"/>
      <c r="B229" s="41" t="s">
        <v>308</v>
      </c>
      <c r="C229" s="41"/>
      <c r="D229" s="41"/>
      <c r="E229" s="41"/>
      <c r="F229" s="41"/>
      <c r="G229" s="41"/>
      <c r="H229" s="41"/>
      <c r="I229" s="41"/>
      <c r="J229" s="41"/>
      <c r="K229" s="41"/>
      <c r="L229" s="41"/>
      <c r="M229" s="41"/>
      <c r="N229" s="41"/>
      <c r="O229" s="41"/>
      <c r="P229" s="41"/>
      <c r="Q229" s="41"/>
      <c r="R229" s="41"/>
      <c r="S229" s="41"/>
      <c r="T229" s="41"/>
      <c r="U229" s="41"/>
      <c r="V229" s="41"/>
      <c r="W229" s="41"/>
      <c r="X229" s="41"/>
      <c r="Y229" s="100"/>
      <c r="Z229" s="100"/>
      <c r="AA229" s="41"/>
      <c r="AB229" s="101">
        <f>AB227-AB228</f>
        <v>-3768</v>
      </c>
      <c r="AC229" s="44"/>
      <c r="AD229" s="22"/>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row>
    <row r="230" spans="1:262" s="142" customFormat="1" ht="16.2" thickBot="1" x14ac:dyDescent="0.35">
      <c r="A230" s="141"/>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29"/>
      <c r="AC230" s="10"/>
      <c r="AD230" s="5"/>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row>
    <row r="231" spans="1:262" x14ac:dyDescent="0.3">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137"/>
      <c r="AC231" s="4"/>
      <c r="AD231" s="5"/>
    </row>
    <row r="232" spans="1:262" x14ac:dyDescent="0.3">
      <c r="A232" s="7"/>
      <c r="B232" s="128" t="s">
        <v>39</v>
      </c>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143"/>
      <c r="AC232" s="10"/>
      <c r="AD232" s="5"/>
      <c r="AE232" s="23"/>
    </row>
    <row r="233" spans="1:262" s="23" customFormat="1" x14ac:dyDescent="0.3">
      <c r="A233" s="48"/>
      <c r="B233" s="41" t="s">
        <v>40</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f>(AB88+AB90+AB91+AB92+AB93)/-(AB94)</f>
        <v>3.7798812175204159</v>
      </c>
      <c r="AC233" s="44" t="s">
        <v>81</v>
      </c>
      <c r="AD233" s="22"/>
    </row>
    <row r="234" spans="1:262" s="23" customFormat="1" x14ac:dyDescent="0.3">
      <c r="A234" s="48"/>
      <c r="B234" s="41" t="s">
        <v>41</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v>4.37</v>
      </c>
      <c r="AC234" s="44" t="s">
        <v>81</v>
      </c>
      <c r="AD234" s="22"/>
    </row>
    <row r="235" spans="1:262" s="23" customFormat="1" x14ac:dyDescent="0.3">
      <c r="A235" s="48"/>
      <c r="B235" s="41" t="s">
        <v>144</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f>(AB88+AB90+AB91+AB92+AB93+AB94)/-(AB95)</f>
        <v>29.027131782945737</v>
      </c>
      <c r="AC235" s="44" t="s">
        <v>81</v>
      </c>
      <c r="AD235" s="22"/>
    </row>
    <row r="236" spans="1:262" s="23" customFormat="1" x14ac:dyDescent="0.3">
      <c r="A236" s="48"/>
      <c r="B236" s="41" t="s">
        <v>145</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v>41.82</v>
      </c>
      <c r="AC236" s="44" t="s">
        <v>81</v>
      </c>
      <c r="AD236" s="22"/>
    </row>
    <row r="237" spans="1:262" s="23" customFormat="1" x14ac:dyDescent="0.3">
      <c r="A237" s="48"/>
      <c r="B237" s="41" t="s">
        <v>146</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f>(AB88+AB90+AB91+AB92+AB93+AB94+AB95)/-(AB97)</f>
        <v>28.027131782945737</v>
      </c>
      <c r="AC237" s="44" t="s">
        <v>81</v>
      </c>
      <c r="AD237" s="22"/>
    </row>
    <row r="238" spans="1:262" s="23" customFormat="1" x14ac:dyDescent="0.3">
      <c r="A238" s="48"/>
      <c r="B238" s="41" t="s">
        <v>147</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v>37.270000000000003</v>
      </c>
      <c r="AC238" s="44" t="s">
        <v>81</v>
      </c>
      <c r="AD238" s="22"/>
    </row>
    <row r="239" spans="1:262" s="23" customFormat="1" x14ac:dyDescent="0.3">
      <c r="A239" s="48"/>
      <c r="B239" s="41" t="s">
        <v>184</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f>(AB88+AB90+AB91+AB92+AB93+AB94+AB95+AB97)/-(AB98)</f>
        <v>30.186147186147185</v>
      </c>
      <c r="AC239" s="44" t="s">
        <v>81</v>
      </c>
      <c r="AD239" s="22"/>
    </row>
    <row r="240" spans="1:262" s="23" customFormat="1" x14ac:dyDescent="0.3">
      <c r="A240" s="48"/>
      <c r="B240" s="41" t="s">
        <v>185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v>38.11</v>
      </c>
      <c r="AC240" s="44" t="s">
        <v>81</v>
      </c>
      <c r="AD240" s="22"/>
    </row>
    <row r="241" spans="1:30" s="23" customFormat="1" x14ac:dyDescent="0.3">
      <c r="A241" s="48"/>
      <c r="B241" s="41" t="s">
        <v>165</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f>(AB88+AB90+AB91+AB92+AB93+AB94+AB95+AB97+AB98)/-(AB107)</f>
        <v>32.258373205741627</v>
      </c>
      <c r="AC241" s="44" t="s">
        <v>81</v>
      </c>
      <c r="AD241" s="22"/>
    </row>
    <row r="242" spans="1:30" s="23" customFormat="1" x14ac:dyDescent="0.3">
      <c r="A242" s="48"/>
      <c r="B242" s="41" t="s">
        <v>166</v>
      </c>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145">
        <v>35.82</v>
      </c>
      <c r="AC242" s="44" t="s">
        <v>81</v>
      </c>
      <c r="AD242" s="22"/>
    </row>
    <row r="243" spans="1:30" s="23" customFormat="1" x14ac:dyDescent="0.3">
      <c r="A243" s="1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21"/>
      <c r="AD243" s="22"/>
    </row>
    <row r="244" spans="1:30" s="23" customFormat="1" x14ac:dyDescent="0.3">
      <c r="A244" s="18"/>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1"/>
      <c r="AD244" s="22"/>
    </row>
    <row r="245" spans="1:30" s="23" customFormat="1" ht="18.600000000000001" thickBot="1" x14ac:dyDescent="0.4">
      <c r="A245" s="86"/>
      <c r="B245" s="87" t="str">
        <f>B135</f>
        <v>PM25 INVESTOR REPORT QUARTER ENDING OCTOBER 2022</v>
      </c>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90"/>
      <c r="AD245" s="22"/>
    </row>
    <row r="246" spans="1:30" x14ac:dyDescent="0.3">
      <c r="A246" s="122"/>
      <c r="B246" s="123" t="s">
        <v>42</v>
      </c>
      <c r="C246" s="146"/>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v>44865</v>
      </c>
      <c r="AA246" s="124"/>
      <c r="AB246" s="124"/>
      <c r="AC246" s="126"/>
      <c r="AD246" s="5"/>
    </row>
    <row r="247" spans="1:30" x14ac:dyDescent="0.3">
      <c r="A247" s="148"/>
      <c r="B247" s="149"/>
      <c r="C247" s="150"/>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9"/>
      <c r="AB247" s="9"/>
      <c r="AC247" s="10"/>
      <c r="AD247" s="5"/>
    </row>
    <row r="248" spans="1:30" s="23" customFormat="1" x14ac:dyDescent="0.3">
      <c r="A248" s="48"/>
      <c r="B248" s="41" t="s">
        <v>43</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3.8269999999999998E-2</v>
      </c>
      <c r="AA248" s="41"/>
      <c r="AB248" s="41"/>
      <c r="AC248" s="44"/>
      <c r="AD248" s="22"/>
    </row>
    <row r="249" spans="1:30" s="23" customFormat="1" x14ac:dyDescent="0.3">
      <c r="A249" s="48"/>
      <c r="B249" s="41" t="s">
        <v>132</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v>1.5543032113429521E-2</v>
      </c>
      <c r="AA249" s="41"/>
      <c r="AB249" s="41"/>
      <c r="AC249" s="44"/>
      <c r="AD249" s="22"/>
    </row>
    <row r="250" spans="1:30" s="23" customFormat="1" x14ac:dyDescent="0.3">
      <c r="A250" s="48"/>
      <c r="B250" s="41" t="s">
        <v>44</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f>Z248-Z249</f>
        <v>2.2726967886570477E-2</v>
      </c>
      <c r="AA250" s="41"/>
      <c r="AB250" s="41"/>
      <c r="AC250" s="44"/>
      <c r="AD250" s="22"/>
    </row>
    <row r="251" spans="1:30" s="23" customFormat="1" x14ac:dyDescent="0.3">
      <c r="A251" s="48"/>
      <c r="B251" s="41" t="s">
        <v>45</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v>4.2781194515125777E-2</v>
      </c>
      <c r="AA251" s="41"/>
      <c r="AB251" s="41"/>
      <c r="AC251" s="44"/>
      <c r="AD251" s="22"/>
    </row>
    <row r="252" spans="1:30" s="23" customFormat="1" x14ac:dyDescent="0.3">
      <c r="A252" s="48"/>
      <c r="B252" s="41" t="s">
        <v>133</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+AB34</f>
        <v>2.9355454163711166E-2</v>
      </c>
      <c r="AA252" s="41"/>
      <c r="AB252" s="41"/>
      <c r="AC252" s="44"/>
      <c r="AD252" s="22"/>
    </row>
    <row r="253" spans="1:30" s="23" customFormat="1" x14ac:dyDescent="0.3">
      <c r="A253" s="48"/>
      <c r="B253" s="41" t="s">
        <v>46</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Z251-Z252</f>
        <v>1.3425740351414611E-2</v>
      </c>
      <c r="AA253" s="41"/>
      <c r="AB253" s="41"/>
      <c r="AC253" s="44"/>
      <c r="AD253" s="22"/>
    </row>
    <row r="254" spans="1:30" s="23" customFormat="1" x14ac:dyDescent="0.3">
      <c r="A254" s="48"/>
      <c r="B254" s="41" t="s">
        <v>119</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70">
        <f>(+AB88+AB90+AB93)/R66</f>
        <v>2.1186389153476683E-2</v>
      </c>
      <c r="AA254" s="41"/>
      <c r="AB254" s="41"/>
      <c r="AC254" s="44"/>
      <c r="AD254" s="22"/>
    </row>
    <row r="255" spans="1:30" s="23" customFormat="1" x14ac:dyDescent="0.3">
      <c r="A255" s="48"/>
      <c r="B255" s="41" t="s">
        <v>112</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148</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149</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186</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167</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208</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209</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153">
        <v>54923</v>
      </c>
      <c r="AA261" s="41"/>
      <c r="AB261" s="41"/>
      <c r="AC261" s="44"/>
      <c r="AD261" s="22"/>
    </row>
    <row r="262" spans="1:30" s="23" customFormat="1" x14ac:dyDescent="0.3">
      <c r="A262" s="48"/>
      <c r="B262" s="41" t="s">
        <v>47</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18.690000000000001</v>
      </c>
      <c r="AA262" s="41" t="s">
        <v>76</v>
      </c>
      <c r="AB262" s="41"/>
      <c r="AC262" s="44"/>
      <c r="AD262" s="22"/>
    </row>
    <row r="263" spans="1:30" s="23" customFormat="1" x14ac:dyDescent="0.3">
      <c r="A263" s="48"/>
      <c r="B263" s="41" t="s">
        <v>48</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4">
        <v>14.311057641152326</v>
      </c>
      <c r="AA263" s="41" t="s">
        <v>76</v>
      </c>
      <c r="AB263" s="41"/>
      <c r="AC263" s="44"/>
      <c r="AD263" s="22"/>
    </row>
    <row r="264" spans="1:30" s="23" customFormat="1" x14ac:dyDescent="0.3">
      <c r="A264" s="48"/>
      <c r="B264" s="41" t="s">
        <v>49</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f>(+T57+V57+Z57)/(R57+R63)</f>
        <v>8.1685345439069371E-2</v>
      </c>
      <c r="AA264" s="41"/>
      <c r="AB264" s="41"/>
      <c r="AC264" s="44"/>
      <c r="AD264" s="22"/>
    </row>
    <row r="265" spans="1:30" s="23" customFormat="1" x14ac:dyDescent="0.3">
      <c r="A265" s="48"/>
      <c r="B265" s="41" t="s">
        <v>50</v>
      </c>
      <c r="C265" s="152"/>
      <c r="D265" s="76"/>
      <c r="E265" s="76"/>
      <c r="F265" s="76"/>
      <c r="G265" s="76"/>
      <c r="H265" s="76"/>
      <c r="I265" s="76"/>
      <c r="J265" s="76"/>
      <c r="K265" s="76"/>
      <c r="L265" s="76"/>
      <c r="M265" s="76"/>
      <c r="N265" s="76"/>
      <c r="O265" s="76"/>
      <c r="P265" s="76"/>
      <c r="Q265" s="76"/>
      <c r="R265" s="76"/>
      <c r="S265" s="76"/>
      <c r="T265" s="76"/>
      <c r="U265" s="76"/>
      <c r="V265" s="76"/>
      <c r="W265" s="76"/>
      <c r="X265" s="76"/>
      <c r="Y265" s="76"/>
      <c r="Z265" s="70">
        <v>0.13300000000000001</v>
      </c>
      <c r="AA265" s="41"/>
      <c r="AB265" s="41"/>
      <c r="AC265" s="44"/>
      <c r="AD265" s="22"/>
    </row>
    <row r="266" spans="1:30" x14ac:dyDescent="0.3">
      <c r="A266" s="148"/>
      <c r="B266" s="154"/>
      <c r="C266" s="154"/>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29"/>
      <c r="AA266" s="102"/>
      <c r="AB266" s="155"/>
      <c r="AC266" s="10"/>
      <c r="AD266" s="5"/>
    </row>
    <row r="267" spans="1:30" x14ac:dyDescent="0.3">
      <c r="A267" s="156"/>
      <c r="B267" s="105" t="s">
        <v>51</v>
      </c>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t="s">
        <v>69</v>
      </c>
      <c r="Z267" s="157" t="s">
        <v>74</v>
      </c>
      <c r="AA267" s="34"/>
      <c r="AB267" s="34"/>
      <c r="AC267" s="37"/>
      <c r="AD267" s="5"/>
    </row>
    <row r="268" spans="1:30" s="23" customFormat="1" x14ac:dyDescent="0.3">
      <c r="A268" s="158"/>
      <c r="B268" s="38" t="s">
        <v>52</v>
      </c>
      <c r="C268" s="10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v>0</v>
      </c>
      <c r="Z268" s="160">
        <v>0</v>
      </c>
      <c r="AA268" s="38"/>
      <c r="AB268" s="161"/>
      <c r="AC268" s="162"/>
      <c r="AD268" s="22"/>
    </row>
    <row r="269" spans="1:30" s="23" customFormat="1" x14ac:dyDescent="0.3">
      <c r="A269" s="163"/>
      <c r="B269" s="41" t="s">
        <v>97</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+X321</f>
        <v>2</v>
      </c>
      <c r="Z269" s="165">
        <f>+Z321</f>
        <v>345</v>
      </c>
      <c r="AA269" s="41"/>
      <c r="AB269" s="166"/>
      <c r="AC269" s="167"/>
      <c r="AD269" s="22"/>
    </row>
    <row r="270" spans="1:30" s="23" customFormat="1" x14ac:dyDescent="0.3">
      <c r="A270" s="163"/>
      <c r="B270" s="41" t="s">
        <v>53</v>
      </c>
      <c r="C270" s="100"/>
      <c r="D270" s="49"/>
      <c r="E270" s="49"/>
      <c r="F270" s="49"/>
      <c r="G270" s="49"/>
      <c r="H270" s="49"/>
      <c r="I270" s="49"/>
      <c r="J270" s="49"/>
      <c r="K270" s="49"/>
      <c r="L270" s="49"/>
      <c r="M270" s="49"/>
      <c r="N270" s="49"/>
      <c r="O270" s="49"/>
      <c r="P270" s="49"/>
      <c r="Q270" s="49"/>
      <c r="R270" s="49"/>
      <c r="S270" s="49"/>
      <c r="T270" s="49"/>
      <c r="U270" s="49"/>
      <c r="V270" s="49"/>
      <c r="W270" s="49"/>
      <c r="X270" s="49"/>
      <c r="Y270" s="164">
        <f>+X343</f>
        <v>0</v>
      </c>
      <c r="Z270" s="165">
        <f>+Z343</f>
        <v>0</v>
      </c>
      <c r="AA270" s="41"/>
      <c r="AB270" s="166"/>
      <c r="AC270" s="167"/>
      <c r="AD270" s="22"/>
    </row>
    <row r="271" spans="1:30" x14ac:dyDescent="0.3">
      <c r="A271" s="168"/>
      <c r="B271" s="169" t="s">
        <v>168</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Z57</f>
        <v>0</v>
      </c>
      <c r="AA271" s="60"/>
      <c r="AB271" s="171"/>
      <c r="AC271" s="172"/>
      <c r="AD271" s="5"/>
    </row>
    <row r="272" spans="1:30" x14ac:dyDescent="0.3">
      <c r="A272" s="168"/>
      <c r="B272" s="169" t="s">
        <v>302</v>
      </c>
      <c r="C272" s="170"/>
      <c r="D272" s="60"/>
      <c r="E272" s="60"/>
      <c r="F272" s="60"/>
      <c r="G272" s="60"/>
      <c r="H272" s="60"/>
      <c r="I272" s="60"/>
      <c r="J272" s="60"/>
      <c r="K272" s="60"/>
      <c r="L272" s="60"/>
      <c r="M272" s="60"/>
      <c r="N272" s="60"/>
      <c r="O272" s="60"/>
      <c r="P272" s="60"/>
      <c r="Q272" s="60"/>
      <c r="R272" s="60"/>
      <c r="S272" s="60"/>
      <c r="T272" s="60"/>
      <c r="U272" s="60"/>
      <c r="V272" s="60"/>
      <c r="W272" s="60"/>
      <c r="X272" s="60"/>
      <c r="Y272" s="115"/>
      <c r="Z272" s="165">
        <f>-Z123</f>
        <v>0</v>
      </c>
      <c r="AA272" s="60"/>
      <c r="AB272" s="171"/>
      <c r="AC272" s="172"/>
      <c r="AD272" s="5"/>
    </row>
    <row r="273" spans="1:30" x14ac:dyDescent="0.3">
      <c r="A273" s="173"/>
      <c r="B273" s="169" t="s">
        <v>54</v>
      </c>
      <c r="C273" s="174"/>
      <c r="D273" s="60"/>
      <c r="E273" s="60"/>
      <c r="F273" s="60"/>
      <c r="G273" s="60"/>
      <c r="H273" s="60"/>
      <c r="I273" s="60"/>
      <c r="J273" s="60"/>
      <c r="K273" s="60"/>
      <c r="L273" s="60"/>
      <c r="M273" s="60"/>
      <c r="N273" s="60"/>
      <c r="O273" s="60"/>
      <c r="P273" s="60"/>
      <c r="Q273" s="60"/>
      <c r="R273" s="60"/>
      <c r="S273" s="60"/>
      <c r="T273" s="60"/>
      <c r="U273" s="60"/>
      <c r="V273" s="60"/>
      <c r="W273" s="60"/>
      <c r="X273" s="60"/>
      <c r="Y273" s="115"/>
      <c r="Z273" s="175"/>
      <c r="AA273" s="60"/>
      <c r="AB273" s="171"/>
      <c r="AC273" s="176"/>
      <c r="AD273" s="5"/>
    </row>
    <row r="274" spans="1:30" s="23" customFormat="1" x14ac:dyDescent="0.3">
      <c r="A274" s="177"/>
      <c r="B274" s="41" t="s">
        <v>55</v>
      </c>
      <c r="C274" s="41"/>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AB170</f>
        <v>18</v>
      </c>
      <c r="AA274" s="41"/>
      <c r="AB274" s="166"/>
      <c r="AC274" s="178"/>
      <c r="AD274" s="22"/>
    </row>
    <row r="275" spans="1:30" s="23" customFormat="1" x14ac:dyDescent="0.3">
      <c r="A275" s="163"/>
      <c r="B275" s="41" t="s">
        <v>56</v>
      </c>
      <c r="C275" s="100"/>
      <c r="D275" s="41"/>
      <c r="E275" s="41"/>
      <c r="F275" s="41"/>
      <c r="G275" s="41"/>
      <c r="H275" s="41"/>
      <c r="I275" s="41"/>
      <c r="J275" s="41"/>
      <c r="K275" s="41"/>
      <c r="L275" s="41"/>
      <c r="M275" s="41"/>
      <c r="N275" s="41"/>
      <c r="O275" s="41"/>
      <c r="P275" s="41"/>
      <c r="Q275" s="41"/>
      <c r="R275" s="41"/>
      <c r="S275" s="41"/>
      <c r="T275" s="41"/>
      <c r="U275" s="41"/>
      <c r="V275" s="41"/>
      <c r="W275" s="41"/>
      <c r="X275" s="41"/>
      <c r="Y275" s="49"/>
      <c r="Z275" s="165">
        <f>+'July 22  '!Z274+'October 22 '!Z274</f>
        <v>31</v>
      </c>
      <c r="AA275" s="41"/>
      <c r="AB275" s="166"/>
      <c r="AC275" s="178"/>
      <c r="AD275" s="22"/>
    </row>
    <row r="276" spans="1:30" x14ac:dyDescent="0.3">
      <c r="A276" s="173"/>
      <c r="B276" s="169" t="s">
        <v>125</v>
      </c>
      <c r="C276" s="174"/>
      <c r="D276" s="60"/>
      <c r="E276" s="60"/>
      <c r="F276" s="60"/>
      <c r="G276" s="60"/>
      <c r="H276" s="60"/>
      <c r="I276" s="60"/>
      <c r="J276" s="60"/>
      <c r="K276" s="60"/>
      <c r="L276" s="60"/>
      <c r="M276" s="60"/>
      <c r="N276" s="60"/>
      <c r="O276" s="60"/>
      <c r="P276" s="60"/>
      <c r="Q276" s="60"/>
      <c r="R276" s="60"/>
      <c r="S276" s="60"/>
      <c r="T276" s="60"/>
      <c r="U276" s="60"/>
      <c r="V276" s="60"/>
      <c r="W276" s="60"/>
      <c r="X276" s="60"/>
      <c r="Y276" s="179"/>
      <c r="Z276" s="175"/>
      <c r="AA276" s="60"/>
      <c r="AB276" s="171"/>
      <c r="AC276" s="176"/>
      <c r="AD276" s="5"/>
    </row>
    <row r="277" spans="1:30" s="23" customFormat="1" x14ac:dyDescent="0.3">
      <c r="A277" s="177"/>
      <c r="B277" s="41" t="s">
        <v>134</v>
      </c>
      <c r="C277" s="41"/>
      <c r="D277" s="41"/>
      <c r="E277" s="41"/>
      <c r="F277" s="41"/>
      <c r="G277" s="41"/>
      <c r="H277" s="41"/>
      <c r="I277" s="41"/>
      <c r="J277" s="41"/>
      <c r="K277" s="41"/>
      <c r="L277" s="41"/>
      <c r="M277" s="41"/>
      <c r="N277" s="41"/>
      <c r="O277" s="41"/>
      <c r="P277" s="41"/>
      <c r="Q277" s="41"/>
      <c r="R277" s="41"/>
      <c r="S277" s="41"/>
      <c r="T277" s="41"/>
      <c r="U277" s="41"/>
      <c r="V277" s="41"/>
      <c r="W277" s="41"/>
      <c r="X277" s="41"/>
      <c r="Y277" s="49">
        <v>0</v>
      </c>
      <c r="Z277" s="165">
        <v>0</v>
      </c>
      <c r="AA277" s="41"/>
      <c r="AB277" s="166"/>
      <c r="AC277" s="178"/>
      <c r="AD277" s="22"/>
    </row>
    <row r="278" spans="1:30" s="23" customFormat="1" x14ac:dyDescent="0.3">
      <c r="A278" s="163"/>
      <c r="B278" s="41" t="s">
        <v>57</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s="23" customFormat="1" x14ac:dyDescent="0.3">
      <c r="A279" s="163"/>
      <c r="B279" s="41" t="s">
        <v>58</v>
      </c>
      <c r="C279" s="73"/>
      <c r="D279" s="41"/>
      <c r="E279" s="41"/>
      <c r="F279" s="41"/>
      <c r="G279" s="41"/>
      <c r="H279" s="41"/>
      <c r="I279" s="41"/>
      <c r="J279" s="41"/>
      <c r="K279" s="41"/>
      <c r="L279" s="41"/>
      <c r="M279" s="41"/>
      <c r="N279" s="41"/>
      <c r="O279" s="41"/>
      <c r="P279" s="41"/>
      <c r="Q279" s="41"/>
      <c r="R279" s="41"/>
      <c r="S279" s="41"/>
      <c r="T279" s="41"/>
      <c r="U279" s="41"/>
      <c r="V279" s="41"/>
      <c r="W279" s="41"/>
      <c r="X279" s="41"/>
      <c r="Y279" s="41"/>
      <c r="Z279" s="180">
        <v>0</v>
      </c>
      <c r="AA279" s="41"/>
      <c r="AB279" s="166"/>
      <c r="AC279" s="178"/>
      <c r="AD279" s="22"/>
    </row>
    <row r="280" spans="1:30" x14ac:dyDescent="0.3">
      <c r="A280" s="168"/>
      <c r="B280" s="169" t="s">
        <v>116</v>
      </c>
      <c r="C280" s="181"/>
      <c r="D280" s="60"/>
      <c r="E280" s="60"/>
      <c r="F280" s="60"/>
      <c r="G280" s="60"/>
      <c r="H280" s="60"/>
      <c r="I280" s="60"/>
      <c r="J280" s="60"/>
      <c r="K280" s="60"/>
      <c r="L280" s="60"/>
      <c r="M280" s="60"/>
      <c r="N280" s="60"/>
      <c r="O280" s="60"/>
      <c r="P280" s="60"/>
      <c r="Q280" s="60"/>
      <c r="R280" s="60"/>
      <c r="S280" s="60"/>
      <c r="T280" s="60"/>
      <c r="U280" s="60"/>
      <c r="V280" s="60"/>
      <c r="W280" s="60"/>
      <c r="X280" s="60"/>
      <c r="Y280" s="115"/>
      <c r="Z280" s="182"/>
      <c r="AA280" s="60"/>
      <c r="AB280" s="171"/>
      <c r="AC280" s="176"/>
      <c r="AD280" s="5"/>
    </row>
    <row r="281" spans="1:30" s="23" customFormat="1" x14ac:dyDescent="0.3">
      <c r="A281" s="163"/>
      <c r="B281" s="41" t="s">
        <v>134</v>
      </c>
      <c r="C281" s="73"/>
      <c r="D281" s="41"/>
      <c r="E281" s="41"/>
      <c r="F281" s="41"/>
      <c r="G281" s="41"/>
      <c r="H281" s="41"/>
      <c r="I281" s="41"/>
      <c r="J281" s="41"/>
      <c r="K281" s="41"/>
      <c r="L281" s="41"/>
      <c r="M281" s="41"/>
      <c r="N281" s="41"/>
      <c r="O281" s="41"/>
      <c r="P281" s="41"/>
      <c r="Q281" s="41"/>
      <c r="R281" s="41"/>
      <c r="S281" s="41"/>
      <c r="T281" s="41"/>
      <c r="U281" s="41"/>
      <c r="V281" s="41"/>
      <c r="W281" s="41"/>
      <c r="X281" s="41"/>
      <c r="Y281" s="49">
        <v>0</v>
      </c>
      <c r="Z281" s="165">
        <v>0</v>
      </c>
      <c r="AA281" s="41"/>
      <c r="AB281" s="166"/>
      <c r="AC281" s="178"/>
      <c r="AD281" s="22"/>
    </row>
    <row r="282" spans="1:30" s="23" customFormat="1" x14ac:dyDescent="0.3">
      <c r="A282" s="163"/>
      <c r="B282" s="41" t="s">
        <v>117</v>
      </c>
      <c r="C282" s="73"/>
      <c r="D282" s="41"/>
      <c r="E282" s="41"/>
      <c r="F282" s="41"/>
      <c r="G282" s="41"/>
      <c r="H282" s="41"/>
      <c r="I282" s="41"/>
      <c r="J282" s="41"/>
      <c r="K282" s="41"/>
      <c r="L282" s="41"/>
      <c r="M282" s="41"/>
      <c r="N282" s="41"/>
      <c r="O282" s="41"/>
      <c r="P282" s="41"/>
      <c r="Q282" s="41"/>
      <c r="R282" s="41"/>
      <c r="S282" s="41"/>
      <c r="T282" s="41"/>
      <c r="U282" s="41"/>
      <c r="V282" s="41"/>
      <c r="W282" s="41"/>
      <c r="X282" s="41"/>
      <c r="Y282" s="41"/>
      <c r="Z282" s="180">
        <v>0</v>
      </c>
      <c r="AA282" s="41"/>
      <c r="AB282" s="166"/>
      <c r="AC282" s="178"/>
      <c r="AD282" s="22"/>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115"/>
      <c r="Z283" s="182"/>
      <c r="AA283" s="60"/>
      <c r="AB283" s="171"/>
      <c r="AC283" s="176"/>
      <c r="AD283" s="5"/>
    </row>
    <row r="284" spans="1:30" x14ac:dyDescent="0.3">
      <c r="A284" s="168"/>
      <c r="B284" s="174"/>
      <c r="C284" s="181"/>
      <c r="D284" s="60"/>
      <c r="E284" s="60"/>
      <c r="F284" s="60"/>
      <c r="G284" s="60"/>
      <c r="H284" s="60"/>
      <c r="I284" s="60"/>
      <c r="J284" s="60"/>
      <c r="K284" s="60"/>
      <c r="L284" s="60"/>
      <c r="M284" s="60"/>
      <c r="N284" s="60"/>
      <c r="O284" s="60"/>
      <c r="P284" s="60"/>
      <c r="Q284" s="60"/>
      <c r="R284" s="60"/>
      <c r="S284" s="60"/>
      <c r="T284" s="60"/>
      <c r="U284" s="60"/>
      <c r="V284" s="60"/>
      <c r="W284" s="60"/>
      <c r="X284" s="60"/>
      <c r="Y284" s="60"/>
      <c r="Z284" s="183"/>
      <c r="AA284" s="60"/>
      <c r="AB284" s="171"/>
      <c r="AC284" s="176"/>
      <c r="AD284" s="5"/>
    </row>
    <row r="285" spans="1:30" ht="18" x14ac:dyDescent="0.35">
      <c r="A285" s="168"/>
      <c r="B285" s="184" t="s">
        <v>109</v>
      </c>
      <c r="C285" s="181"/>
      <c r="D285" s="60"/>
      <c r="E285" s="60"/>
      <c r="F285" s="60"/>
      <c r="G285" s="60"/>
      <c r="H285" s="60"/>
      <c r="I285" s="60"/>
      <c r="J285" s="60"/>
      <c r="K285" s="60"/>
      <c r="L285" s="185"/>
      <c r="M285" s="185"/>
      <c r="N285" s="185"/>
      <c r="O285" s="185"/>
      <c r="P285" s="185"/>
      <c r="Q285" s="185"/>
      <c r="R285" s="185"/>
      <c r="S285" s="185"/>
      <c r="T285" s="185"/>
      <c r="U285" s="185"/>
      <c r="V285" s="185"/>
      <c r="W285" s="60"/>
      <c r="X285" s="186" t="s">
        <v>169</v>
      </c>
      <c r="Y285" s="185"/>
      <c r="Z285" s="183"/>
      <c r="AA285" s="60"/>
      <c r="AB285" s="171"/>
      <c r="AC285" s="176"/>
      <c r="AD285" s="5"/>
    </row>
    <row r="286" spans="1:30" ht="18" x14ac:dyDescent="0.35">
      <c r="A286" s="187"/>
      <c r="B286" s="188"/>
      <c r="C286" s="189"/>
      <c r="D286" s="102"/>
      <c r="E286" s="102"/>
      <c r="F286" s="102"/>
      <c r="G286" s="102"/>
      <c r="H286" s="102"/>
      <c r="I286" s="102"/>
      <c r="J286" s="102"/>
      <c r="K286" s="102"/>
      <c r="L286" s="190"/>
      <c r="M286" s="190"/>
      <c r="N286" s="190"/>
      <c r="O286" s="190"/>
      <c r="P286" s="190"/>
      <c r="Q286" s="190"/>
      <c r="R286" s="190"/>
      <c r="S286" s="190"/>
      <c r="T286" s="190"/>
      <c r="U286" s="190"/>
      <c r="V286" s="190"/>
      <c r="W286" s="102"/>
      <c r="X286" s="102"/>
      <c r="Y286" s="102"/>
      <c r="Z286" s="191"/>
      <c r="AA286" s="102"/>
      <c r="AB286" s="155"/>
      <c r="AC286" s="192"/>
      <c r="AD286" s="5"/>
    </row>
    <row r="287" spans="1:30" x14ac:dyDescent="0.3">
      <c r="A287" s="33"/>
      <c r="B287" s="105" t="s">
        <v>126</v>
      </c>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57" t="s">
        <v>69</v>
      </c>
      <c r="Y287" s="106" t="s">
        <v>70</v>
      </c>
      <c r="Z287" s="157" t="s">
        <v>75</v>
      </c>
      <c r="AA287" s="106" t="s">
        <v>70</v>
      </c>
      <c r="AB287" s="34"/>
      <c r="AC287" s="193"/>
      <c r="AD287" s="5"/>
    </row>
    <row r="288" spans="1:30" s="23" customFormat="1" x14ac:dyDescent="0.3">
      <c r="A288" s="18"/>
      <c r="B288" s="109" t="s">
        <v>59</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9">
        <f t="shared" ref="X288:X295" si="1">+X300+X312+X334</f>
        <v>2609</v>
      </c>
      <c r="Y288" s="195">
        <f>X288/$X$297</f>
        <v>0.99656226126814362</v>
      </c>
      <c r="Z288" s="110">
        <f t="shared" ref="Z288:Z295" si="2">+Z300+Z312+Z334</f>
        <v>435416</v>
      </c>
      <c r="AA288" s="195">
        <f t="shared" ref="AA288:AA295" si="3">Z288/$Z$297</f>
        <v>0.99517060583412753</v>
      </c>
      <c r="AB288" s="161"/>
      <c r="AC288" s="196"/>
      <c r="AD288" s="22"/>
    </row>
    <row r="289" spans="1:31" s="23" customFormat="1" x14ac:dyDescent="0.3">
      <c r="A289" s="48"/>
      <c r="B289" s="100" t="s">
        <v>60</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8">
        <f t="shared" si="1"/>
        <v>6</v>
      </c>
      <c r="Y289" s="199">
        <f t="shared" ref="Y289:Y295" si="4">X289/$X$297</f>
        <v>2.2918258212375861E-3</v>
      </c>
      <c r="Z289" s="200">
        <f t="shared" si="2"/>
        <v>1439</v>
      </c>
      <c r="AA289" s="201">
        <f t="shared" si="3"/>
        <v>3.2889248484100483E-3</v>
      </c>
      <c r="AB289" s="166"/>
      <c r="AC289" s="178"/>
      <c r="AD289" s="22"/>
    </row>
    <row r="290" spans="1:31" s="23" customFormat="1" x14ac:dyDescent="0.3">
      <c r="A290" s="48"/>
      <c r="B290" s="100" t="s">
        <v>61</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100</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1</v>
      </c>
      <c r="Y291" s="203">
        <f t="shared" si="4"/>
        <v>3.8197097020626432E-4</v>
      </c>
      <c r="Z291" s="134">
        <f t="shared" si="2"/>
        <v>248</v>
      </c>
      <c r="AA291" s="201">
        <f t="shared" si="3"/>
        <v>5.6681957081702015E-4</v>
      </c>
      <c r="AB291" s="166"/>
      <c r="AC291" s="178"/>
      <c r="AD291" s="22"/>
    </row>
    <row r="292" spans="1:31" s="23" customFormat="1" x14ac:dyDescent="0.3">
      <c r="A292" s="48"/>
      <c r="B292" s="100" t="s">
        <v>101</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102</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2">
        <f t="shared" si="1"/>
        <v>0</v>
      </c>
      <c r="Y293" s="203">
        <f t="shared" si="4"/>
        <v>0</v>
      </c>
      <c r="Z293" s="134">
        <f t="shared" si="2"/>
        <v>0</v>
      </c>
      <c r="AA293" s="201">
        <f t="shared" si="3"/>
        <v>0</v>
      </c>
      <c r="AB293" s="166"/>
      <c r="AC293" s="178"/>
      <c r="AD293" s="22"/>
    </row>
    <row r="294" spans="1:31" s="23" customFormat="1" x14ac:dyDescent="0.3">
      <c r="A294" s="48"/>
      <c r="B294" s="100" t="s">
        <v>103</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204">
        <f t="shared" si="1"/>
        <v>2</v>
      </c>
      <c r="Y294" s="205">
        <f t="shared" si="4"/>
        <v>7.6394194041252863E-4</v>
      </c>
      <c r="Z294" s="206">
        <f t="shared" si="2"/>
        <v>426</v>
      </c>
      <c r="AA294" s="201">
        <f t="shared" si="3"/>
        <v>9.7364974664536526E-4</v>
      </c>
      <c r="AB294" s="166"/>
      <c r="AC294" s="178"/>
      <c r="AD294" s="22"/>
    </row>
    <row r="295" spans="1:31" s="23" customFormat="1" x14ac:dyDescent="0.3">
      <c r="A295" s="48"/>
      <c r="B295" s="100" t="s">
        <v>104</v>
      </c>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9">
        <f t="shared" si="1"/>
        <v>0</v>
      </c>
      <c r="Y295" s="201">
        <f t="shared" si="4"/>
        <v>0</v>
      </c>
      <c r="Z295" s="110">
        <f t="shared" si="2"/>
        <v>0</v>
      </c>
      <c r="AA295" s="201">
        <f t="shared" si="3"/>
        <v>0</v>
      </c>
      <c r="AB295" s="166"/>
      <c r="AC295" s="178"/>
      <c r="AD295" s="22"/>
    </row>
    <row r="296" spans="1:31" s="23" customFormat="1" x14ac:dyDescent="0.3">
      <c r="A296" s="48"/>
      <c r="B296" s="100"/>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00"/>
      <c r="Y296" s="201"/>
      <c r="Z296" s="101"/>
      <c r="AA296" s="201"/>
      <c r="AB296" s="166"/>
      <c r="AC296" s="178"/>
      <c r="AD296" s="22"/>
    </row>
    <row r="297" spans="1:31" s="23" customFormat="1" x14ac:dyDescent="0.3">
      <c r="A297" s="48"/>
      <c r="B297" s="41" t="s">
        <v>80</v>
      </c>
      <c r="C297" s="41"/>
      <c r="D297" s="207"/>
      <c r="E297" s="207"/>
      <c r="F297" s="207"/>
      <c r="G297" s="207"/>
      <c r="H297" s="207"/>
      <c r="I297" s="207"/>
      <c r="J297" s="207"/>
      <c r="K297" s="207"/>
      <c r="L297" s="207"/>
      <c r="M297" s="207"/>
      <c r="N297" s="207"/>
      <c r="O297" s="207"/>
      <c r="P297" s="207"/>
      <c r="Q297" s="207"/>
      <c r="R297" s="207"/>
      <c r="S297" s="207"/>
      <c r="T297" s="207"/>
      <c r="U297" s="207"/>
      <c r="V297" s="207"/>
      <c r="W297" s="207"/>
      <c r="X297" s="100">
        <f>SUM(X288:X296)</f>
        <v>2618</v>
      </c>
      <c r="Y297" s="201">
        <f>SUM(Y288:Y296)</f>
        <v>1</v>
      </c>
      <c r="Z297" s="101">
        <f>SUM(Z288:Z296)</f>
        <v>437529</v>
      </c>
      <c r="AA297" s="201">
        <f>SUM(AA288:AA296)</f>
        <v>1</v>
      </c>
      <c r="AB297" s="41"/>
      <c r="AC297" s="44"/>
      <c r="AD297" s="22"/>
    </row>
    <row r="298" spans="1:31" x14ac:dyDescent="0.3">
      <c r="A298" s="7"/>
      <c r="B298" s="154"/>
      <c r="C298" s="189"/>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91"/>
      <c r="AA298" s="102"/>
      <c r="AB298" s="102"/>
      <c r="AC298" s="10"/>
      <c r="AD298" s="5"/>
    </row>
    <row r="299" spans="1:31" x14ac:dyDescent="0.3">
      <c r="A299" s="33"/>
      <c r="B299" s="105" t="s">
        <v>105</v>
      </c>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57" t="s">
        <v>69</v>
      </c>
      <c r="Y299" s="106" t="s">
        <v>70</v>
      </c>
      <c r="Z299" s="157" t="s">
        <v>75</v>
      </c>
      <c r="AA299" s="106" t="s">
        <v>70</v>
      </c>
      <c r="AB299" s="34"/>
      <c r="AC299" s="193"/>
      <c r="AD299" s="5"/>
    </row>
    <row r="300" spans="1:31" s="23" customFormat="1" x14ac:dyDescent="0.3">
      <c r="A300" s="18"/>
      <c r="B300" s="109" t="s">
        <v>59</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09">
        <v>2607</v>
      </c>
      <c r="Y300" s="195">
        <f>X300/$X$309</f>
        <v>0.99655963302752293</v>
      </c>
      <c r="Z300" s="110">
        <v>435071</v>
      </c>
      <c r="AA300" s="195">
        <f>Z300/$Z$309</f>
        <v>0.99516679475918601</v>
      </c>
      <c r="AB300" s="161"/>
      <c r="AC300" s="196"/>
      <c r="AD300" s="22"/>
    </row>
    <row r="301" spans="1:31" s="23" customFormat="1" x14ac:dyDescent="0.3">
      <c r="A301" s="48"/>
      <c r="B301" s="100" t="s">
        <v>60</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6</v>
      </c>
      <c r="Y301" s="201">
        <f t="shared" ref="Y301:Y307" si="5">X301/$X$309</f>
        <v>2.2935779816513763E-3</v>
      </c>
      <c r="Z301" s="101">
        <v>1439</v>
      </c>
      <c r="AA301" s="201">
        <f t="shared" ref="AA301:AA307" si="6">Z301/$Z$309</f>
        <v>3.2915202752159273E-3</v>
      </c>
      <c r="AB301" s="166"/>
      <c r="AC301" s="178"/>
      <c r="AD301" s="22"/>
      <c r="AE301" s="118"/>
    </row>
    <row r="302" spans="1:31" s="23" customFormat="1" x14ac:dyDescent="0.3">
      <c r="A302" s="48"/>
      <c r="B302" s="100" t="s">
        <v>61</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 t="shared" si="5"/>
        <v>0</v>
      </c>
      <c r="Z302" s="101">
        <v>0</v>
      </c>
      <c r="AA302" s="201">
        <f t="shared" si="6"/>
        <v>0</v>
      </c>
      <c r="AB302" s="166"/>
      <c r="AC302" s="178"/>
      <c r="AD302" s="22"/>
    </row>
    <row r="303" spans="1:31" s="23" customFormat="1" x14ac:dyDescent="0.3">
      <c r="A303" s="48"/>
      <c r="B303" s="100" t="s">
        <v>100</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1</v>
      </c>
      <c r="Y303" s="201">
        <f>X303/$X$309</f>
        <v>3.8226299694189603E-4</v>
      </c>
      <c r="Z303" s="101">
        <v>248</v>
      </c>
      <c r="AA303" s="201">
        <f t="shared" si="6"/>
        <v>5.6726687161469771E-4</v>
      </c>
      <c r="AB303" s="166"/>
      <c r="AC303" s="178"/>
      <c r="AD303" s="22"/>
      <c r="AE303" s="118"/>
    </row>
    <row r="304" spans="1:31" s="23" customFormat="1" x14ac:dyDescent="0.3">
      <c r="A304" s="48"/>
      <c r="B304" s="100" t="s">
        <v>101</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row>
    <row r="305" spans="1:31" s="23" customFormat="1" x14ac:dyDescent="0.3">
      <c r="A305" s="48"/>
      <c r="B305" s="100" t="s">
        <v>102</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 t="shared" si="5"/>
        <v>0</v>
      </c>
      <c r="Z305" s="101">
        <v>0</v>
      </c>
      <c r="AA305" s="201">
        <f t="shared" si="6"/>
        <v>0</v>
      </c>
      <c r="AB305" s="166"/>
      <c r="AC305" s="178"/>
      <c r="AD305" s="22"/>
      <c r="AE305" s="118"/>
    </row>
    <row r="306" spans="1:31" s="23" customFormat="1" x14ac:dyDescent="0.3">
      <c r="A306" s="48"/>
      <c r="B306" s="100" t="s">
        <v>103</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2</v>
      </c>
      <c r="Y306" s="201">
        <f>X306/$X$309</f>
        <v>7.6452599388379206E-4</v>
      </c>
      <c r="Z306" s="101">
        <v>426</v>
      </c>
      <c r="AA306" s="201">
        <f t="shared" si="6"/>
        <v>9.7441809398331137E-4</v>
      </c>
      <c r="AB306" s="166"/>
      <c r="AC306" s="178"/>
      <c r="AD306" s="22"/>
    </row>
    <row r="307" spans="1:31" s="23" customFormat="1" x14ac:dyDescent="0.3">
      <c r="A307" s="48"/>
      <c r="B307" s="100" t="s">
        <v>104</v>
      </c>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v>0</v>
      </c>
      <c r="Y307" s="201">
        <f t="shared" si="5"/>
        <v>0</v>
      </c>
      <c r="Z307" s="101">
        <v>0</v>
      </c>
      <c r="AA307" s="201">
        <f t="shared" si="6"/>
        <v>0</v>
      </c>
      <c r="AB307" s="166"/>
      <c r="AC307" s="178"/>
      <c r="AD307" s="22"/>
      <c r="AE307" s="118"/>
    </row>
    <row r="308" spans="1:31" s="23" customFormat="1" x14ac:dyDescent="0.3">
      <c r="A308" s="48"/>
      <c r="B308" s="100"/>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00"/>
      <c r="Y308" s="201"/>
      <c r="Z308" s="101"/>
      <c r="AA308" s="201"/>
      <c r="AB308" s="166"/>
      <c r="AC308" s="178"/>
      <c r="AD308" s="22"/>
    </row>
    <row r="309" spans="1:31" s="23" customFormat="1" x14ac:dyDescent="0.3">
      <c r="A309" s="48"/>
      <c r="B309" s="41" t="s">
        <v>80</v>
      </c>
      <c r="C309" s="41"/>
      <c r="D309" s="207"/>
      <c r="E309" s="207"/>
      <c r="F309" s="207"/>
      <c r="G309" s="207"/>
      <c r="H309" s="207"/>
      <c r="I309" s="207"/>
      <c r="J309" s="207"/>
      <c r="K309" s="207"/>
      <c r="L309" s="207"/>
      <c r="M309" s="207"/>
      <c r="N309" s="207"/>
      <c r="O309" s="207"/>
      <c r="P309" s="207"/>
      <c r="Q309" s="207"/>
      <c r="R309" s="207"/>
      <c r="S309" s="207"/>
      <c r="T309" s="207"/>
      <c r="U309" s="207"/>
      <c r="V309" s="207"/>
      <c r="W309" s="207"/>
      <c r="X309" s="100">
        <f>SUM(X300:X308)</f>
        <v>2616</v>
      </c>
      <c r="Y309" s="201">
        <f>SUM(Y300:Y308)</f>
        <v>1</v>
      </c>
      <c r="Z309" s="101">
        <f>SUM(Z300:Z308)</f>
        <v>437184</v>
      </c>
      <c r="AA309" s="201">
        <f>SUM(AA300:AA308)</f>
        <v>1</v>
      </c>
      <c r="AB309" s="41"/>
      <c r="AC309" s="44"/>
      <c r="AD309" s="22"/>
    </row>
    <row r="310" spans="1:31" x14ac:dyDescent="0.3">
      <c r="A310" s="7"/>
      <c r="B310" s="102"/>
      <c r="C310" s="102"/>
      <c r="D310" s="208"/>
      <c r="E310" s="208"/>
      <c r="F310" s="208"/>
      <c r="G310" s="208"/>
      <c r="H310" s="208"/>
      <c r="I310" s="208"/>
      <c r="J310" s="208"/>
      <c r="K310" s="208"/>
      <c r="L310" s="208"/>
      <c r="M310" s="208"/>
      <c r="N310" s="208"/>
      <c r="O310" s="208"/>
      <c r="P310" s="208"/>
      <c r="Q310" s="208"/>
      <c r="R310" s="208"/>
      <c r="S310" s="208"/>
      <c r="T310" s="208"/>
      <c r="U310" s="208"/>
      <c r="V310" s="208"/>
      <c r="W310" s="208"/>
      <c r="X310" s="103"/>
      <c r="Y310" s="209"/>
      <c r="Z310" s="210"/>
      <c r="AA310" s="209"/>
      <c r="AB310" s="102"/>
      <c r="AC310" s="10"/>
      <c r="AD310" s="5"/>
    </row>
    <row r="311" spans="1:31" x14ac:dyDescent="0.3">
      <c r="A311" s="33"/>
      <c r="B311" s="105" t="s">
        <v>121</v>
      </c>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57" t="s">
        <v>69</v>
      </c>
      <c r="Y311" s="106" t="s">
        <v>70</v>
      </c>
      <c r="Z311" s="157" t="s">
        <v>75</v>
      </c>
      <c r="AA311" s="106" t="s">
        <v>70</v>
      </c>
      <c r="AB311" s="34"/>
      <c r="AC311" s="37"/>
      <c r="AD311" s="5"/>
    </row>
    <row r="312" spans="1:31" s="23" customFormat="1" x14ac:dyDescent="0.3">
      <c r="A312" s="18"/>
      <c r="B312" s="109" t="s">
        <v>59</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109">
        <v>2</v>
      </c>
      <c r="Y312" s="195">
        <f>X312/X321</f>
        <v>1</v>
      </c>
      <c r="Z312" s="110">
        <v>345</v>
      </c>
      <c r="AA312" s="195">
        <f>Z312/Z321</f>
        <v>1</v>
      </c>
      <c r="AB312" s="38"/>
      <c r="AC312" s="21"/>
      <c r="AD312" s="22"/>
    </row>
    <row r="313" spans="1:31" s="23" customFormat="1" x14ac:dyDescent="0.3">
      <c r="A313" s="48"/>
      <c r="B313" s="100" t="s">
        <v>60</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61</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100</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101</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f>X316/$X$321</f>
        <v>0</v>
      </c>
      <c r="Z316" s="101">
        <v>0</v>
      </c>
      <c r="AA316" s="201">
        <f>Z316/$Z$321</f>
        <v>0</v>
      </c>
      <c r="AB316" s="41"/>
      <c r="AC316" s="44"/>
      <c r="AD316" s="22"/>
    </row>
    <row r="317" spans="1:31" s="23" customFormat="1" x14ac:dyDescent="0.3">
      <c r="A317" s="48"/>
      <c r="B317" s="100" t="s">
        <v>102</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103</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f>X318/$X$321</f>
        <v>0</v>
      </c>
      <c r="Z318" s="101">
        <v>0</v>
      </c>
      <c r="AA318" s="201">
        <f>Z318/$Z$321</f>
        <v>0</v>
      </c>
      <c r="AB318" s="41"/>
      <c r="AC318" s="44"/>
      <c r="AD318" s="22"/>
    </row>
    <row r="319" spans="1:31" s="23" customFormat="1" x14ac:dyDescent="0.3">
      <c r="A319" s="48"/>
      <c r="B319" s="100" t="s">
        <v>104</v>
      </c>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v>0</v>
      </c>
      <c r="Y319" s="201">
        <v>0</v>
      </c>
      <c r="Z319" s="101">
        <v>0</v>
      </c>
      <c r="AA319" s="201">
        <v>0</v>
      </c>
      <c r="AB319" s="41"/>
      <c r="AC319" s="44"/>
      <c r="AD319" s="22"/>
    </row>
    <row r="320" spans="1:31" s="23" customFormat="1" x14ac:dyDescent="0.3">
      <c r="A320" s="48"/>
      <c r="B320" s="100"/>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00"/>
      <c r="Y320" s="201"/>
      <c r="Z320" s="101"/>
      <c r="AA320" s="201"/>
      <c r="AB320" s="41"/>
      <c r="AC320" s="44"/>
      <c r="AD320" s="22"/>
    </row>
    <row r="321" spans="1:30" s="23" customFormat="1" x14ac:dyDescent="0.3">
      <c r="A321" s="48"/>
      <c r="B321" s="41" t="s">
        <v>80</v>
      </c>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f>SUM(X312:X320)</f>
        <v>2</v>
      </c>
      <c r="Y321" s="201">
        <f>SUM(Y312:Y320)</f>
        <v>1</v>
      </c>
      <c r="Z321" s="101">
        <f>SUM(Z312:Z320)</f>
        <v>345</v>
      </c>
      <c r="AA321" s="201">
        <f>SUM(AA312:AA320)</f>
        <v>1</v>
      </c>
      <c r="AB321" s="41"/>
      <c r="AC321" s="44"/>
      <c r="AD321" s="22"/>
    </row>
    <row r="322" spans="1:30" s="23" customFormat="1" x14ac:dyDescent="0.3">
      <c r="A322" s="48"/>
      <c r="B322" s="41"/>
      <c r="C322" s="41"/>
      <c r="D322" s="207"/>
      <c r="E322" s="207"/>
      <c r="F322" s="207"/>
      <c r="G322" s="207"/>
      <c r="H322" s="207"/>
      <c r="I322" s="207"/>
      <c r="J322" s="207"/>
      <c r="K322" s="207"/>
      <c r="L322" s="207"/>
      <c r="M322" s="207"/>
      <c r="N322" s="207"/>
      <c r="O322" s="207"/>
      <c r="P322" s="207"/>
      <c r="Q322" s="207"/>
      <c r="R322" s="207"/>
      <c r="S322" s="207"/>
      <c r="T322" s="207"/>
      <c r="U322" s="207"/>
      <c r="V322" s="207"/>
      <c r="W322" s="207"/>
      <c r="X322" s="100"/>
      <c r="Y322" s="201"/>
      <c r="Z322" s="101"/>
      <c r="AA322" s="201"/>
      <c r="AB322" s="41"/>
      <c r="AC322" s="44"/>
      <c r="AD322" s="22"/>
    </row>
    <row r="323" spans="1:30" s="268" customFormat="1" x14ac:dyDescent="0.3">
      <c r="A323" s="243"/>
      <c r="B323" s="244" t="s">
        <v>338</v>
      </c>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65" t="s">
        <v>69</v>
      </c>
      <c r="Y323" s="266" t="s">
        <v>70</v>
      </c>
      <c r="Z323" s="265" t="s">
        <v>75</v>
      </c>
      <c r="AA323" s="266" t="s">
        <v>70</v>
      </c>
      <c r="AB323" s="244"/>
      <c r="AC323" s="244"/>
      <c r="AD323" s="267"/>
    </row>
    <row r="324" spans="1:30" s="268" customFormat="1" x14ac:dyDescent="0.3">
      <c r="A324" s="269"/>
      <c r="B324" s="270" t="s">
        <v>339</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82">
        <v>0</v>
      </c>
      <c r="Z324" s="283">
        <v>0</v>
      </c>
      <c r="AA324" s="282">
        <v>0</v>
      </c>
      <c r="AB324" s="271"/>
      <c r="AC324" s="276"/>
      <c r="AD324" s="267"/>
    </row>
    <row r="325" spans="1:30" s="268" customFormat="1" x14ac:dyDescent="0.3">
      <c r="A325" s="269"/>
      <c r="B325" s="270" t="s">
        <v>340</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73">
        <v>0</v>
      </c>
      <c r="Y325" s="282">
        <f>X325/X331</f>
        <v>0</v>
      </c>
      <c r="Z325" s="283">
        <v>0</v>
      </c>
      <c r="AA325" s="282">
        <f>Z325/Z331</f>
        <v>0</v>
      </c>
      <c r="AB325" s="271"/>
      <c r="AC325" s="276"/>
      <c r="AD325" s="267"/>
    </row>
    <row r="326" spans="1:30" s="268" customFormat="1" x14ac:dyDescent="0.3">
      <c r="A326" s="269"/>
      <c r="B326" s="270" t="s">
        <v>341</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81">
        <v>0</v>
      </c>
      <c r="Y326" s="282">
        <f>X326/X331</f>
        <v>0</v>
      </c>
      <c r="Z326" s="283">
        <v>0</v>
      </c>
      <c r="AA326" s="282">
        <f>Z326/Z331</f>
        <v>0</v>
      </c>
      <c r="AB326" s="271"/>
      <c r="AC326" s="276"/>
      <c r="AD326" s="267"/>
    </row>
    <row r="327" spans="1:30" s="268" customFormat="1" x14ac:dyDescent="0.3">
      <c r="A327" s="269"/>
      <c r="B327" s="270" t="s">
        <v>354</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1</v>
      </c>
      <c r="Y327" s="282">
        <f>X327/X331</f>
        <v>0.5</v>
      </c>
      <c r="Z327" s="283">
        <v>341</v>
      </c>
      <c r="AA327" s="282">
        <f>Z327/Z331</f>
        <v>0.98840579710144927</v>
      </c>
      <c r="AB327" s="271"/>
      <c r="AC327" s="276"/>
      <c r="AD327" s="267"/>
    </row>
    <row r="328" spans="1:30" s="268" customFormat="1" x14ac:dyDescent="0.3">
      <c r="A328" s="269"/>
      <c r="B328" s="270" t="s">
        <v>345</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1</v>
      </c>
      <c r="Y328" s="282">
        <f>X328/X331</f>
        <v>0.5</v>
      </c>
      <c r="Z328" s="283">
        <v>4</v>
      </c>
      <c r="AA328" s="282">
        <f>Z328/Z331</f>
        <v>1.1594202898550725E-2</v>
      </c>
      <c r="AB328" s="271"/>
      <c r="AC328" s="276"/>
      <c r="AD328" s="267"/>
    </row>
    <row r="329" spans="1:30" s="268" customFormat="1" x14ac:dyDescent="0.3">
      <c r="A329" s="269"/>
      <c r="B329" s="277" t="s">
        <v>344</v>
      </c>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v>0</v>
      </c>
      <c r="Y329" s="305">
        <f>X329/$X$331</f>
        <v>0</v>
      </c>
      <c r="Z329" s="283">
        <v>0</v>
      </c>
      <c r="AA329" s="305">
        <f>Z329/$Z$331</f>
        <v>0</v>
      </c>
      <c r="AB329" s="271"/>
      <c r="AC329" s="276"/>
      <c r="AD329" s="267"/>
    </row>
    <row r="330" spans="1:30" s="268" customFormat="1" x14ac:dyDescent="0.3">
      <c r="A330" s="269"/>
      <c r="B330" s="270"/>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c r="Y330" s="274"/>
      <c r="Z330" s="275"/>
      <c r="AA330" s="274"/>
      <c r="AB330" s="271"/>
      <c r="AC330" s="276"/>
      <c r="AD330" s="267"/>
    </row>
    <row r="331" spans="1:30" s="268" customFormat="1" x14ac:dyDescent="0.3">
      <c r="A331" s="269"/>
      <c r="B331" s="270" t="s">
        <v>80</v>
      </c>
      <c r="C331" s="271"/>
      <c r="D331" s="272"/>
      <c r="E331" s="272"/>
      <c r="F331" s="272"/>
      <c r="G331" s="272"/>
      <c r="H331" s="272"/>
      <c r="I331" s="272"/>
      <c r="J331" s="272"/>
      <c r="K331" s="272"/>
      <c r="L331" s="272"/>
      <c r="M331" s="272"/>
      <c r="N331" s="272"/>
      <c r="O331" s="272"/>
      <c r="P331" s="272"/>
      <c r="Q331" s="272"/>
      <c r="R331" s="272"/>
      <c r="S331" s="272"/>
      <c r="T331" s="272"/>
      <c r="U331" s="272"/>
      <c r="V331" s="272"/>
      <c r="W331" s="272"/>
      <c r="X331" s="273">
        <f>SUM(X324:X330)</f>
        <v>2</v>
      </c>
      <c r="Y331" s="274">
        <f>SUM(Y324:Y329)</f>
        <v>1</v>
      </c>
      <c r="Z331" s="275">
        <f>SUM(Z324:Z329)</f>
        <v>345</v>
      </c>
      <c r="AA331" s="274">
        <f>SUM(AA324:AA330)</f>
        <v>1</v>
      </c>
      <c r="AB331" s="271"/>
      <c r="AC331" s="276"/>
      <c r="AD331" s="267"/>
    </row>
    <row r="332" spans="1:30" x14ac:dyDescent="0.3">
      <c r="A332" s="7"/>
      <c r="B332" s="102"/>
      <c r="C332" s="102"/>
      <c r="D332" s="208"/>
      <c r="E332" s="208"/>
      <c r="F332" s="208"/>
      <c r="G332" s="208"/>
      <c r="H332" s="208"/>
      <c r="I332" s="208"/>
      <c r="J332" s="208"/>
      <c r="K332" s="208"/>
      <c r="L332" s="208"/>
      <c r="M332" s="208"/>
      <c r="N332" s="208"/>
      <c r="O332" s="208"/>
      <c r="P332" s="208"/>
      <c r="Q332" s="208"/>
      <c r="R332" s="208"/>
      <c r="S332" s="208"/>
      <c r="T332" s="208"/>
      <c r="U332" s="208"/>
      <c r="V332" s="208"/>
      <c r="W332" s="208"/>
      <c r="X332" s="103"/>
      <c r="Y332" s="209"/>
      <c r="Z332" s="210"/>
      <c r="AA332" s="209"/>
      <c r="AB332" s="102"/>
      <c r="AC332" s="10"/>
      <c r="AD332" s="5"/>
    </row>
    <row r="333" spans="1:30" x14ac:dyDescent="0.3">
      <c r="A333" s="33"/>
      <c r="B333" s="105" t="s">
        <v>106</v>
      </c>
      <c r="C333" s="34"/>
      <c r="D333" s="211"/>
      <c r="E333" s="211"/>
      <c r="F333" s="211"/>
      <c r="G333" s="211"/>
      <c r="H333" s="211"/>
      <c r="I333" s="211"/>
      <c r="J333" s="211"/>
      <c r="K333" s="211"/>
      <c r="L333" s="211"/>
      <c r="M333" s="211"/>
      <c r="N333" s="211"/>
      <c r="O333" s="211"/>
      <c r="P333" s="211"/>
      <c r="Q333" s="211"/>
      <c r="R333" s="211"/>
      <c r="S333" s="211"/>
      <c r="T333" s="211"/>
      <c r="U333" s="211"/>
      <c r="V333" s="211"/>
      <c r="W333" s="211"/>
      <c r="X333" s="157" t="s">
        <v>69</v>
      </c>
      <c r="Y333" s="106" t="s">
        <v>70</v>
      </c>
      <c r="Z333" s="157" t="s">
        <v>75</v>
      </c>
      <c r="AA333" s="106" t="s">
        <v>70</v>
      </c>
      <c r="AB333" s="34"/>
      <c r="AC333" s="37"/>
      <c r="AD333" s="5"/>
    </row>
    <row r="334" spans="1:30" s="23" customFormat="1" x14ac:dyDescent="0.3">
      <c r="A334" s="18"/>
      <c r="B334" s="109" t="s">
        <v>59</v>
      </c>
      <c r="C334" s="38"/>
      <c r="D334" s="212"/>
      <c r="E334" s="212"/>
      <c r="F334" s="212"/>
      <c r="G334" s="212"/>
      <c r="H334" s="212"/>
      <c r="I334" s="212"/>
      <c r="J334" s="212"/>
      <c r="K334" s="212"/>
      <c r="L334" s="212"/>
      <c r="M334" s="212"/>
      <c r="N334" s="212"/>
      <c r="O334" s="212"/>
      <c r="P334" s="212"/>
      <c r="Q334" s="212"/>
      <c r="R334" s="212"/>
      <c r="S334" s="212"/>
      <c r="T334" s="212"/>
      <c r="U334" s="212"/>
      <c r="V334" s="212"/>
      <c r="W334" s="212"/>
      <c r="X334" s="109">
        <v>0</v>
      </c>
      <c r="Y334" s="195">
        <v>0</v>
      </c>
      <c r="Z334" s="110">
        <v>0</v>
      </c>
      <c r="AA334" s="195">
        <v>0</v>
      </c>
      <c r="AB334" s="38"/>
      <c r="AC334" s="21"/>
      <c r="AD334" s="22"/>
    </row>
    <row r="335" spans="1:30" s="23" customFormat="1" x14ac:dyDescent="0.3">
      <c r="A335" s="48"/>
      <c r="B335" s="100" t="s">
        <v>60</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61</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100</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101</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102</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103</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t="s">
        <v>104</v>
      </c>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v>0</v>
      </c>
      <c r="Y341" s="201">
        <v>0</v>
      </c>
      <c r="Z341" s="101">
        <v>0</v>
      </c>
      <c r="AA341" s="201">
        <v>0</v>
      </c>
      <c r="AB341" s="41"/>
      <c r="AC341" s="44"/>
      <c r="AD341" s="22"/>
    </row>
    <row r="342" spans="1:30" s="23" customFormat="1" x14ac:dyDescent="0.3">
      <c r="A342" s="48"/>
      <c r="B342" s="100"/>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c r="Y342" s="201"/>
      <c r="Z342" s="101"/>
      <c r="AA342" s="201"/>
      <c r="AB342" s="41"/>
      <c r="AC342" s="44"/>
      <c r="AD342" s="22"/>
    </row>
    <row r="343" spans="1:30" s="23" customFormat="1" x14ac:dyDescent="0.3">
      <c r="A343" s="48"/>
      <c r="B343" s="41" t="s">
        <v>80</v>
      </c>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f>SUM(X334:X341)</f>
        <v>0</v>
      </c>
      <c r="Y343" s="201">
        <f>SUM(Y334:Y341)</f>
        <v>0</v>
      </c>
      <c r="Z343" s="101">
        <f>SUM(Z334:Z341)</f>
        <v>0</v>
      </c>
      <c r="AA343" s="201">
        <f>SUM(AA334:AA341)</f>
        <v>0</v>
      </c>
      <c r="AB343" s="41"/>
      <c r="AC343" s="44"/>
      <c r="AD343" s="22"/>
    </row>
    <row r="344" spans="1:30" s="23" customFormat="1" x14ac:dyDescent="0.3">
      <c r="A344" s="48"/>
      <c r="B344" s="41"/>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100"/>
      <c r="Y344" s="201"/>
      <c r="Z344" s="101"/>
      <c r="AA344" s="201"/>
      <c r="AB344" s="41"/>
      <c r="AC344" s="44"/>
      <c r="AD344" s="22"/>
    </row>
    <row r="345" spans="1:30" s="23" customFormat="1" x14ac:dyDescent="0.3">
      <c r="A345" s="48"/>
      <c r="B345" s="45" t="s">
        <v>139</v>
      </c>
      <c r="C345" s="41"/>
      <c r="D345" s="207"/>
      <c r="E345" s="207"/>
      <c r="F345" s="207"/>
      <c r="G345" s="207"/>
      <c r="H345" s="207"/>
      <c r="I345" s="207"/>
      <c r="J345" s="207"/>
      <c r="K345" s="207"/>
      <c r="L345" s="207"/>
      <c r="M345" s="207"/>
      <c r="N345" s="207"/>
      <c r="O345" s="207"/>
      <c r="P345" s="207"/>
      <c r="Q345" s="207"/>
      <c r="R345" s="207"/>
      <c r="S345" s="207"/>
      <c r="T345" s="207"/>
      <c r="U345" s="207"/>
      <c r="V345" s="207"/>
      <c r="W345" s="207"/>
      <c r="X345" s="213">
        <f>X343+X321+X309</f>
        <v>2618</v>
      </c>
      <c r="Y345" s="201"/>
      <c r="Z345" s="214">
        <f>+Z343+Z321+Z309</f>
        <v>437529</v>
      </c>
      <c r="AA345" s="201"/>
      <c r="AB345" s="41"/>
      <c r="AC345" s="44"/>
      <c r="AD345" s="22"/>
    </row>
    <row r="346" spans="1:30" s="23" customFormat="1" x14ac:dyDescent="0.3">
      <c r="A346" s="48"/>
      <c r="B346" s="45" t="s">
        <v>411</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+AB63+AB64</f>
        <v>21881</v>
      </c>
      <c r="AA346" s="201"/>
      <c r="AB346" s="41"/>
      <c r="AC346" s="44"/>
      <c r="AD346" s="22"/>
    </row>
    <row r="347" spans="1:30" s="23" customFormat="1" x14ac:dyDescent="0.3">
      <c r="A347" s="48"/>
      <c r="B347" s="45" t="s">
        <v>107</v>
      </c>
      <c r="C347" s="45"/>
      <c r="D347" s="215"/>
      <c r="E347" s="215"/>
      <c r="F347" s="215"/>
      <c r="G347" s="215"/>
      <c r="H347" s="215"/>
      <c r="I347" s="215"/>
      <c r="J347" s="215"/>
      <c r="K347" s="215"/>
      <c r="L347" s="215"/>
      <c r="M347" s="215"/>
      <c r="N347" s="215"/>
      <c r="O347" s="215"/>
      <c r="P347" s="215"/>
      <c r="Q347" s="215"/>
      <c r="R347" s="215"/>
      <c r="S347" s="215"/>
      <c r="T347" s="215"/>
      <c r="U347" s="215"/>
      <c r="V347" s="215"/>
      <c r="W347" s="215"/>
      <c r="X347" s="213"/>
      <c r="Y347" s="216"/>
      <c r="Z347" s="214">
        <f>+Z345+Z346</f>
        <v>459410</v>
      </c>
      <c r="AA347" s="201"/>
      <c r="AB347" s="41"/>
      <c r="AC347" s="44"/>
      <c r="AD347" s="22"/>
    </row>
    <row r="348" spans="1:30" s="23" customFormat="1" x14ac:dyDescent="0.3">
      <c r="A348" s="48"/>
      <c r="B348" s="45" t="s">
        <v>275</v>
      </c>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f>+AB66</f>
        <v>459410</v>
      </c>
      <c r="AA348" s="201"/>
      <c r="AB348" s="41"/>
      <c r="AC348" s="44"/>
      <c r="AD348" s="22"/>
    </row>
    <row r="349" spans="1:30" s="23" customFormat="1" x14ac:dyDescent="0.3">
      <c r="A349" s="48"/>
      <c r="B349" s="45"/>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14"/>
      <c r="AA349" s="201"/>
      <c r="AB349" s="41"/>
      <c r="AC349" s="44"/>
      <c r="AD349" s="22"/>
    </row>
    <row r="350" spans="1:30" s="23" customFormat="1" x14ac:dyDescent="0.3">
      <c r="A350" s="48"/>
      <c r="B350" s="45" t="s">
        <v>318</v>
      </c>
      <c r="C350" s="41"/>
      <c r="D350" s="207"/>
      <c r="E350" s="207"/>
      <c r="F350" s="207"/>
      <c r="G350" s="207"/>
      <c r="H350" s="207"/>
      <c r="I350" s="207"/>
      <c r="J350" s="207"/>
      <c r="K350" s="207"/>
      <c r="L350" s="207"/>
      <c r="M350" s="207"/>
      <c r="N350" s="207"/>
      <c r="O350" s="207"/>
      <c r="P350" s="207"/>
      <c r="Q350" s="207"/>
      <c r="R350" s="207"/>
      <c r="S350" s="207"/>
      <c r="T350" s="207"/>
      <c r="U350" s="207"/>
      <c r="V350" s="207"/>
      <c r="W350" s="207"/>
      <c r="X350" s="213"/>
      <c r="Y350" s="201"/>
      <c r="Z350" s="239">
        <f>(D30*0.375+F30*0.05+H30*0.05+J30+L30)/AB30</f>
        <v>0.38769018959099716</v>
      </c>
      <c r="AA350" s="201"/>
      <c r="AB350" s="41"/>
      <c r="AC350" s="44"/>
      <c r="AD350" s="22"/>
    </row>
    <row r="351" spans="1:30" s="23" customFormat="1" x14ac:dyDescent="0.3">
      <c r="A351" s="18"/>
      <c r="B351" s="20"/>
      <c r="C351" s="20"/>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8"/>
      <c r="AA351" s="217"/>
      <c r="AB351" s="20"/>
      <c r="AC351" s="21"/>
      <c r="AD351" s="22"/>
    </row>
    <row r="352" spans="1:30" s="23" customFormat="1" x14ac:dyDescent="0.3">
      <c r="A352" s="18"/>
      <c r="B352" s="19" t="s">
        <v>62</v>
      </c>
      <c r="C352" s="20"/>
      <c r="D352" s="219" t="s">
        <v>66</v>
      </c>
      <c r="E352" s="19"/>
      <c r="F352" s="19" t="s">
        <v>67</v>
      </c>
      <c r="G352" s="20"/>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152</v>
      </c>
      <c r="C354" s="19"/>
      <c r="D354" s="220" t="s">
        <v>122</v>
      </c>
      <c r="E354" s="19"/>
      <c r="F354" s="19" t="s">
        <v>170</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t="s">
        <v>153</v>
      </c>
      <c r="C355" s="19"/>
      <c r="D355" s="220" t="s">
        <v>98</v>
      </c>
      <c r="E355" s="19"/>
      <c r="F355" s="19" t="s">
        <v>171</v>
      </c>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19"/>
      <c r="C356" s="19"/>
      <c r="D356" s="220"/>
      <c r="E356" s="19"/>
      <c r="F356" s="19"/>
      <c r="G356" s="19"/>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56"/>
      <c r="C357" s="256"/>
      <c r="D357" s="256"/>
      <c r="E357" s="256"/>
      <c r="F357" s="257"/>
      <c r="G357" s="256"/>
      <c r="H357" s="258"/>
      <c r="I357" s="255"/>
      <c r="J357" s="255"/>
      <c r="K357" s="255"/>
      <c r="L357" s="255"/>
      <c r="M357" s="255"/>
      <c r="N357" s="255"/>
      <c r="O357" s="255"/>
      <c r="P357" s="255"/>
      <c r="Q357" s="20"/>
      <c r="R357" s="20"/>
      <c r="S357" s="20"/>
      <c r="T357" s="20"/>
      <c r="U357" s="20"/>
      <c r="V357" s="20"/>
      <c r="W357" s="20"/>
      <c r="X357" s="20"/>
      <c r="Y357" s="20"/>
      <c r="Z357" s="20"/>
      <c r="AA357" s="20"/>
      <c r="AB357" s="20"/>
      <c r="AC357" s="21"/>
      <c r="AD357" s="22"/>
    </row>
    <row r="358" spans="1:30" s="23" customFormat="1" ht="18" x14ac:dyDescent="0.35">
      <c r="A358" s="18"/>
      <c r="B358" s="259" t="s">
        <v>109</v>
      </c>
      <c r="C358" s="256"/>
      <c r="D358" s="256"/>
      <c r="E358" s="256"/>
      <c r="F358" s="257"/>
      <c r="G358" s="256"/>
      <c r="H358" s="258"/>
      <c r="I358" s="255"/>
      <c r="J358" s="255"/>
      <c r="K358" s="255"/>
      <c r="L358" s="255"/>
      <c r="M358" s="255"/>
      <c r="N358" s="255"/>
      <c r="O358" s="255"/>
      <c r="P358" s="260" t="s">
        <v>169</v>
      </c>
      <c r="Q358" s="20"/>
      <c r="R358" s="20"/>
      <c r="S358" s="20"/>
      <c r="T358" s="20"/>
      <c r="U358" s="20"/>
      <c r="V358" s="20"/>
      <c r="W358" s="20"/>
      <c r="X358" s="20"/>
      <c r="Y358" s="20"/>
      <c r="Z358" s="20"/>
      <c r="AA358" s="20"/>
      <c r="AB358" s="20"/>
      <c r="AC358" s="21"/>
      <c r="AD358" s="22"/>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x14ac:dyDescent="0.3">
      <c r="A360" s="221"/>
      <c r="B360" s="222"/>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4"/>
      <c r="AD360" s="5"/>
    </row>
    <row r="361" spans="1:30" ht="18.600000000000001" thickBot="1" x14ac:dyDescent="0.4">
      <c r="A361" s="221"/>
      <c r="B361" s="225" t="str">
        <f>B245</f>
        <v>PM25 INVESTOR REPORT QUARTER ENDING OCTOBER 2022</v>
      </c>
      <c r="C361" s="222"/>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6"/>
      <c r="AD361" s="5"/>
    </row>
    <row r="362" spans="1:30"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row>
    <row r="363" spans="1:30" x14ac:dyDescent="0.3">
      <c r="B363" s="280" t="s">
        <v>334</v>
      </c>
    </row>
    <row r="364" spans="1:30" x14ac:dyDescent="0.3">
      <c r="B364" s="264"/>
    </row>
    <row r="365" spans="1:30" x14ac:dyDescent="0.3">
      <c r="B365" s="301" t="s">
        <v>379</v>
      </c>
    </row>
    <row r="366" spans="1:30" x14ac:dyDescent="0.3">
      <c r="B366" s="302" t="s">
        <v>366</v>
      </c>
    </row>
    <row r="367" spans="1:30" x14ac:dyDescent="0.3">
      <c r="B367" s="299"/>
    </row>
    <row r="368" spans="1:30" x14ac:dyDescent="0.3">
      <c r="B368" s="264" t="s">
        <v>378</v>
      </c>
    </row>
    <row r="369" spans="2:2" x14ac:dyDescent="0.3">
      <c r="B369" s="302" t="s">
        <v>377</v>
      </c>
    </row>
    <row r="370" spans="2:2" x14ac:dyDescent="0.3">
      <c r="B370" s="302"/>
    </row>
    <row r="371" spans="2:2" x14ac:dyDescent="0.3">
      <c r="B371" s="304" t="s">
        <v>387</v>
      </c>
    </row>
    <row r="372" spans="2:2" x14ac:dyDescent="0.3">
      <c r="B372" s="303"/>
    </row>
    <row r="373" spans="2:2" x14ac:dyDescent="0.3">
      <c r="B373" s="280" t="s">
        <v>365</v>
      </c>
    </row>
    <row r="374" spans="2:2" x14ac:dyDescent="0.3">
      <c r="B374" s="264" t="s">
        <v>368</v>
      </c>
    </row>
    <row r="375" spans="2:2" x14ac:dyDescent="0.3">
      <c r="B375" s="302" t="s">
        <v>367</v>
      </c>
    </row>
  </sheetData>
  <hyperlinks>
    <hyperlink ref="X285" r:id="rId1" display="http://www.paragon-group.co.uk" xr:uid="{A98615D6-6CC8-4997-8A60-98694DD092F4}"/>
    <hyperlink ref="K9" r:id="rId2" display="http://www.paragon-group.co.uk" xr:uid="{AEB9682B-645D-4374-AFBB-DDDB1B669903}"/>
    <hyperlink ref="P358" r:id="rId3" xr:uid="{1B7BEDB4-0710-487D-A97B-B0B59A8A1BCE}"/>
    <hyperlink ref="B366" r:id="rId4" display="https://www.londonstockexchange.com/news-article/41YH/notice-of-base-rate-modification/15064143" xr:uid="{60130319-E748-4455-9C57-556F72F8A26B}"/>
    <hyperlink ref="B375" r:id="rId5" display="https://investorreporting.paragonbankinggroup.co.uk/bondinvestor_viewer/resources/bondinvestor/pdf/investornews/2021/libor-mortgages-transition-july-19" xr:uid="{2D31F49B-8355-4F4B-85D4-8A285546AA0B}"/>
    <hyperlink ref="B369" r:id="rId6" xr:uid="{D9A30D15-F0D2-49F2-946E-596E47C1AD33}"/>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5" max="18" man="1"/>
  </rowBreaks>
  <colBreaks count="1" manualBreakCount="1">
    <brk id="29" max="299" man="1"/>
  </colBreaks>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6A1A6-702A-42DB-9869-1162BC1D02AB}">
  <sheetPr>
    <tabColor rgb="FF89CB31"/>
  </sheetPr>
  <dimension ref="A1:JB375"/>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308"/>
      <c r="K18" s="20"/>
      <c r="L18" s="308"/>
      <c r="M18" s="20"/>
      <c r="N18" s="20"/>
      <c r="O18" s="20"/>
      <c r="P18" s="20"/>
      <c r="Q18" s="20"/>
      <c r="R18" s="20"/>
      <c r="S18" s="20"/>
      <c r="T18" s="20"/>
      <c r="U18" s="20"/>
      <c r="V18" s="20"/>
      <c r="W18" s="20"/>
      <c r="X18" s="20"/>
      <c r="Y18" s="20"/>
      <c r="Z18" s="20"/>
      <c r="AA18" s="20"/>
      <c r="AB18" s="229">
        <v>44979</v>
      </c>
      <c r="AC18" s="21"/>
      <c r="AD18" s="22"/>
    </row>
    <row r="19" spans="1:33" s="23" customFormat="1" x14ac:dyDescent="0.3">
      <c r="A19" s="18"/>
      <c r="B19" s="20"/>
      <c r="C19" s="20"/>
      <c r="D19" s="309"/>
      <c r="E19" s="309"/>
      <c r="F19" s="309"/>
      <c r="G19" s="309"/>
      <c r="H19" s="309"/>
      <c r="I19" s="20"/>
      <c r="J19" s="20"/>
      <c r="K19" s="20"/>
      <c r="L19" s="20"/>
      <c r="M19" s="20"/>
      <c r="N19" s="309"/>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407</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+AB139+AB150+AB194+AB211</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353562</v>
      </c>
      <c r="E29" s="55"/>
      <c r="F29" s="55">
        <f t="shared" ref="F29:L29" si="0">F28*F32</f>
        <v>33500</v>
      </c>
      <c r="G29" s="55"/>
      <c r="H29" s="55">
        <f t="shared" si="0"/>
        <v>30000</v>
      </c>
      <c r="I29" s="55"/>
      <c r="J29" s="55">
        <f t="shared" si="0"/>
        <v>24700</v>
      </c>
      <c r="K29" s="55"/>
      <c r="L29" s="55">
        <f t="shared" si="0"/>
        <v>17648</v>
      </c>
      <c r="M29" s="55"/>
      <c r="N29" s="55">
        <f>N28*N32</f>
        <v>7136.7605100000001</v>
      </c>
      <c r="O29" s="55"/>
      <c r="P29" s="55">
        <v>0</v>
      </c>
      <c r="Q29" s="55"/>
      <c r="R29" s="55" t="s">
        <v>83</v>
      </c>
      <c r="S29" s="55"/>
      <c r="T29" s="55" t="s">
        <v>83</v>
      </c>
      <c r="U29" s="55"/>
      <c r="V29" s="55" t="s">
        <v>83</v>
      </c>
      <c r="W29" s="51"/>
      <c r="X29" s="55" t="s">
        <v>83</v>
      </c>
      <c r="Y29" s="51"/>
      <c r="Z29" s="51"/>
      <c r="AA29" s="50"/>
      <c r="AB29" s="51">
        <f>SUM(D29:L29)</f>
        <v>459410</v>
      </c>
      <c r="AC29" s="52"/>
      <c r="AD29" s="22"/>
    </row>
    <row r="30" spans="1:33" s="23" customFormat="1" x14ac:dyDescent="0.3">
      <c r="A30" s="48"/>
      <c r="B30" s="45" t="s">
        <v>92</v>
      </c>
      <c r="C30" s="50"/>
      <c r="D30" s="58">
        <f>D28*D31</f>
        <v>303948</v>
      </c>
      <c r="E30" s="58"/>
      <c r="F30" s="58">
        <f>F28</f>
        <v>33500</v>
      </c>
      <c r="G30" s="58"/>
      <c r="H30" s="58">
        <f>H28</f>
        <v>30000</v>
      </c>
      <c r="I30" s="58"/>
      <c r="J30" s="58">
        <f>J28</f>
        <v>24700</v>
      </c>
      <c r="K30" s="58"/>
      <c r="L30" s="58">
        <f>L28</f>
        <v>17648</v>
      </c>
      <c r="M30" s="58"/>
      <c r="N30" s="58">
        <f>N28*N31</f>
        <v>6626.4379500000005</v>
      </c>
      <c r="O30" s="58"/>
      <c r="P30" s="58">
        <v>0</v>
      </c>
      <c r="Q30" s="58"/>
      <c r="R30" s="58" t="s">
        <v>83</v>
      </c>
      <c r="S30" s="58"/>
      <c r="T30" s="58" t="s">
        <v>83</v>
      </c>
      <c r="U30" s="58"/>
      <c r="V30" s="58" t="s">
        <v>83</v>
      </c>
      <c r="W30" s="57"/>
      <c r="X30" s="58" t="s">
        <v>83</v>
      </c>
      <c r="Y30" s="51"/>
      <c r="Z30" s="51"/>
      <c r="AA30" s="50"/>
      <c r="AB30" s="57">
        <f>SUM(D30:L30)</f>
        <v>409796</v>
      </c>
      <c r="AC30" s="52"/>
      <c r="AD30" s="22"/>
      <c r="AE30" s="238"/>
    </row>
    <row r="31" spans="1:33" s="67" customFormat="1" x14ac:dyDescent="0.3">
      <c r="A31" s="59"/>
      <c r="B31" s="169" t="s">
        <v>88</v>
      </c>
      <c r="C31" s="63"/>
      <c r="D31" s="61">
        <v>0.50658000000000003</v>
      </c>
      <c r="E31" s="61"/>
      <c r="F31" s="61">
        <v>1</v>
      </c>
      <c r="G31" s="61"/>
      <c r="H31" s="61">
        <v>1</v>
      </c>
      <c r="I31" s="61"/>
      <c r="J31" s="61">
        <v>1</v>
      </c>
      <c r="K31" s="61"/>
      <c r="L31" s="61">
        <v>1</v>
      </c>
      <c r="M31" s="61"/>
      <c r="N31" s="61">
        <v>0.60665000000000002</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0.58926999999999996</v>
      </c>
      <c r="E32" s="61"/>
      <c r="F32" s="61">
        <v>1</v>
      </c>
      <c r="G32" s="61"/>
      <c r="H32" s="61">
        <v>1</v>
      </c>
      <c r="I32" s="61"/>
      <c r="J32" s="61">
        <v>1</v>
      </c>
      <c r="K32" s="61"/>
      <c r="L32" s="61">
        <v>1</v>
      </c>
      <c r="M32" s="61"/>
      <c r="N32" s="61">
        <v>0.65337000000000001</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270" t="s">
        <v>404</v>
      </c>
      <c r="C33" s="41"/>
      <c r="D33" s="49" t="s">
        <v>394</v>
      </c>
      <c r="E33" s="49"/>
      <c r="F33" s="49" t="s">
        <v>395</v>
      </c>
      <c r="G33" s="49"/>
      <c r="H33" s="49" t="s">
        <v>396</v>
      </c>
      <c r="I33" s="49"/>
      <c r="J33" s="49" t="s">
        <v>397</v>
      </c>
      <c r="K33" s="49"/>
      <c r="L33" s="49" t="s">
        <v>398</v>
      </c>
      <c r="M33" s="49"/>
      <c r="N33" s="49" t="s">
        <v>399</v>
      </c>
      <c r="O33" s="49"/>
      <c r="P33" s="49" t="s">
        <v>399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4.0414699999999998E-2</v>
      </c>
      <c r="E34" s="71"/>
      <c r="F34" s="71">
        <v>4.3414700000000001E-2</v>
      </c>
      <c r="G34" s="71"/>
      <c r="H34" s="71">
        <v>4.6914699999999997E-2</v>
      </c>
      <c r="I34" s="71"/>
      <c r="J34" s="71">
        <v>4.9914699999999999E-2</v>
      </c>
      <c r="K34" s="71"/>
      <c r="L34" s="71">
        <v>5.9914700000000001E-2</v>
      </c>
      <c r="M34" s="71"/>
      <c r="N34" s="71">
        <v>7.39147E-2</v>
      </c>
      <c r="O34" s="71"/>
      <c r="P34" s="71">
        <v>7.39147E-2</v>
      </c>
      <c r="Q34" s="71"/>
      <c r="R34" s="71" t="s">
        <v>83</v>
      </c>
      <c r="S34" s="71"/>
      <c r="T34" s="71" t="s">
        <v>83</v>
      </c>
      <c r="U34" s="71"/>
      <c r="V34" s="71" t="s">
        <v>83</v>
      </c>
      <c r="W34" s="70"/>
      <c r="X34" s="71" t="s">
        <v>83</v>
      </c>
      <c r="Y34" s="49"/>
      <c r="Z34" s="49"/>
      <c r="AA34" s="41"/>
      <c r="AB34" s="70">
        <f>SUMPRODUCT(D34:L34,D29:L29)/AB29</f>
        <v>4.2317762623800097E-2</v>
      </c>
      <c r="AC34" s="44"/>
      <c r="AD34" s="22"/>
    </row>
    <row r="35" spans="1:30" s="23" customFormat="1" x14ac:dyDescent="0.3">
      <c r="A35" s="48"/>
      <c r="B35" s="41" t="s">
        <v>10</v>
      </c>
      <c r="C35" s="72"/>
      <c r="D35" s="71">
        <v>2.75836E-2</v>
      </c>
      <c r="E35" s="71"/>
      <c r="F35" s="71">
        <v>3.0583599999999999E-2</v>
      </c>
      <c r="G35" s="71"/>
      <c r="H35" s="71">
        <v>3.4083599999999999E-2</v>
      </c>
      <c r="I35" s="71"/>
      <c r="J35" s="71">
        <v>3.7083600000000001E-2</v>
      </c>
      <c r="K35" s="71"/>
      <c r="L35" s="71">
        <v>4.7083600000000003E-2</v>
      </c>
      <c r="M35" s="71"/>
      <c r="N35" s="71">
        <v>6.1083600000000002E-2</v>
      </c>
      <c r="O35" s="71"/>
      <c r="P35" s="71">
        <v>6.1083600000000002E-2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270" t="s">
        <v>405</v>
      </c>
      <c r="C38" s="41"/>
      <c r="D38" s="49" t="s">
        <v>400</v>
      </c>
      <c r="E38" s="49"/>
      <c r="F38" s="49" t="s">
        <v>401</v>
      </c>
      <c r="G38" s="49"/>
      <c r="H38" s="49" t="s">
        <v>402</v>
      </c>
      <c r="I38" s="49"/>
      <c r="J38" s="49" t="s">
        <v>403</v>
      </c>
      <c r="K38" s="49"/>
      <c r="L38" s="49" t="s">
        <v>398</v>
      </c>
      <c r="M38" s="49"/>
      <c r="N38" s="49" t="s">
        <v>399</v>
      </c>
      <c r="O38" s="49"/>
      <c r="P38" s="49" t="s">
        <v>399</v>
      </c>
      <c r="Q38" s="49"/>
      <c r="R38" s="49" t="s">
        <v>83</v>
      </c>
      <c r="S38" s="49"/>
      <c r="T38" s="49" t="s">
        <v>83</v>
      </c>
      <c r="U38" s="49"/>
      <c r="V38" s="49" t="s">
        <v>83</v>
      </c>
      <c r="W38" s="49"/>
      <c r="X38" s="49" t="s">
        <v>83</v>
      </c>
      <c r="Y38" s="73"/>
      <c r="Z38" s="73"/>
      <c r="AA38" s="73"/>
      <c r="AB38" s="73"/>
      <c r="AC38" s="44"/>
      <c r="AD38" s="22"/>
    </row>
    <row r="39" spans="1:30" s="23" customFormat="1" x14ac:dyDescent="0.3">
      <c r="A39" s="48"/>
      <c r="B39" s="270" t="s">
        <v>406</v>
      </c>
      <c r="C39" s="41"/>
      <c r="D39" s="49" t="s">
        <v>400</v>
      </c>
      <c r="E39" s="49"/>
      <c r="F39" s="49" t="s">
        <v>401</v>
      </c>
      <c r="G39" s="49"/>
      <c r="H39" s="49" t="s">
        <v>402</v>
      </c>
      <c r="I39" s="49"/>
      <c r="J39" s="49" t="s">
        <v>403</v>
      </c>
      <c r="K39" s="49"/>
      <c r="L39" s="49" t="s">
        <v>398</v>
      </c>
      <c r="M39" s="49"/>
      <c r="N39" s="49" t="s">
        <v>399</v>
      </c>
      <c r="O39" s="49"/>
      <c r="P39" s="49" t="s">
        <v>399</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0.34824377854106625</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44972</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44788</v>
      </c>
      <c r="AA47" s="80"/>
      <c r="AB47" s="79">
        <v>44879</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44880</v>
      </c>
      <c r="AA48" s="80"/>
      <c r="AB48" s="79">
        <v>44971</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44971</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414</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437529</v>
      </c>
      <c r="S57" s="241"/>
      <c r="T57" s="240">
        <f>339+110</f>
        <v>449</v>
      </c>
      <c r="U57" s="241"/>
      <c r="V57" s="241">
        <v>27285</v>
      </c>
      <c r="W57" s="241"/>
      <c r="X57" s="241">
        <v>0</v>
      </c>
      <c r="Y57" s="241"/>
      <c r="Z57" s="241">
        <v>0</v>
      </c>
      <c r="AA57" s="241"/>
      <c r="AB57" s="240">
        <f>R57-T57-V57+X57-Z57</f>
        <v>409795</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437529</v>
      </c>
      <c r="S60" s="241"/>
      <c r="T60" s="241">
        <f>T57+T58</f>
        <v>449</v>
      </c>
      <c r="U60" s="241"/>
      <c r="V60" s="241">
        <f>SUM(V57:V59)</f>
        <v>27285</v>
      </c>
      <c r="W60" s="241"/>
      <c r="X60" s="241">
        <f>SUM(X57:X59)</f>
        <v>0</v>
      </c>
      <c r="Y60" s="241"/>
      <c r="Z60" s="241">
        <f>SUM(Z57:Z59)</f>
        <v>0</v>
      </c>
      <c r="AA60" s="241"/>
      <c r="AB60" s="241">
        <f>SUM(AB57:AB59)</f>
        <v>409795</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21881</v>
      </c>
      <c r="S63" s="241"/>
      <c r="T63" s="241">
        <v>0</v>
      </c>
      <c r="U63" s="241"/>
      <c r="V63" s="241">
        <f>-21881+1</f>
        <v>-21880</v>
      </c>
      <c r="W63" s="241"/>
      <c r="X63" s="241"/>
      <c r="Y63" s="241"/>
      <c r="Z63" s="241"/>
      <c r="AA63" s="241"/>
      <c r="AB63" s="241">
        <f>+R63+V63</f>
        <v>1</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459410</v>
      </c>
      <c r="S66" s="241"/>
      <c r="T66" s="241"/>
      <c r="U66" s="241"/>
      <c r="V66" s="241"/>
      <c r="W66" s="241"/>
      <c r="X66" s="241"/>
      <c r="Y66" s="241"/>
      <c r="Z66" s="241"/>
      <c r="AA66" s="241"/>
      <c r="AB66" s="241">
        <f>SUM(AB60:AB65)</f>
        <v>409796</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+Z246</f>
        <v>44957</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21881</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+T57+V57+Z57-68</f>
        <v>27666</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1372+5364-322-978</f>
        <v>5436</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116+108</f>
        <v>224</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278</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510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412</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546</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3766</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49547</v>
      </c>
      <c r="AA85" s="41"/>
      <c r="AB85" s="100">
        <f>SUM(AB70:AB84)</f>
        <v>10760</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49547</v>
      </c>
      <c r="AA88" s="41"/>
      <c r="AB88" s="100">
        <f>AB85+AB86+AB87</f>
        <v>10760</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-221-23-7</f>
        <v>-251</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1206</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-3600</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-366</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1"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-355</v>
      </c>
      <c r="AC97" s="117"/>
      <c r="AD97" s="5"/>
    </row>
    <row r="98" spans="1:31"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-311</v>
      </c>
      <c r="AC98" s="117"/>
      <c r="AD98" s="5"/>
    </row>
    <row r="99" spans="1:31"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1"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1"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68</v>
      </c>
      <c r="AA101" s="115"/>
      <c r="AB101" s="101">
        <v>-68</v>
      </c>
      <c r="AC101" s="117"/>
      <c r="AD101" s="5"/>
    </row>
    <row r="102" spans="1:31"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1"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-3500</v>
      </c>
      <c r="AC103" s="117"/>
      <c r="AD103" s="5"/>
    </row>
    <row r="104" spans="1:31"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c r="AE104" s="300"/>
    </row>
    <row r="105" spans="1:31"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c r="AE105" s="300"/>
    </row>
    <row r="106" spans="1:31"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1"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-266</v>
      </c>
      <c r="AC107" s="117"/>
      <c r="AD107" s="5"/>
    </row>
    <row r="108" spans="1:31"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-133</v>
      </c>
      <c r="AC108" s="117"/>
      <c r="AD108" s="5"/>
    </row>
    <row r="109" spans="1:31"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-510</v>
      </c>
      <c r="AC109" s="117"/>
      <c r="AD109" s="5"/>
    </row>
    <row r="110" spans="1:31"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1"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1"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-7-156</f>
        <v>-163</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-2416</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0</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-49614</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-49614</v>
      </c>
      <c r="AA131" s="100"/>
      <c r="AB131" s="100">
        <f>SUM(AB89:AB129)</f>
        <v>-10760</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1</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JANUARY 2023</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+'October 22 '!AB147</f>
        <v>6315.5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-510</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5805.5</v>
      </c>
      <c r="AC147" s="44"/>
      <c r="AD147" s="22"/>
      <c r="AE147" s="118"/>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+'October 22 '!AB160</f>
        <v>820.5</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307"/>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+'October 22 '!AB166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68</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68</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-68</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+'October 22 '!AB182+'October 22 '!Z132</f>
        <v>21881</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-Z71+Z70</f>
        <v>-21881</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-Z131-13236</f>
        <v>36378</v>
      </c>
      <c r="AC180" s="44"/>
      <c r="AD180" s="22"/>
      <c r="AE180" s="118"/>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240">
        <v>36378</v>
      </c>
      <c r="AC181" s="310"/>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240">
        <f>AB178+AB179+AB180-AB181</f>
        <v>0</v>
      </c>
      <c r="AC182" s="44"/>
      <c r="AD182" s="22"/>
      <c r="AE182" s="118"/>
    </row>
    <row r="183" spans="1:262" ht="16.2" thickBot="1" x14ac:dyDescent="0.35">
      <c r="A183" s="7"/>
      <c r="B183" s="41" t="s">
        <v>388</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306">
        <f>+AB182/AB57</f>
        <v>0</v>
      </c>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+'October 22 '!AB190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60" t="s">
        <v>415</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240">
        <f>AB196+AB205</f>
        <v>546</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413</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546</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+'October 22 '!AB198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300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+'October 22 '!AB207</f>
        <v>2780</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240">
        <f>AB213</f>
        <v>4472</v>
      </c>
      <c r="AC204" s="310"/>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410</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240">
        <v>246</v>
      </c>
      <c r="AC205" s="310"/>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257</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AB84</f>
        <v>3766</v>
      </c>
      <c r="AC206" s="44"/>
      <c r="AD206" s="22"/>
      <c r="AE206" s="118"/>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0" customFormat="1" x14ac:dyDescent="0.3">
      <c r="A207" s="48"/>
      <c r="B207" s="41" t="s">
        <v>371</v>
      </c>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240">
        <f>AB203+AB204-AB206-AB205</f>
        <v>3240</v>
      </c>
      <c r="AC207" s="44"/>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42" customFormat="1" ht="16.2" thickBot="1" x14ac:dyDescent="0.35">
      <c r="A208" s="141"/>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29"/>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7"/>
      <c r="AC209" s="4"/>
      <c r="AD209" s="5"/>
    </row>
    <row r="210" spans="1:262" s="139" customFormat="1" x14ac:dyDescent="0.3">
      <c r="A210" s="7"/>
      <c r="B210" s="128" t="s">
        <v>374</v>
      </c>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38"/>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40" customFormat="1" x14ac:dyDescent="0.3">
      <c r="A211" s="48"/>
      <c r="B211" s="41" t="s">
        <v>229</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v>300</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41" t="s">
        <v>230</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f>+'October 22 '!AB215</f>
        <v>4523</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296</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v>4472</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60" t="s">
        <v>258</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-AB103</f>
        <v>3500</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0" customFormat="1" x14ac:dyDescent="0.3">
      <c r="A215" s="48"/>
      <c r="B215" s="41" t="s">
        <v>231</v>
      </c>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101">
        <f>AB212-AB213+AB214</f>
        <v>3551</v>
      </c>
      <c r="AC215" s="44"/>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42" customFormat="1" ht="16.2" thickBot="1" x14ac:dyDescent="0.35">
      <c r="A216" s="14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29"/>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7"/>
      <c r="AC217" s="4"/>
      <c r="AD217" s="5"/>
    </row>
    <row r="218" spans="1:262" s="139" customFormat="1" x14ac:dyDescent="0.3">
      <c r="A218" s="7"/>
      <c r="B218" s="128" t="s">
        <v>266</v>
      </c>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236" t="s">
        <v>272</v>
      </c>
      <c r="Z218" s="236" t="s">
        <v>273</v>
      </c>
      <c r="AA218" s="12"/>
      <c r="AB218" s="237"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40" customFormat="1" x14ac:dyDescent="0.3">
      <c r="A219" s="48"/>
      <c r="B219" s="41" t="s">
        <v>267</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+AB28*0.16</f>
        <v>112935.68000000001</v>
      </c>
      <c r="Z219" s="73"/>
      <c r="AA219" s="41"/>
      <c r="AB219" s="101"/>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268</v>
      </c>
      <c r="C220" s="41"/>
      <c r="D220" s="41"/>
      <c r="E220" s="41"/>
      <c r="F220" s="41"/>
      <c r="G220" s="41"/>
      <c r="H220" s="41"/>
      <c r="I220" s="41"/>
      <c r="J220" s="41"/>
      <c r="K220" s="41"/>
      <c r="L220" s="41"/>
      <c r="M220" s="41"/>
      <c r="N220" s="41"/>
      <c r="O220" s="41"/>
      <c r="P220" s="41"/>
      <c r="Q220" s="41"/>
      <c r="R220" s="41"/>
      <c r="S220" s="41"/>
      <c r="T220" s="41"/>
      <c r="U220" s="41"/>
      <c r="V220" s="41"/>
      <c r="W220" s="41"/>
      <c r="X220" s="41"/>
      <c r="Y220" s="101">
        <f>+'October 22 '!Y221</f>
        <v>0</v>
      </c>
      <c r="Z220" s="101">
        <f>+'October 22 '!Z221</f>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269</v>
      </c>
      <c r="C221" s="41"/>
      <c r="D221" s="41"/>
      <c r="E221" s="41"/>
      <c r="F221" s="41"/>
      <c r="G221" s="41"/>
      <c r="H221" s="41"/>
      <c r="I221" s="41"/>
      <c r="J221" s="41"/>
      <c r="K221" s="41"/>
      <c r="L221" s="41"/>
      <c r="M221" s="41"/>
      <c r="N221" s="41"/>
      <c r="O221" s="41"/>
      <c r="P221" s="41"/>
      <c r="Q221" s="41"/>
      <c r="R221" s="41"/>
      <c r="S221" s="41"/>
      <c r="T221" s="41"/>
      <c r="U221" s="41"/>
      <c r="V221" s="41"/>
      <c r="W221" s="41"/>
      <c r="X221" s="41"/>
      <c r="Y221" s="100">
        <v>0</v>
      </c>
      <c r="Z221" s="100">
        <v>0</v>
      </c>
      <c r="AA221" s="41"/>
      <c r="AB221" s="101">
        <f>Y221+Z221</f>
        <v>0</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270</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Y220+Y221</f>
        <v>0</v>
      </c>
      <c r="Z222" s="101">
        <f>Z221+Z220</f>
        <v>0</v>
      </c>
      <c r="AA222" s="41"/>
      <c r="AB222" s="101">
        <f>Y222+Z222</f>
        <v>0</v>
      </c>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0" customFormat="1" x14ac:dyDescent="0.3">
      <c r="A223" s="48"/>
      <c r="B223" s="41" t="s">
        <v>271</v>
      </c>
      <c r="C223" s="41"/>
      <c r="D223" s="41"/>
      <c r="E223" s="41"/>
      <c r="F223" s="41"/>
      <c r="G223" s="41"/>
      <c r="H223" s="41"/>
      <c r="I223" s="41"/>
      <c r="J223" s="41"/>
      <c r="K223" s="41"/>
      <c r="L223" s="41"/>
      <c r="M223" s="41"/>
      <c r="N223" s="41"/>
      <c r="O223" s="41"/>
      <c r="P223" s="41"/>
      <c r="Q223" s="41"/>
      <c r="R223" s="41"/>
      <c r="S223" s="41"/>
      <c r="T223" s="41"/>
      <c r="U223" s="41"/>
      <c r="V223" s="41"/>
      <c r="W223" s="41"/>
      <c r="X223" s="41"/>
      <c r="Y223" s="101">
        <f>Y219-Y222-Z222</f>
        <v>112935.68000000001</v>
      </c>
      <c r="Z223" s="73"/>
      <c r="AA223" s="41"/>
      <c r="AB223" s="101"/>
      <c r="AC223" s="44"/>
      <c r="AD223" s="22"/>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row>
    <row r="224" spans="1:262" s="142" customFormat="1" ht="16.2" thickBot="1" x14ac:dyDescent="0.35">
      <c r="A224" s="141"/>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29"/>
      <c r="AC224" s="10"/>
      <c r="AD224" s="5"/>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row>
    <row r="225" spans="1:262" x14ac:dyDescent="0.3">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137"/>
      <c r="AC225" s="4"/>
      <c r="AD225" s="5"/>
    </row>
    <row r="226" spans="1:262" s="139" customFormat="1" x14ac:dyDescent="0.3">
      <c r="A226" s="7"/>
      <c r="B226" s="128" t="s">
        <v>309</v>
      </c>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236"/>
      <c r="Z226" s="236"/>
      <c r="AA226" s="12"/>
      <c r="AB226" s="237" t="s">
        <v>80</v>
      </c>
      <c r="AC226" s="10"/>
      <c r="AD226" s="5"/>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row>
    <row r="227" spans="1:262" s="140" customFormat="1" x14ac:dyDescent="0.3">
      <c r="A227" s="48"/>
      <c r="B227" s="41" t="s">
        <v>306</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73"/>
      <c r="AA227" s="41"/>
      <c r="AB227" s="101">
        <v>315900</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307</v>
      </c>
      <c r="C228" s="41"/>
      <c r="D228" s="41"/>
      <c r="E228" s="41"/>
      <c r="F228" s="41"/>
      <c r="G228" s="41"/>
      <c r="H228" s="41"/>
      <c r="I228" s="41"/>
      <c r="J228" s="41"/>
      <c r="K228" s="41"/>
      <c r="L228" s="41"/>
      <c r="M228" s="41"/>
      <c r="N228" s="41"/>
      <c r="O228" s="41"/>
      <c r="P228" s="41"/>
      <c r="Q228" s="41"/>
      <c r="R228" s="41"/>
      <c r="S228" s="41"/>
      <c r="T228" s="41"/>
      <c r="U228" s="41"/>
      <c r="V228" s="41"/>
      <c r="W228" s="41"/>
      <c r="X228" s="41"/>
      <c r="Y228" s="101"/>
      <c r="Z228" s="101"/>
      <c r="AA228" s="41"/>
      <c r="AB228" s="101">
        <v>322178</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0" customFormat="1" x14ac:dyDescent="0.3">
      <c r="A229" s="48"/>
      <c r="B229" s="41" t="s">
        <v>308</v>
      </c>
      <c r="C229" s="41"/>
      <c r="D229" s="41"/>
      <c r="E229" s="41"/>
      <c r="F229" s="41"/>
      <c r="G229" s="41"/>
      <c r="H229" s="41"/>
      <c r="I229" s="41"/>
      <c r="J229" s="41"/>
      <c r="K229" s="41"/>
      <c r="L229" s="41"/>
      <c r="M229" s="41"/>
      <c r="N229" s="41"/>
      <c r="O229" s="41"/>
      <c r="P229" s="41"/>
      <c r="Q229" s="41"/>
      <c r="R229" s="41"/>
      <c r="S229" s="41"/>
      <c r="T229" s="41"/>
      <c r="U229" s="41"/>
      <c r="V229" s="41"/>
      <c r="W229" s="41"/>
      <c r="X229" s="41"/>
      <c r="Y229" s="100"/>
      <c r="Z229" s="100"/>
      <c r="AA229" s="41"/>
      <c r="AB229" s="101">
        <f>AB227-AB228</f>
        <v>-6278</v>
      </c>
      <c r="AC229" s="44"/>
      <c r="AD229" s="22"/>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row>
    <row r="230" spans="1:262" s="142" customFormat="1" ht="16.2" thickBot="1" x14ac:dyDescent="0.35">
      <c r="A230" s="141"/>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29"/>
      <c r="AC230" s="10"/>
      <c r="AD230" s="5"/>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row>
    <row r="231" spans="1:262" x14ac:dyDescent="0.3">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137"/>
      <c r="AC231" s="4"/>
      <c r="AD231" s="5"/>
    </row>
    <row r="232" spans="1:262" x14ac:dyDescent="0.3">
      <c r="A232" s="7"/>
      <c r="B232" s="128" t="s">
        <v>39</v>
      </c>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143"/>
      <c r="AC232" s="10"/>
      <c r="AD232" s="5"/>
      <c r="AE232" s="23"/>
    </row>
    <row r="233" spans="1:262" s="23" customFormat="1" x14ac:dyDescent="0.3">
      <c r="A233" s="48"/>
      <c r="B233" s="41" t="s">
        <v>40</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f>(AB88+AB90+AB91+AB92+AB93)/-(AB94)</f>
        <v>3.2536111111111112</v>
      </c>
      <c r="AC233" s="44" t="s">
        <v>81</v>
      </c>
      <c r="AD233" s="22"/>
    </row>
    <row r="234" spans="1:262" s="23" customFormat="1" x14ac:dyDescent="0.3">
      <c r="A234" s="48"/>
      <c r="B234" s="41" t="s">
        <v>41</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v>4.25</v>
      </c>
      <c r="AC234" s="44" t="s">
        <v>81</v>
      </c>
      <c r="AD234" s="22"/>
    </row>
    <row r="235" spans="1:262" s="23" customFormat="1" x14ac:dyDescent="0.3">
      <c r="A235" s="48"/>
      <c r="B235" s="41" t="s">
        <v>144</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f>(AB88+AB90+AB91+AB92+AB93+AB94)/-(AB95)</f>
        <v>22.166666666666668</v>
      </c>
      <c r="AC235" s="44" t="s">
        <v>81</v>
      </c>
      <c r="AD235" s="22"/>
    </row>
    <row r="236" spans="1:262" s="23" customFormat="1" x14ac:dyDescent="0.3">
      <c r="A236" s="48"/>
      <c r="B236" s="41" t="s">
        <v>145</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v>39.22</v>
      </c>
      <c r="AC236" s="44" t="s">
        <v>81</v>
      </c>
      <c r="AD236" s="22"/>
    </row>
    <row r="237" spans="1:262" s="23" customFormat="1" x14ac:dyDescent="0.3">
      <c r="A237" s="48"/>
      <c r="B237" s="41" t="s">
        <v>146</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f>(AB88+AB90+AB91+AB92+AB93+AB94+AB95)/-(AB97)</f>
        <v>21.822535211267606</v>
      </c>
      <c r="AC237" s="44" t="s">
        <v>81</v>
      </c>
      <c r="AD237" s="22"/>
    </row>
    <row r="238" spans="1:262" s="23" customFormat="1" x14ac:dyDescent="0.3">
      <c r="A238" s="48"/>
      <c r="B238" s="41" t="s">
        <v>147</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v>35.43</v>
      </c>
      <c r="AC238" s="44" t="s">
        <v>81</v>
      </c>
      <c r="AD238" s="22"/>
    </row>
    <row r="239" spans="1:262" s="23" customFormat="1" x14ac:dyDescent="0.3">
      <c r="A239" s="48"/>
      <c r="B239" s="41" t="s">
        <v>184</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f>(AB88+AB90+AB91+AB92+AB93+AB94+AB95+AB97)/-(AB98)</f>
        <v>23.768488745980708</v>
      </c>
      <c r="AC239" s="44" t="s">
        <v>81</v>
      </c>
      <c r="AD239" s="22"/>
    </row>
    <row r="240" spans="1:262" s="23" customFormat="1" x14ac:dyDescent="0.3">
      <c r="A240" s="48"/>
      <c r="B240" s="41" t="s">
        <v>185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v>36.520000000000003</v>
      </c>
      <c r="AC240" s="44" t="s">
        <v>81</v>
      </c>
      <c r="AD240" s="22"/>
    </row>
    <row r="241" spans="1:30" s="23" customFormat="1" x14ac:dyDescent="0.3">
      <c r="A241" s="48"/>
      <c r="B241" s="41" t="s">
        <v>165</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f>(AB88+AB90+AB91+AB92+AB93+AB94+AB95+AB97+AB98)/-(AB107)</f>
        <v>26.6203007518797</v>
      </c>
      <c r="AC241" s="44" t="s">
        <v>81</v>
      </c>
      <c r="AD241" s="22"/>
    </row>
    <row r="242" spans="1:30" s="23" customFormat="1" x14ac:dyDescent="0.3">
      <c r="A242" s="48"/>
      <c r="B242" s="41" t="s">
        <v>166</v>
      </c>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145">
        <v>34.97</v>
      </c>
      <c r="AC242" s="44" t="s">
        <v>81</v>
      </c>
      <c r="AD242" s="22"/>
    </row>
    <row r="243" spans="1:30" s="23" customFormat="1" x14ac:dyDescent="0.3">
      <c r="A243" s="1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21"/>
      <c r="AD243" s="22"/>
    </row>
    <row r="244" spans="1:30" s="23" customFormat="1" x14ac:dyDescent="0.3">
      <c r="A244" s="18"/>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1"/>
      <c r="AD244" s="22"/>
    </row>
    <row r="245" spans="1:30" s="23" customFormat="1" ht="18.600000000000001" thickBot="1" x14ac:dyDescent="0.4">
      <c r="A245" s="86"/>
      <c r="B245" s="87" t="str">
        <f>B135</f>
        <v>PM25 INVESTOR REPORT QUARTER ENDING JANUARY 2023</v>
      </c>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90"/>
      <c r="AD245" s="22"/>
    </row>
    <row r="246" spans="1:30" x14ac:dyDescent="0.3">
      <c r="A246" s="122"/>
      <c r="B246" s="123" t="s">
        <v>42</v>
      </c>
      <c r="C246" s="146"/>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v>44957</v>
      </c>
      <c r="AA246" s="124"/>
      <c r="AB246" s="124"/>
      <c r="AC246" s="126"/>
      <c r="AD246" s="5"/>
    </row>
    <row r="247" spans="1:30" x14ac:dyDescent="0.3">
      <c r="A247" s="148"/>
      <c r="B247" s="149"/>
      <c r="C247" s="150"/>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9"/>
      <c r="AB247" s="9"/>
      <c r="AC247" s="10"/>
      <c r="AD247" s="5"/>
    </row>
    <row r="248" spans="1:30" s="23" customFormat="1" x14ac:dyDescent="0.3">
      <c r="A248" s="48"/>
      <c r="B248" s="41" t="s">
        <v>43</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3.8269999999999998E-2</v>
      </c>
      <c r="AA248" s="41"/>
      <c r="AB248" s="41"/>
      <c r="AC248" s="44"/>
      <c r="AD248" s="22"/>
    </row>
    <row r="249" spans="1:30" s="23" customFormat="1" x14ac:dyDescent="0.3">
      <c r="A249" s="48"/>
      <c r="B249" s="41" t="s">
        <v>132</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v>1.5543032113429521E-2</v>
      </c>
      <c r="AA249" s="41"/>
      <c r="AB249" s="41"/>
      <c r="AC249" s="44"/>
      <c r="AD249" s="22"/>
    </row>
    <row r="250" spans="1:30" s="23" customFormat="1" x14ac:dyDescent="0.3">
      <c r="A250" s="48"/>
      <c r="B250" s="41" t="s">
        <v>44</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f>Z248-Z249</f>
        <v>2.2726967886570477E-2</v>
      </c>
      <c r="AA250" s="41"/>
      <c r="AB250" s="41"/>
      <c r="AC250" s="44"/>
      <c r="AD250" s="22"/>
    </row>
    <row r="251" spans="1:30" s="23" customFormat="1" x14ac:dyDescent="0.3">
      <c r="A251" s="48"/>
      <c r="B251" s="41" t="s">
        <v>45</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v>4.4656239442350476E-2</v>
      </c>
      <c r="AA251" s="41"/>
      <c r="AB251" s="41"/>
      <c r="AC251" s="44"/>
      <c r="AD251" s="22"/>
    </row>
    <row r="252" spans="1:30" s="23" customFormat="1" x14ac:dyDescent="0.3">
      <c r="A252" s="48"/>
      <c r="B252" s="41" t="s">
        <v>133</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+AB34</f>
        <v>4.2317762623800097E-2</v>
      </c>
      <c r="AA252" s="41"/>
      <c r="AB252" s="41"/>
      <c r="AC252" s="44"/>
      <c r="AD252" s="22"/>
    </row>
    <row r="253" spans="1:30" s="23" customFormat="1" x14ac:dyDescent="0.3">
      <c r="A253" s="48"/>
      <c r="B253" s="41" t="s">
        <v>46</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Z251-Z252</f>
        <v>2.3384768185503793E-3</v>
      </c>
      <c r="AA253" s="41"/>
      <c r="AB253" s="41"/>
      <c r="AC253" s="44"/>
      <c r="AD253" s="22"/>
    </row>
    <row r="254" spans="1:30" s="23" customFormat="1" x14ac:dyDescent="0.3">
      <c r="A254" s="48"/>
      <c r="B254" s="41" t="s">
        <v>119</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70">
        <f>(+AB88+AB90+AB93)/R66</f>
        <v>2.6046450882653838E-2</v>
      </c>
      <c r="AA254" s="41"/>
      <c r="AB254" s="41"/>
      <c r="AC254" s="44"/>
      <c r="AD254" s="22"/>
    </row>
    <row r="255" spans="1:30" s="23" customFormat="1" x14ac:dyDescent="0.3">
      <c r="A255" s="48"/>
      <c r="B255" s="41" t="s">
        <v>112</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148</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149</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186</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167</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208</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209</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153">
        <v>54923</v>
      </c>
      <c r="AA261" s="41"/>
      <c r="AB261" s="41"/>
      <c r="AC261" s="44"/>
      <c r="AD261" s="22"/>
    </row>
    <row r="262" spans="1:30" s="23" customFormat="1" x14ac:dyDescent="0.3">
      <c r="A262" s="48"/>
      <c r="B262" s="41" t="s">
        <v>47</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18.690000000000001</v>
      </c>
      <c r="AA262" s="41" t="s">
        <v>76</v>
      </c>
      <c r="AB262" s="41"/>
      <c r="AC262" s="44"/>
      <c r="AD262" s="22"/>
    </row>
    <row r="263" spans="1:30" s="23" customFormat="1" x14ac:dyDescent="0.3">
      <c r="A263" s="48"/>
      <c r="B263" s="41" t="s">
        <v>48</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4">
        <v>14.054120933315758</v>
      </c>
      <c r="AA263" s="41" t="s">
        <v>76</v>
      </c>
      <c r="AB263" s="41"/>
      <c r="AC263" s="44"/>
      <c r="AD263" s="22"/>
    </row>
    <row r="264" spans="1:30" s="23" customFormat="1" x14ac:dyDescent="0.3">
      <c r="A264" s="48"/>
      <c r="B264" s="41" t="s">
        <v>49</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f>(+T57+V57+Z57)/(R57+R63)</f>
        <v>6.0368733810757275E-2</v>
      </c>
      <c r="AA264" s="41"/>
      <c r="AB264" s="41"/>
      <c r="AC264" s="44"/>
      <c r="AD264" s="22"/>
    </row>
    <row r="265" spans="1:30" s="23" customFormat="1" x14ac:dyDescent="0.3">
      <c r="A265" s="48"/>
      <c r="B265" s="41" t="s">
        <v>50</v>
      </c>
      <c r="C265" s="152"/>
      <c r="D265" s="76"/>
      <c r="E265" s="76"/>
      <c r="F265" s="76"/>
      <c r="G265" s="76"/>
      <c r="H265" s="76"/>
      <c r="I265" s="76"/>
      <c r="J265" s="76"/>
      <c r="K265" s="76"/>
      <c r="L265" s="76"/>
      <c r="M265" s="76"/>
      <c r="N265" s="76"/>
      <c r="O265" s="76"/>
      <c r="P265" s="76"/>
      <c r="Q265" s="76"/>
      <c r="R265" s="76"/>
      <c r="S265" s="76"/>
      <c r="T265" s="76"/>
      <c r="U265" s="76"/>
      <c r="V265" s="76"/>
      <c r="W265" s="76"/>
      <c r="X265" s="76"/>
      <c r="Y265" s="76"/>
      <c r="Z265" s="70">
        <v>0.1384</v>
      </c>
      <c r="AA265" s="41"/>
      <c r="AB265" s="41"/>
      <c r="AC265" s="44"/>
      <c r="AD265" s="22"/>
    </row>
    <row r="266" spans="1:30" x14ac:dyDescent="0.3">
      <c r="A266" s="148"/>
      <c r="B266" s="154"/>
      <c r="C266" s="154"/>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29"/>
      <c r="AA266" s="102"/>
      <c r="AB266" s="155"/>
      <c r="AC266" s="10"/>
      <c r="AD266" s="5"/>
    </row>
    <row r="267" spans="1:30" x14ac:dyDescent="0.3">
      <c r="A267" s="156"/>
      <c r="B267" s="105" t="s">
        <v>51</v>
      </c>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t="s">
        <v>69</v>
      </c>
      <c r="Z267" s="157" t="s">
        <v>74</v>
      </c>
      <c r="AA267" s="34"/>
      <c r="AB267" s="34"/>
      <c r="AC267" s="37"/>
      <c r="AD267" s="5"/>
    </row>
    <row r="268" spans="1:30" s="23" customFormat="1" x14ac:dyDescent="0.3">
      <c r="A268" s="158"/>
      <c r="B268" s="38" t="s">
        <v>52</v>
      </c>
      <c r="C268" s="10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v>0</v>
      </c>
      <c r="Z268" s="160">
        <v>0</v>
      </c>
      <c r="AA268" s="38"/>
      <c r="AB268" s="161"/>
      <c r="AC268" s="162"/>
      <c r="AD268" s="22"/>
    </row>
    <row r="269" spans="1:30" s="23" customFormat="1" x14ac:dyDescent="0.3">
      <c r="A269" s="163"/>
      <c r="B269" s="41" t="s">
        <v>97</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+X321</f>
        <v>3</v>
      </c>
      <c r="Z269" s="165">
        <f>+Z321</f>
        <v>767</v>
      </c>
      <c r="AA269" s="41"/>
      <c r="AB269" s="166"/>
      <c r="AC269" s="167"/>
      <c r="AD269" s="22"/>
    </row>
    <row r="270" spans="1:30" s="23" customFormat="1" x14ac:dyDescent="0.3">
      <c r="A270" s="163"/>
      <c r="B270" s="41" t="s">
        <v>53</v>
      </c>
      <c r="C270" s="100"/>
      <c r="D270" s="49"/>
      <c r="E270" s="49"/>
      <c r="F270" s="49"/>
      <c r="G270" s="49"/>
      <c r="H270" s="49"/>
      <c r="I270" s="49"/>
      <c r="J270" s="49"/>
      <c r="K270" s="49"/>
      <c r="L270" s="49"/>
      <c r="M270" s="49"/>
      <c r="N270" s="49"/>
      <c r="O270" s="49"/>
      <c r="P270" s="49"/>
      <c r="Q270" s="49"/>
      <c r="R270" s="49"/>
      <c r="S270" s="49"/>
      <c r="T270" s="49"/>
      <c r="U270" s="49"/>
      <c r="V270" s="49"/>
      <c r="W270" s="49"/>
      <c r="X270" s="49"/>
      <c r="Y270" s="164">
        <f>+X343</f>
        <v>0</v>
      </c>
      <c r="Z270" s="165">
        <f>+Z343</f>
        <v>0</v>
      </c>
      <c r="AA270" s="41"/>
      <c r="AB270" s="166"/>
      <c r="AC270" s="167"/>
      <c r="AD270" s="22"/>
    </row>
    <row r="271" spans="1:30" x14ac:dyDescent="0.3">
      <c r="A271" s="168"/>
      <c r="B271" s="169" t="s">
        <v>168</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Z57</f>
        <v>0</v>
      </c>
      <c r="AA271" s="60"/>
      <c r="AB271" s="171"/>
      <c r="AC271" s="172"/>
      <c r="AD271" s="5"/>
    </row>
    <row r="272" spans="1:30" x14ac:dyDescent="0.3">
      <c r="A272" s="168"/>
      <c r="B272" s="169" t="s">
        <v>302</v>
      </c>
      <c r="C272" s="170"/>
      <c r="D272" s="60"/>
      <c r="E272" s="60"/>
      <c r="F272" s="60"/>
      <c r="G272" s="60"/>
      <c r="H272" s="60"/>
      <c r="I272" s="60"/>
      <c r="J272" s="60"/>
      <c r="K272" s="60"/>
      <c r="L272" s="60"/>
      <c r="M272" s="60"/>
      <c r="N272" s="60"/>
      <c r="O272" s="60"/>
      <c r="P272" s="60"/>
      <c r="Q272" s="60"/>
      <c r="R272" s="60"/>
      <c r="S272" s="60"/>
      <c r="T272" s="60"/>
      <c r="U272" s="60"/>
      <c r="V272" s="60"/>
      <c r="W272" s="60"/>
      <c r="X272" s="60"/>
      <c r="Y272" s="115"/>
      <c r="Z272" s="165">
        <f>-Z123</f>
        <v>0</v>
      </c>
      <c r="AA272" s="60"/>
      <c r="AB272" s="171"/>
      <c r="AC272" s="172"/>
      <c r="AD272" s="5"/>
    </row>
    <row r="273" spans="1:30" x14ac:dyDescent="0.3">
      <c r="A273" s="173"/>
      <c r="B273" s="169" t="s">
        <v>54</v>
      </c>
      <c r="C273" s="174"/>
      <c r="D273" s="60"/>
      <c r="E273" s="60"/>
      <c r="F273" s="60"/>
      <c r="G273" s="60"/>
      <c r="H273" s="60"/>
      <c r="I273" s="60"/>
      <c r="J273" s="60"/>
      <c r="K273" s="60"/>
      <c r="L273" s="60"/>
      <c r="M273" s="60"/>
      <c r="N273" s="60"/>
      <c r="O273" s="60"/>
      <c r="P273" s="60"/>
      <c r="Q273" s="60"/>
      <c r="R273" s="60"/>
      <c r="S273" s="60"/>
      <c r="T273" s="60"/>
      <c r="U273" s="60"/>
      <c r="V273" s="60"/>
      <c r="W273" s="60"/>
      <c r="X273" s="60"/>
      <c r="Y273" s="115"/>
      <c r="Z273" s="175"/>
      <c r="AA273" s="60"/>
      <c r="AB273" s="171"/>
      <c r="AC273" s="176"/>
      <c r="AD273" s="5"/>
    </row>
    <row r="274" spans="1:30" s="23" customFormat="1" x14ac:dyDescent="0.3">
      <c r="A274" s="177"/>
      <c r="B274" s="41" t="s">
        <v>55</v>
      </c>
      <c r="C274" s="41"/>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AB170</f>
        <v>68</v>
      </c>
      <c r="AA274" s="41"/>
      <c r="AB274" s="166"/>
      <c r="AC274" s="178"/>
      <c r="AD274" s="22"/>
    </row>
    <row r="275" spans="1:30" s="23" customFormat="1" x14ac:dyDescent="0.3">
      <c r="A275" s="163"/>
      <c r="B275" s="41" t="s">
        <v>56</v>
      </c>
      <c r="C275" s="100"/>
      <c r="D275" s="41"/>
      <c r="E275" s="41"/>
      <c r="F275" s="41"/>
      <c r="G275" s="41"/>
      <c r="H275" s="41"/>
      <c r="I275" s="41"/>
      <c r="J275" s="41"/>
      <c r="K275" s="41"/>
      <c r="L275" s="41"/>
      <c r="M275" s="41"/>
      <c r="N275" s="41"/>
      <c r="O275" s="41"/>
      <c r="P275" s="41"/>
      <c r="Q275" s="41"/>
      <c r="R275" s="41"/>
      <c r="S275" s="41"/>
      <c r="T275" s="41"/>
      <c r="U275" s="41"/>
      <c r="V275" s="41"/>
      <c r="W275" s="41"/>
      <c r="X275" s="41"/>
      <c r="Y275" s="49"/>
      <c r="Z275" s="165">
        <f>+'October 22 '!Z275+'Jan 23'!Z274</f>
        <v>99</v>
      </c>
      <c r="AA275" s="41"/>
      <c r="AB275" s="166"/>
      <c r="AC275" s="178"/>
      <c r="AD275" s="22"/>
    </row>
    <row r="276" spans="1:30" x14ac:dyDescent="0.3">
      <c r="A276" s="173"/>
      <c r="B276" s="169" t="s">
        <v>125</v>
      </c>
      <c r="C276" s="174"/>
      <c r="D276" s="60"/>
      <c r="E276" s="60"/>
      <c r="F276" s="60"/>
      <c r="G276" s="60"/>
      <c r="H276" s="60"/>
      <c r="I276" s="60"/>
      <c r="J276" s="60"/>
      <c r="K276" s="60"/>
      <c r="L276" s="60"/>
      <c r="M276" s="60"/>
      <c r="N276" s="60"/>
      <c r="O276" s="60"/>
      <c r="P276" s="60"/>
      <c r="Q276" s="60"/>
      <c r="R276" s="60"/>
      <c r="S276" s="60"/>
      <c r="T276" s="60"/>
      <c r="U276" s="60"/>
      <c r="V276" s="60"/>
      <c r="W276" s="60"/>
      <c r="X276" s="60"/>
      <c r="Y276" s="179"/>
      <c r="Z276" s="175"/>
      <c r="AA276" s="60"/>
      <c r="AB276" s="171"/>
      <c r="AC276" s="176"/>
      <c r="AD276" s="5"/>
    </row>
    <row r="277" spans="1:30" s="23" customFormat="1" x14ac:dyDescent="0.3">
      <c r="A277" s="177"/>
      <c r="B277" s="41" t="s">
        <v>134</v>
      </c>
      <c r="C277" s="41"/>
      <c r="D277" s="41"/>
      <c r="E277" s="41"/>
      <c r="F277" s="41"/>
      <c r="G277" s="41"/>
      <c r="H277" s="41"/>
      <c r="I277" s="41"/>
      <c r="J277" s="41"/>
      <c r="K277" s="41"/>
      <c r="L277" s="41"/>
      <c r="M277" s="41"/>
      <c r="N277" s="41"/>
      <c r="O277" s="41"/>
      <c r="P277" s="41"/>
      <c r="Q277" s="41"/>
      <c r="R277" s="41"/>
      <c r="S277" s="41"/>
      <c r="T277" s="41"/>
      <c r="U277" s="41"/>
      <c r="V277" s="41"/>
      <c r="W277" s="41"/>
      <c r="X277" s="41"/>
      <c r="Y277" s="49">
        <v>0</v>
      </c>
      <c r="Z277" s="165">
        <v>0</v>
      </c>
      <c r="AA277" s="41"/>
      <c r="AB277" s="166"/>
      <c r="AC277" s="178"/>
      <c r="AD277" s="22"/>
    </row>
    <row r="278" spans="1:30" s="23" customFormat="1" x14ac:dyDescent="0.3">
      <c r="A278" s="163"/>
      <c r="B278" s="41" t="s">
        <v>57</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s="23" customFormat="1" x14ac:dyDescent="0.3">
      <c r="A279" s="163"/>
      <c r="B279" s="41" t="s">
        <v>58</v>
      </c>
      <c r="C279" s="73"/>
      <c r="D279" s="41"/>
      <c r="E279" s="41"/>
      <c r="F279" s="41"/>
      <c r="G279" s="41"/>
      <c r="H279" s="41"/>
      <c r="I279" s="41"/>
      <c r="J279" s="41"/>
      <c r="K279" s="41"/>
      <c r="L279" s="41"/>
      <c r="M279" s="41"/>
      <c r="N279" s="41"/>
      <c r="O279" s="41"/>
      <c r="P279" s="41"/>
      <c r="Q279" s="41"/>
      <c r="R279" s="41"/>
      <c r="S279" s="41"/>
      <c r="T279" s="41"/>
      <c r="U279" s="41"/>
      <c r="V279" s="41"/>
      <c r="W279" s="41"/>
      <c r="X279" s="41"/>
      <c r="Y279" s="41"/>
      <c r="Z279" s="180">
        <v>0</v>
      </c>
      <c r="AA279" s="41"/>
      <c r="AB279" s="166"/>
      <c r="AC279" s="178"/>
      <c r="AD279" s="22"/>
    </row>
    <row r="280" spans="1:30" x14ac:dyDescent="0.3">
      <c r="A280" s="168"/>
      <c r="B280" s="169" t="s">
        <v>116</v>
      </c>
      <c r="C280" s="181"/>
      <c r="D280" s="60"/>
      <c r="E280" s="60"/>
      <c r="F280" s="60"/>
      <c r="G280" s="60"/>
      <c r="H280" s="60"/>
      <c r="I280" s="60"/>
      <c r="J280" s="60"/>
      <c r="K280" s="60"/>
      <c r="L280" s="60"/>
      <c r="M280" s="60"/>
      <c r="N280" s="60"/>
      <c r="O280" s="60"/>
      <c r="P280" s="60"/>
      <c r="Q280" s="60"/>
      <c r="R280" s="60"/>
      <c r="S280" s="60"/>
      <c r="T280" s="60"/>
      <c r="U280" s="60"/>
      <c r="V280" s="60"/>
      <c r="W280" s="60"/>
      <c r="X280" s="60"/>
      <c r="Y280" s="115"/>
      <c r="Z280" s="182"/>
      <c r="AA280" s="60"/>
      <c r="AB280" s="171"/>
      <c r="AC280" s="176"/>
      <c r="AD280" s="5"/>
    </row>
    <row r="281" spans="1:30" s="23" customFormat="1" x14ac:dyDescent="0.3">
      <c r="A281" s="163"/>
      <c r="B281" s="41" t="s">
        <v>134</v>
      </c>
      <c r="C281" s="73"/>
      <c r="D281" s="41"/>
      <c r="E281" s="41"/>
      <c r="F281" s="41"/>
      <c r="G281" s="41"/>
      <c r="H281" s="41"/>
      <c r="I281" s="41"/>
      <c r="J281" s="41"/>
      <c r="K281" s="41"/>
      <c r="L281" s="41"/>
      <c r="M281" s="41"/>
      <c r="N281" s="41"/>
      <c r="O281" s="41"/>
      <c r="P281" s="41"/>
      <c r="Q281" s="41"/>
      <c r="R281" s="41"/>
      <c r="S281" s="41"/>
      <c r="T281" s="41"/>
      <c r="U281" s="41"/>
      <c r="V281" s="41"/>
      <c r="W281" s="41"/>
      <c r="X281" s="41"/>
      <c r="Y281" s="49">
        <v>1</v>
      </c>
      <c r="Z281" s="165">
        <v>4</v>
      </c>
      <c r="AA281" s="41"/>
      <c r="AB281" s="166"/>
      <c r="AC281" s="178"/>
      <c r="AD281" s="22"/>
    </row>
    <row r="282" spans="1:30" s="23" customFormat="1" x14ac:dyDescent="0.3">
      <c r="A282" s="163"/>
      <c r="B282" s="41" t="s">
        <v>117</v>
      </c>
      <c r="C282" s="73"/>
      <c r="D282" s="41"/>
      <c r="E282" s="41"/>
      <c r="F282" s="41"/>
      <c r="G282" s="41"/>
      <c r="H282" s="41"/>
      <c r="I282" s="41"/>
      <c r="J282" s="41"/>
      <c r="K282" s="41"/>
      <c r="L282" s="41"/>
      <c r="M282" s="41"/>
      <c r="N282" s="41"/>
      <c r="O282" s="41"/>
      <c r="P282" s="41"/>
      <c r="Q282" s="41"/>
      <c r="R282" s="41"/>
      <c r="S282" s="41"/>
      <c r="T282" s="41"/>
      <c r="U282" s="41"/>
      <c r="V282" s="41"/>
      <c r="W282" s="41"/>
      <c r="X282" s="41"/>
      <c r="Y282" s="41"/>
      <c r="Z282" s="180">
        <v>0</v>
      </c>
      <c r="AA282" s="41"/>
      <c r="AB282" s="166"/>
      <c r="AC282" s="178"/>
      <c r="AD282" s="22"/>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115"/>
      <c r="Z283" s="182"/>
      <c r="AA283" s="60"/>
      <c r="AB283" s="171"/>
      <c r="AC283" s="176"/>
      <c r="AD283" s="5"/>
    </row>
    <row r="284" spans="1:30" x14ac:dyDescent="0.3">
      <c r="A284" s="168"/>
      <c r="B284" s="174"/>
      <c r="C284" s="181"/>
      <c r="D284" s="60"/>
      <c r="E284" s="60"/>
      <c r="F284" s="60"/>
      <c r="G284" s="60"/>
      <c r="H284" s="60"/>
      <c r="I284" s="60"/>
      <c r="J284" s="60"/>
      <c r="K284" s="60"/>
      <c r="L284" s="60"/>
      <c r="M284" s="60"/>
      <c r="N284" s="60"/>
      <c r="O284" s="60"/>
      <c r="P284" s="60"/>
      <c r="Q284" s="60"/>
      <c r="R284" s="60"/>
      <c r="S284" s="60"/>
      <c r="T284" s="60"/>
      <c r="U284" s="60"/>
      <c r="V284" s="60"/>
      <c r="W284" s="60"/>
      <c r="X284" s="60"/>
      <c r="Y284" s="60"/>
      <c r="Z284" s="183"/>
      <c r="AA284" s="60"/>
      <c r="AB284" s="171"/>
      <c r="AC284" s="176"/>
      <c r="AD284" s="5"/>
    </row>
    <row r="285" spans="1:30" ht="18" x14ac:dyDescent="0.35">
      <c r="A285" s="168"/>
      <c r="B285" s="184" t="s">
        <v>109</v>
      </c>
      <c r="C285" s="181"/>
      <c r="D285" s="60"/>
      <c r="E285" s="60"/>
      <c r="F285" s="60"/>
      <c r="G285" s="60"/>
      <c r="H285" s="60"/>
      <c r="I285" s="60"/>
      <c r="J285" s="60"/>
      <c r="K285" s="60"/>
      <c r="L285" s="185"/>
      <c r="M285" s="185"/>
      <c r="N285" s="185"/>
      <c r="O285" s="185"/>
      <c r="P285" s="185"/>
      <c r="Q285" s="185"/>
      <c r="R285" s="185"/>
      <c r="S285" s="185"/>
      <c r="T285" s="185"/>
      <c r="U285" s="185"/>
      <c r="V285" s="185"/>
      <c r="W285" s="60"/>
      <c r="X285" s="186" t="s">
        <v>169</v>
      </c>
      <c r="Y285" s="185"/>
      <c r="Z285" s="183"/>
      <c r="AA285" s="60"/>
      <c r="AB285" s="171"/>
      <c r="AC285" s="176"/>
      <c r="AD285" s="5"/>
    </row>
    <row r="286" spans="1:30" ht="18" x14ac:dyDescent="0.35">
      <c r="A286" s="187"/>
      <c r="B286" s="188"/>
      <c r="C286" s="189"/>
      <c r="D286" s="102"/>
      <c r="E286" s="102"/>
      <c r="F286" s="102"/>
      <c r="G286" s="102"/>
      <c r="H286" s="102"/>
      <c r="I286" s="102"/>
      <c r="J286" s="102"/>
      <c r="K286" s="102"/>
      <c r="L286" s="190"/>
      <c r="M286" s="190"/>
      <c r="N286" s="190"/>
      <c r="O286" s="190"/>
      <c r="P286" s="190"/>
      <c r="Q286" s="190"/>
      <c r="R286" s="190"/>
      <c r="S286" s="190"/>
      <c r="T286" s="190"/>
      <c r="U286" s="190"/>
      <c r="V286" s="190"/>
      <c r="W286" s="102"/>
      <c r="X286" s="102"/>
      <c r="Y286" s="102"/>
      <c r="Z286" s="191"/>
      <c r="AA286" s="102"/>
      <c r="AB286" s="155"/>
      <c r="AC286" s="192"/>
      <c r="AD286" s="5"/>
    </row>
    <row r="287" spans="1:30" x14ac:dyDescent="0.3">
      <c r="A287" s="33"/>
      <c r="B287" s="105" t="s">
        <v>126</v>
      </c>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57" t="s">
        <v>69</v>
      </c>
      <c r="Y287" s="106" t="s">
        <v>70</v>
      </c>
      <c r="Z287" s="157" t="s">
        <v>75</v>
      </c>
      <c r="AA287" s="106" t="s">
        <v>70</v>
      </c>
      <c r="AB287" s="34"/>
      <c r="AC287" s="193"/>
      <c r="AD287" s="5"/>
    </row>
    <row r="288" spans="1:30" s="23" customFormat="1" x14ac:dyDescent="0.3">
      <c r="A288" s="18"/>
      <c r="B288" s="109" t="s">
        <v>59</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9">
        <f t="shared" ref="X288:X295" si="1">+X300+X312+X334</f>
        <v>2444</v>
      </c>
      <c r="Y288" s="195">
        <f>X288/$X$297</f>
        <v>0.99470899470899465</v>
      </c>
      <c r="Z288" s="110">
        <f t="shared" ref="Z288:Z295" si="2">+Z300+Z312+Z334</f>
        <v>407568</v>
      </c>
      <c r="AA288" s="195">
        <f t="shared" ref="AA288:AA295" si="3">Z288/$Z$297</f>
        <v>0.99456557547066216</v>
      </c>
      <c r="AB288" s="161"/>
      <c r="AC288" s="196"/>
      <c r="AD288" s="22"/>
    </row>
    <row r="289" spans="1:31" s="23" customFormat="1" x14ac:dyDescent="0.3">
      <c r="A289" s="48"/>
      <c r="B289" s="100" t="s">
        <v>60</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8">
        <f t="shared" si="1"/>
        <v>4</v>
      </c>
      <c r="Y289" s="199">
        <f t="shared" ref="Y289:Y295" si="4">X289/$X$297</f>
        <v>1.6280016280016279E-3</v>
      </c>
      <c r="Z289" s="200">
        <f t="shared" si="2"/>
        <v>459</v>
      </c>
      <c r="AA289" s="201">
        <f t="shared" si="3"/>
        <v>1.1200722312375701E-3</v>
      </c>
      <c r="AB289" s="166"/>
      <c r="AC289" s="178"/>
      <c r="AD289" s="22"/>
    </row>
    <row r="290" spans="1:31" s="23" customFormat="1" x14ac:dyDescent="0.3">
      <c r="A290" s="48"/>
      <c r="B290" s="100" t="s">
        <v>61</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6</v>
      </c>
      <c r="Y290" s="203">
        <f t="shared" si="4"/>
        <v>2.442002442002442E-3</v>
      </c>
      <c r="Z290" s="134">
        <f t="shared" si="2"/>
        <v>1160</v>
      </c>
      <c r="AA290" s="201">
        <f t="shared" si="3"/>
        <v>2.8306836345001769E-3</v>
      </c>
      <c r="AB290" s="166"/>
      <c r="AC290" s="178"/>
      <c r="AD290" s="22"/>
    </row>
    <row r="291" spans="1:31" s="23" customFormat="1" x14ac:dyDescent="0.3">
      <c r="A291" s="48"/>
      <c r="B291" s="100" t="s">
        <v>100</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1</v>
      </c>
      <c r="Y291" s="203">
        <f t="shared" si="4"/>
        <v>4.0700040700040698E-4</v>
      </c>
      <c r="Z291" s="134">
        <f t="shared" si="2"/>
        <v>183</v>
      </c>
      <c r="AA291" s="201">
        <f t="shared" si="3"/>
        <v>4.4656474578752791E-4</v>
      </c>
      <c r="AB291" s="166"/>
      <c r="AC291" s="178"/>
      <c r="AD291" s="22"/>
    </row>
    <row r="292" spans="1:31" s="23" customFormat="1" x14ac:dyDescent="0.3">
      <c r="A292" s="48"/>
      <c r="B292" s="100" t="s">
        <v>101</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102</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2">
        <f t="shared" si="1"/>
        <v>0</v>
      </c>
      <c r="Y293" s="203">
        <f t="shared" si="4"/>
        <v>0</v>
      </c>
      <c r="Z293" s="134">
        <f t="shared" si="2"/>
        <v>0</v>
      </c>
      <c r="AA293" s="201">
        <f t="shared" si="3"/>
        <v>0</v>
      </c>
      <c r="AB293" s="166"/>
      <c r="AC293" s="178"/>
      <c r="AD293" s="22"/>
    </row>
    <row r="294" spans="1:31" s="23" customFormat="1" x14ac:dyDescent="0.3">
      <c r="A294" s="48"/>
      <c r="B294" s="100" t="s">
        <v>103</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204">
        <f t="shared" si="1"/>
        <v>2</v>
      </c>
      <c r="Y294" s="205">
        <f t="shared" si="4"/>
        <v>8.1400081400081396E-4</v>
      </c>
      <c r="Z294" s="206">
        <f t="shared" si="2"/>
        <v>425</v>
      </c>
      <c r="AA294" s="201">
        <f t="shared" si="3"/>
        <v>1.0371039178125648E-3</v>
      </c>
      <c r="AB294" s="166"/>
      <c r="AC294" s="178"/>
      <c r="AD294" s="22"/>
    </row>
    <row r="295" spans="1:31" s="23" customFormat="1" x14ac:dyDescent="0.3">
      <c r="A295" s="48"/>
      <c r="B295" s="100" t="s">
        <v>104</v>
      </c>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9">
        <f t="shared" si="1"/>
        <v>0</v>
      </c>
      <c r="Y295" s="201">
        <f t="shared" si="4"/>
        <v>0</v>
      </c>
      <c r="Z295" s="110">
        <f t="shared" si="2"/>
        <v>0</v>
      </c>
      <c r="AA295" s="201">
        <f t="shared" si="3"/>
        <v>0</v>
      </c>
      <c r="AB295" s="166"/>
      <c r="AC295" s="178"/>
      <c r="AD295" s="22"/>
    </row>
    <row r="296" spans="1:31" s="23" customFormat="1" x14ac:dyDescent="0.3">
      <c r="A296" s="48"/>
      <c r="B296" s="100"/>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00"/>
      <c r="Y296" s="201"/>
      <c r="Z296" s="101"/>
      <c r="AA296" s="201"/>
      <c r="AB296" s="166"/>
      <c r="AC296" s="178"/>
      <c r="AD296" s="22"/>
    </row>
    <row r="297" spans="1:31" s="23" customFormat="1" x14ac:dyDescent="0.3">
      <c r="A297" s="48"/>
      <c r="B297" s="41" t="s">
        <v>80</v>
      </c>
      <c r="C297" s="41"/>
      <c r="D297" s="207"/>
      <c r="E297" s="207"/>
      <c r="F297" s="207"/>
      <c r="G297" s="207"/>
      <c r="H297" s="207"/>
      <c r="I297" s="207"/>
      <c r="J297" s="207"/>
      <c r="K297" s="207"/>
      <c r="L297" s="207"/>
      <c r="M297" s="207"/>
      <c r="N297" s="207"/>
      <c r="O297" s="207"/>
      <c r="P297" s="207"/>
      <c r="Q297" s="207"/>
      <c r="R297" s="207"/>
      <c r="S297" s="207"/>
      <c r="T297" s="207"/>
      <c r="U297" s="207"/>
      <c r="V297" s="207"/>
      <c r="W297" s="207"/>
      <c r="X297" s="100">
        <f>SUM(X288:X296)</f>
        <v>2457</v>
      </c>
      <c r="Y297" s="201">
        <f>SUM(Y288:Y296)</f>
        <v>0.99999999999999989</v>
      </c>
      <c r="Z297" s="101">
        <f>SUM(Z288:Z296)</f>
        <v>409795</v>
      </c>
      <c r="AA297" s="201">
        <f>SUM(AA288:AA296)</f>
        <v>1</v>
      </c>
      <c r="AB297" s="41"/>
      <c r="AC297" s="44"/>
      <c r="AD297" s="22"/>
    </row>
    <row r="298" spans="1:31" x14ac:dyDescent="0.3">
      <c r="A298" s="7"/>
      <c r="B298" s="154"/>
      <c r="C298" s="189"/>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91"/>
      <c r="AA298" s="102"/>
      <c r="AB298" s="102"/>
      <c r="AC298" s="10"/>
      <c r="AD298" s="5"/>
    </row>
    <row r="299" spans="1:31" x14ac:dyDescent="0.3">
      <c r="A299" s="33"/>
      <c r="B299" s="105" t="s">
        <v>105</v>
      </c>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57" t="s">
        <v>69</v>
      </c>
      <c r="Y299" s="106" t="s">
        <v>70</v>
      </c>
      <c r="Z299" s="157" t="s">
        <v>75</v>
      </c>
      <c r="AA299" s="106" t="s">
        <v>70</v>
      </c>
      <c r="AB299" s="34"/>
      <c r="AC299" s="193"/>
      <c r="AD299" s="5"/>
    </row>
    <row r="300" spans="1:31" s="23" customFormat="1" x14ac:dyDescent="0.3">
      <c r="A300" s="18"/>
      <c r="B300" s="109" t="s">
        <v>59</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09">
        <v>2443</v>
      </c>
      <c r="Y300" s="195">
        <f>X300/$X$309</f>
        <v>0.99551752241238789</v>
      </c>
      <c r="Z300" s="110">
        <v>407226</v>
      </c>
      <c r="AA300" s="195">
        <f>Z300/$Z$309</f>
        <v>0.99559443363290534</v>
      </c>
      <c r="AB300" s="161"/>
      <c r="AC300" s="196"/>
      <c r="AD300" s="22"/>
    </row>
    <row r="301" spans="1:31" s="23" customFormat="1" x14ac:dyDescent="0.3">
      <c r="A301" s="48"/>
      <c r="B301" s="100" t="s">
        <v>60</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4</v>
      </c>
      <c r="Y301" s="201">
        <f t="shared" ref="Y301:Y307" si="5">X301/$X$309</f>
        <v>1.6299918500407497E-3</v>
      </c>
      <c r="Z301" s="101">
        <v>459</v>
      </c>
      <c r="AA301" s="201">
        <f t="shared" ref="AA301:AA307" si="6">Z301/$Z$309</f>
        <v>1.1221725652033601E-3</v>
      </c>
      <c r="AB301" s="166"/>
      <c r="AC301" s="178"/>
      <c r="AD301" s="22"/>
      <c r="AE301" s="118"/>
    </row>
    <row r="302" spans="1:31" s="23" customFormat="1" x14ac:dyDescent="0.3">
      <c r="A302" s="48"/>
      <c r="B302" s="100" t="s">
        <v>61</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6</v>
      </c>
      <c r="Y302" s="201">
        <f t="shared" si="5"/>
        <v>2.4449877750611247E-3</v>
      </c>
      <c r="Z302" s="101">
        <v>1160</v>
      </c>
      <c r="AA302" s="201">
        <f t="shared" si="6"/>
        <v>2.835991668052065E-3</v>
      </c>
      <c r="AB302" s="166"/>
      <c r="AC302" s="178"/>
      <c r="AD302" s="22"/>
    </row>
    <row r="303" spans="1:31" s="23" customFormat="1" x14ac:dyDescent="0.3">
      <c r="A303" s="48"/>
      <c r="B303" s="100" t="s">
        <v>100</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1</v>
      </c>
      <c r="Y303" s="201">
        <f>X303/$X$309</f>
        <v>4.0749796251018743E-4</v>
      </c>
      <c r="Z303" s="101">
        <v>183</v>
      </c>
      <c r="AA303" s="201">
        <f t="shared" si="6"/>
        <v>4.4740213383924818E-4</v>
      </c>
      <c r="AB303" s="166"/>
      <c r="AC303" s="178"/>
      <c r="AD303" s="22"/>
      <c r="AE303" s="118"/>
    </row>
    <row r="304" spans="1:31" s="23" customFormat="1" x14ac:dyDescent="0.3">
      <c r="A304" s="48"/>
      <c r="B304" s="100" t="s">
        <v>101</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row>
    <row r="305" spans="1:31" s="23" customFormat="1" x14ac:dyDescent="0.3">
      <c r="A305" s="48"/>
      <c r="B305" s="100" t="s">
        <v>102</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 t="shared" si="5"/>
        <v>0</v>
      </c>
      <c r="Z305" s="101">
        <v>0</v>
      </c>
      <c r="AA305" s="201">
        <f t="shared" si="6"/>
        <v>0</v>
      </c>
      <c r="AB305" s="166"/>
      <c r="AC305" s="178"/>
      <c r="AD305" s="22"/>
      <c r="AE305" s="118"/>
    </row>
    <row r="306" spans="1:31" s="23" customFormat="1" x14ac:dyDescent="0.3">
      <c r="A306" s="48"/>
      <c r="B306" s="100" t="s">
        <v>103</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X306/$X$309</f>
        <v>0</v>
      </c>
      <c r="Z306" s="101">
        <v>0</v>
      </c>
      <c r="AA306" s="201">
        <f t="shared" si="6"/>
        <v>0</v>
      </c>
      <c r="AB306" s="166"/>
      <c r="AC306" s="178"/>
      <c r="AD306" s="22"/>
    </row>
    <row r="307" spans="1:31" s="23" customFormat="1" x14ac:dyDescent="0.3">
      <c r="A307" s="48"/>
      <c r="B307" s="100" t="s">
        <v>104</v>
      </c>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v>0</v>
      </c>
      <c r="Y307" s="201">
        <f t="shared" si="5"/>
        <v>0</v>
      </c>
      <c r="Z307" s="101">
        <v>0</v>
      </c>
      <c r="AA307" s="201">
        <f t="shared" si="6"/>
        <v>0</v>
      </c>
      <c r="AB307" s="166"/>
      <c r="AC307" s="178"/>
      <c r="AD307" s="22"/>
      <c r="AE307" s="118"/>
    </row>
    <row r="308" spans="1:31" s="23" customFormat="1" x14ac:dyDescent="0.3">
      <c r="A308" s="48"/>
      <c r="B308" s="100"/>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00"/>
      <c r="Y308" s="201"/>
      <c r="Z308" s="101"/>
      <c r="AA308" s="201"/>
      <c r="AB308" s="166"/>
      <c r="AC308" s="178"/>
      <c r="AD308" s="22"/>
    </row>
    <row r="309" spans="1:31" s="23" customFormat="1" x14ac:dyDescent="0.3">
      <c r="A309" s="48"/>
      <c r="B309" s="41" t="s">
        <v>80</v>
      </c>
      <c r="C309" s="41"/>
      <c r="D309" s="207"/>
      <c r="E309" s="207"/>
      <c r="F309" s="207"/>
      <c r="G309" s="207"/>
      <c r="H309" s="207"/>
      <c r="I309" s="207"/>
      <c r="J309" s="207"/>
      <c r="K309" s="207"/>
      <c r="L309" s="207"/>
      <c r="M309" s="207"/>
      <c r="N309" s="207"/>
      <c r="O309" s="207"/>
      <c r="P309" s="207"/>
      <c r="Q309" s="207"/>
      <c r="R309" s="207"/>
      <c r="S309" s="207"/>
      <c r="T309" s="207"/>
      <c r="U309" s="207"/>
      <c r="V309" s="207"/>
      <c r="W309" s="207"/>
      <c r="X309" s="100">
        <f>SUM(X300:X308)</f>
        <v>2454</v>
      </c>
      <c r="Y309" s="201">
        <f>SUM(Y300:Y308)</f>
        <v>0.99999999999999989</v>
      </c>
      <c r="Z309" s="101">
        <f>SUM(Z300:Z308)</f>
        <v>409028</v>
      </c>
      <c r="AA309" s="201">
        <f>SUM(AA300:AA308)</f>
        <v>0.99999999999999989</v>
      </c>
      <c r="AB309" s="41"/>
      <c r="AC309" s="44"/>
      <c r="AD309" s="22"/>
    </row>
    <row r="310" spans="1:31" x14ac:dyDescent="0.3">
      <c r="A310" s="7"/>
      <c r="B310" s="102"/>
      <c r="C310" s="102"/>
      <c r="D310" s="208"/>
      <c r="E310" s="208"/>
      <c r="F310" s="208"/>
      <c r="G310" s="208"/>
      <c r="H310" s="208"/>
      <c r="I310" s="208"/>
      <c r="J310" s="208"/>
      <c r="K310" s="208"/>
      <c r="L310" s="208"/>
      <c r="M310" s="208"/>
      <c r="N310" s="208"/>
      <c r="O310" s="208"/>
      <c r="P310" s="208"/>
      <c r="Q310" s="208"/>
      <c r="R310" s="208"/>
      <c r="S310" s="208"/>
      <c r="T310" s="208"/>
      <c r="U310" s="208"/>
      <c r="V310" s="208"/>
      <c r="W310" s="208"/>
      <c r="X310" s="103"/>
      <c r="Y310" s="209"/>
      <c r="Z310" s="210"/>
      <c r="AA310" s="209"/>
      <c r="AB310" s="102"/>
      <c r="AC310" s="10"/>
      <c r="AD310" s="5"/>
    </row>
    <row r="311" spans="1:31" x14ac:dyDescent="0.3">
      <c r="A311" s="33"/>
      <c r="B311" s="105" t="s">
        <v>121</v>
      </c>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57" t="s">
        <v>69</v>
      </c>
      <c r="Y311" s="106" t="s">
        <v>70</v>
      </c>
      <c r="Z311" s="157" t="s">
        <v>75</v>
      </c>
      <c r="AA311" s="106" t="s">
        <v>70</v>
      </c>
      <c r="AB311" s="34"/>
      <c r="AC311" s="37"/>
      <c r="AD311" s="5"/>
    </row>
    <row r="312" spans="1:31" s="23" customFormat="1" x14ac:dyDescent="0.3">
      <c r="A312" s="18"/>
      <c r="B312" s="109" t="s">
        <v>59</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109">
        <v>1</v>
      </c>
      <c r="Y312" s="195">
        <f>X312/X321</f>
        <v>0.33333333333333331</v>
      </c>
      <c r="Z312" s="110">
        <v>342</v>
      </c>
      <c r="AA312" s="195">
        <f>Z312/Z321</f>
        <v>0.44589308996088656</v>
      </c>
      <c r="AB312" s="38"/>
      <c r="AC312" s="21"/>
      <c r="AD312" s="22"/>
    </row>
    <row r="313" spans="1:31" s="23" customFormat="1" x14ac:dyDescent="0.3">
      <c r="A313" s="48"/>
      <c r="B313" s="100" t="s">
        <v>60</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61</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100</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101</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f>X316/$X$321</f>
        <v>0</v>
      </c>
      <c r="Z316" s="101">
        <v>0</v>
      </c>
      <c r="AA316" s="201">
        <f>Z316/$Z$321</f>
        <v>0</v>
      </c>
      <c r="AB316" s="41"/>
      <c r="AC316" s="44"/>
      <c r="AD316" s="22"/>
    </row>
    <row r="317" spans="1:31" s="23" customFormat="1" x14ac:dyDescent="0.3">
      <c r="A317" s="48"/>
      <c r="B317" s="100" t="s">
        <v>102</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103</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2</v>
      </c>
      <c r="Y318" s="201">
        <f>X318/$X$321</f>
        <v>0.66666666666666663</v>
      </c>
      <c r="Z318" s="101">
        <v>425</v>
      </c>
      <c r="AA318" s="201">
        <f>Z318/$Z$321</f>
        <v>0.55410691003911339</v>
      </c>
      <c r="AB318" s="41"/>
      <c r="AC318" s="44"/>
      <c r="AD318" s="22"/>
    </row>
    <row r="319" spans="1:31" s="23" customFormat="1" x14ac:dyDescent="0.3">
      <c r="A319" s="48"/>
      <c r="B319" s="100" t="s">
        <v>104</v>
      </c>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v>0</v>
      </c>
      <c r="Y319" s="201">
        <v>0</v>
      </c>
      <c r="Z319" s="101">
        <v>0</v>
      </c>
      <c r="AA319" s="201">
        <v>0</v>
      </c>
      <c r="AB319" s="41"/>
      <c r="AC319" s="44"/>
      <c r="AD319" s="22"/>
    </row>
    <row r="320" spans="1:31" s="23" customFormat="1" x14ac:dyDescent="0.3">
      <c r="A320" s="48"/>
      <c r="B320" s="100"/>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00"/>
      <c r="Y320" s="201"/>
      <c r="Z320" s="101"/>
      <c r="AA320" s="201"/>
      <c r="AB320" s="41"/>
      <c r="AC320" s="44"/>
      <c r="AD320" s="22"/>
    </row>
    <row r="321" spans="1:30" s="23" customFormat="1" x14ac:dyDescent="0.3">
      <c r="A321" s="48"/>
      <c r="B321" s="41" t="s">
        <v>80</v>
      </c>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f>SUM(X312:X320)</f>
        <v>3</v>
      </c>
      <c r="Y321" s="201">
        <f>SUM(Y312:Y320)</f>
        <v>1</v>
      </c>
      <c r="Z321" s="101">
        <f>SUM(Z312:Z320)</f>
        <v>767</v>
      </c>
      <c r="AA321" s="201">
        <f>SUM(AA312:AA320)</f>
        <v>1</v>
      </c>
      <c r="AB321" s="41"/>
      <c r="AC321" s="44"/>
      <c r="AD321" s="22"/>
    </row>
    <row r="322" spans="1:30" s="23" customFormat="1" x14ac:dyDescent="0.3">
      <c r="A322" s="48"/>
      <c r="B322" s="41"/>
      <c r="C322" s="41"/>
      <c r="D322" s="207"/>
      <c r="E322" s="207"/>
      <c r="F322" s="207"/>
      <c r="G322" s="207"/>
      <c r="H322" s="207"/>
      <c r="I322" s="207"/>
      <c r="J322" s="207"/>
      <c r="K322" s="207"/>
      <c r="L322" s="207"/>
      <c r="M322" s="207"/>
      <c r="N322" s="207"/>
      <c r="O322" s="207"/>
      <c r="P322" s="207"/>
      <c r="Q322" s="207"/>
      <c r="R322" s="207"/>
      <c r="S322" s="207"/>
      <c r="T322" s="207"/>
      <c r="U322" s="207"/>
      <c r="V322" s="207"/>
      <c r="W322" s="207"/>
      <c r="X322" s="100"/>
      <c r="Y322" s="201"/>
      <c r="Z322" s="101"/>
      <c r="AA322" s="201"/>
      <c r="AB322" s="41"/>
      <c r="AC322" s="44"/>
      <c r="AD322" s="22"/>
    </row>
    <row r="323" spans="1:30" s="268" customFormat="1" x14ac:dyDescent="0.3">
      <c r="A323" s="243"/>
      <c r="B323" s="244" t="s">
        <v>338</v>
      </c>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65" t="s">
        <v>69</v>
      </c>
      <c r="Y323" s="266" t="s">
        <v>70</v>
      </c>
      <c r="Z323" s="265" t="s">
        <v>75</v>
      </c>
      <c r="AA323" s="266" t="s">
        <v>70</v>
      </c>
      <c r="AB323" s="244"/>
      <c r="AC323" s="244"/>
      <c r="AD323" s="267"/>
    </row>
    <row r="324" spans="1:30" s="268" customFormat="1" x14ac:dyDescent="0.3">
      <c r="A324" s="269"/>
      <c r="B324" s="270" t="s">
        <v>339</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82">
        <v>0</v>
      </c>
      <c r="Z324" s="283">
        <v>0</v>
      </c>
      <c r="AA324" s="282">
        <v>0</v>
      </c>
      <c r="AB324" s="271"/>
      <c r="AC324" s="276"/>
      <c r="AD324" s="267"/>
    </row>
    <row r="325" spans="1:30" s="268" customFormat="1" x14ac:dyDescent="0.3">
      <c r="A325" s="269"/>
      <c r="B325" s="270" t="s">
        <v>340</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73">
        <v>0</v>
      </c>
      <c r="Y325" s="282">
        <f>X325/X331</f>
        <v>0</v>
      </c>
      <c r="Z325" s="283">
        <v>0</v>
      </c>
      <c r="AA325" s="282">
        <f>Z325/Z331</f>
        <v>0</v>
      </c>
      <c r="AB325" s="271"/>
      <c r="AC325" s="276"/>
      <c r="AD325" s="267"/>
    </row>
    <row r="326" spans="1:30" s="268" customFormat="1" x14ac:dyDescent="0.3">
      <c r="A326" s="269"/>
      <c r="B326" s="270" t="s">
        <v>341</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81">
        <v>1</v>
      </c>
      <c r="Y326" s="282">
        <f>X326/X331</f>
        <v>0.33333333333333331</v>
      </c>
      <c r="Z326" s="283">
        <v>342</v>
      </c>
      <c r="AA326" s="282">
        <f>Z326/Z331</f>
        <v>0.44589308996088656</v>
      </c>
      <c r="AB326" s="271"/>
      <c r="AC326" s="276"/>
      <c r="AD326" s="267"/>
    </row>
    <row r="327" spans="1:30" s="268" customFormat="1" x14ac:dyDescent="0.3">
      <c r="A327" s="269"/>
      <c r="B327" s="270" t="s">
        <v>354</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82">
        <f>X327/X331</f>
        <v>0</v>
      </c>
      <c r="Z327" s="283">
        <v>0</v>
      </c>
      <c r="AA327" s="282">
        <f>Z327/Z331</f>
        <v>0</v>
      </c>
      <c r="AB327" s="271"/>
      <c r="AC327" s="276"/>
      <c r="AD327" s="267"/>
    </row>
    <row r="328" spans="1:30" s="268" customFormat="1" x14ac:dyDescent="0.3">
      <c r="A328" s="269"/>
      <c r="B328" s="270" t="s">
        <v>345</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82">
        <f>X328/X331</f>
        <v>0</v>
      </c>
      <c r="Z328" s="283">
        <v>0</v>
      </c>
      <c r="AA328" s="282">
        <f>Z328/Z331</f>
        <v>0</v>
      </c>
      <c r="AB328" s="271"/>
      <c r="AC328" s="276"/>
      <c r="AD328" s="267"/>
    </row>
    <row r="329" spans="1:30" s="268" customFormat="1" x14ac:dyDescent="0.3">
      <c r="A329" s="269"/>
      <c r="B329" s="277" t="s">
        <v>344</v>
      </c>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v>2</v>
      </c>
      <c r="Y329" s="305">
        <f>X329/$X$331</f>
        <v>0.66666666666666663</v>
      </c>
      <c r="Z329" s="283">
        <v>425</v>
      </c>
      <c r="AA329" s="305">
        <f>Z329/$Z$331</f>
        <v>0.55410691003911339</v>
      </c>
      <c r="AB329" s="271"/>
      <c r="AC329" s="276"/>
      <c r="AD329" s="267"/>
    </row>
    <row r="330" spans="1:30" s="268" customFormat="1" x14ac:dyDescent="0.3">
      <c r="A330" s="269"/>
      <c r="B330" s="270"/>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c r="Y330" s="274"/>
      <c r="Z330" s="275"/>
      <c r="AA330" s="274"/>
      <c r="AB330" s="271"/>
      <c r="AC330" s="276"/>
      <c r="AD330" s="267"/>
    </row>
    <row r="331" spans="1:30" s="268" customFormat="1" x14ac:dyDescent="0.3">
      <c r="A331" s="269"/>
      <c r="B331" s="270" t="s">
        <v>80</v>
      </c>
      <c r="C331" s="271"/>
      <c r="D331" s="272"/>
      <c r="E331" s="272"/>
      <c r="F331" s="272"/>
      <c r="G331" s="272"/>
      <c r="H331" s="272"/>
      <c r="I331" s="272"/>
      <c r="J331" s="272"/>
      <c r="K331" s="272"/>
      <c r="L331" s="272"/>
      <c r="M331" s="272"/>
      <c r="N331" s="272"/>
      <c r="O331" s="272"/>
      <c r="P331" s="272"/>
      <c r="Q331" s="272"/>
      <c r="R331" s="272"/>
      <c r="S331" s="272"/>
      <c r="T331" s="272"/>
      <c r="U331" s="272"/>
      <c r="V331" s="272"/>
      <c r="W331" s="272"/>
      <c r="X331" s="273">
        <f>SUM(X324:X330)</f>
        <v>3</v>
      </c>
      <c r="Y331" s="274">
        <f>SUM(Y324:Y329)</f>
        <v>1</v>
      </c>
      <c r="Z331" s="275">
        <f>SUM(Z324:Z329)</f>
        <v>767</v>
      </c>
      <c r="AA331" s="274">
        <f>SUM(AA324:AA330)</f>
        <v>1</v>
      </c>
      <c r="AB331" s="271"/>
      <c r="AC331" s="276"/>
      <c r="AD331" s="267"/>
    </row>
    <row r="332" spans="1:30" x14ac:dyDescent="0.3">
      <c r="A332" s="7"/>
      <c r="B332" s="102"/>
      <c r="C332" s="102"/>
      <c r="D332" s="208"/>
      <c r="E332" s="208"/>
      <c r="F332" s="208"/>
      <c r="G332" s="208"/>
      <c r="H332" s="208"/>
      <c r="I332" s="208"/>
      <c r="J332" s="208"/>
      <c r="K332" s="208"/>
      <c r="L332" s="208"/>
      <c r="M332" s="208"/>
      <c r="N332" s="208"/>
      <c r="O332" s="208"/>
      <c r="P332" s="208"/>
      <c r="Q332" s="208"/>
      <c r="R332" s="208"/>
      <c r="S332" s="208"/>
      <c r="T332" s="208"/>
      <c r="U332" s="208"/>
      <c r="V332" s="208"/>
      <c r="W332" s="208"/>
      <c r="X332" s="103"/>
      <c r="Y332" s="209"/>
      <c r="Z332" s="210"/>
      <c r="AA332" s="209"/>
      <c r="AB332" s="102"/>
      <c r="AC332" s="10"/>
      <c r="AD332" s="5"/>
    </row>
    <row r="333" spans="1:30" x14ac:dyDescent="0.3">
      <c r="A333" s="33"/>
      <c r="B333" s="105" t="s">
        <v>106</v>
      </c>
      <c r="C333" s="34"/>
      <c r="D333" s="211"/>
      <c r="E333" s="211"/>
      <c r="F333" s="211"/>
      <c r="G333" s="211"/>
      <c r="H333" s="211"/>
      <c r="I333" s="211"/>
      <c r="J333" s="211"/>
      <c r="K333" s="211"/>
      <c r="L333" s="211"/>
      <c r="M333" s="211"/>
      <c r="N333" s="211"/>
      <c r="O333" s="211"/>
      <c r="P333" s="211"/>
      <c r="Q333" s="211"/>
      <c r="R333" s="211"/>
      <c r="S333" s="211"/>
      <c r="T333" s="211"/>
      <c r="U333" s="211"/>
      <c r="V333" s="211"/>
      <c r="W333" s="211"/>
      <c r="X333" s="157" t="s">
        <v>69</v>
      </c>
      <c r="Y333" s="106" t="s">
        <v>70</v>
      </c>
      <c r="Z333" s="157" t="s">
        <v>75</v>
      </c>
      <c r="AA333" s="106" t="s">
        <v>70</v>
      </c>
      <c r="AB333" s="34"/>
      <c r="AC333" s="37"/>
      <c r="AD333" s="5"/>
    </row>
    <row r="334" spans="1:30" s="23" customFormat="1" x14ac:dyDescent="0.3">
      <c r="A334" s="18"/>
      <c r="B334" s="109" t="s">
        <v>59</v>
      </c>
      <c r="C334" s="38"/>
      <c r="D334" s="212"/>
      <c r="E334" s="212"/>
      <c r="F334" s="212"/>
      <c r="G334" s="212"/>
      <c r="H334" s="212"/>
      <c r="I334" s="212"/>
      <c r="J334" s="212"/>
      <c r="K334" s="212"/>
      <c r="L334" s="212"/>
      <c r="M334" s="212"/>
      <c r="N334" s="212"/>
      <c r="O334" s="212"/>
      <c r="P334" s="212"/>
      <c r="Q334" s="212"/>
      <c r="R334" s="212"/>
      <c r="S334" s="212"/>
      <c r="T334" s="212"/>
      <c r="U334" s="212"/>
      <c r="V334" s="212"/>
      <c r="W334" s="212"/>
      <c r="X334" s="109">
        <v>0</v>
      </c>
      <c r="Y334" s="195">
        <v>0</v>
      </c>
      <c r="Z334" s="110">
        <v>0</v>
      </c>
      <c r="AA334" s="195">
        <v>0</v>
      </c>
      <c r="AB334" s="38"/>
      <c r="AC334" s="21"/>
      <c r="AD334" s="22"/>
    </row>
    <row r="335" spans="1:30" s="23" customFormat="1" x14ac:dyDescent="0.3">
      <c r="A335" s="48"/>
      <c r="B335" s="100" t="s">
        <v>60</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61</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100</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101</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102</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103</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t="s">
        <v>104</v>
      </c>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v>0</v>
      </c>
      <c r="Y341" s="201">
        <v>0</v>
      </c>
      <c r="Z341" s="101">
        <v>0</v>
      </c>
      <c r="AA341" s="201">
        <v>0</v>
      </c>
      <c r="AB341" s="41"/>
      <c r="AC341" s="44"/>
      <c r="AD341" s="22"/>
    </row>
    <row r="342" spans="1:30" s="23" customFormat="1" x14ac:dyDescent="0.3">
      <c r="A342" s="48"/>
      <c r="B342" s="100"/>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c r="Y342" s="201"/>
      <c r="Z342" s="101"/>
      <c r="AA342" s="201"/>
      <c r="AB342" s="41"/>
      <c r="AC342" s="44"/>
      <c r="AD342" s="22"/>
    </row>
    <row r="343" spans="1:30" s="23" customFormat="1" x14ac:dyDescent="0.3">
      <c r="A343" s="48"/>
      <c r="B343" s="41" t="s">
        <v>80</v>
      </c>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f>SUM(X334:X341)</f>
        <v>0</v>
      </c>
      <c r="Y343" s="201">
        <f>SUM(Y334:Y341)</f>
        <v>0</v>
      </c>
      <c r="Z343" s="101">
        <f>SUM(Z334:Z341)</f>
        <v>0</v>
      </c>
      <c r="AA343" s="201">
        <f>SUM(AA334:AA341)</f>
        <v>0</v>
      </c>
      <c r="AB343" s="41"/>
      <c r="AC343" s="44"/>
      <c r="AD343" s="22"/>
    </row>
    <row r="344" spans="1:30" s="23" customFormat="1" x14ac:dyDescent="0.3">
      <c r="A344" s="48"/>
      <c r="B344" s="41"/>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100"/>
      <c r="Y344" s="201"/>
      <c r="Z344" s="101"/>
      <c r="AA344" s="201"/>
      <c r="AB344" s="41"/>
      <c r="AC344" s="44"/>
      <c r="AD344" s="22"/>
    </row>
    <row r="345" spans="1:30" s="23" customFormat="1" x14ac:dyDescent="0.3">
      <c r="A345" s="48"/>
      <c r="B345" s="45" t="s">
        <v>139</v>
      </c>
      <c r="C345" s="41"/>
      <c r="D345" s="207"/>
      <c r="E345" s="207"/>
      <c r="F345" s="207"/>
      <c r="G345" s="207"/>
      <c r="H345" s="207"/>
      <c r="I345" s="207"/>
      <c r="J345" s="207"/>
      <c r="K345" s="207"/>
      <c r="L345" s="207"/>
      <c r="M345" s="207"/>
      <c r="N345" s="207"/>
      <c r="O345" s="207"/>
      <c r="P345" s="207"/>
      <c r="Q345" s="207"/>
      <c r="R345" s="207"/>
      <c r="S345" s="207"/>
      <c r="T345" s="207"/>
      <c r="U345" s="207"/>
      <c r="V345" s="207"/>
      <c r="W345" s="207"/>
      <c r="X345" s="213">
        <f>X343+X321+X309</f>
        <v>2457</v>
      </c>
      <c r="Y345" s="201"/>
      <c r="Z345" s="214">
        <f>+Z343+Z321+Z309</f>
        <v>409795</v>
      </c>
      <c r="AA345" s="201"/>
      <c r="AB345" s="41"/>
      <c r="AC345" s="44"/>
      <c r="AD345" s="22"/>
    </row>
    <row r="346" spans="1:30" s="23" customFormat="1" x14ac:dyDescent="0.3">
      <c r="A346" s="48"/>
      <c r="B346" s="45" t="s">
        <v>411</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+AB63+AB64</f>
        <v>1</v>
      </c>
      <c r="AA346" s="201"/>
      <c r="AB346" s="41"/>
      <c r="AC346" s="44"/>
      <c r="AD346" s="22"/>
    </row>
    <row r="347" spans="1:30" s="23" customFormat="1" x14ac:dyDescent="0.3">
      <c r="A347" s="48"/>
      <c r="B347" s="45" t="s">
        <v>107</v>
      </c>
      <c r="C347" s="45"/>
      <c r="D347" s="215"/>
      <c r="E347" s="215"/>
      <c r="F347" s="215"/>
      <c r="G347" s="215"/>
      <c r="H347" s="215"/>
      <c r="I347" s="215"/>
      <c r="J347" s="215"/>
      <c r="K347" s="215"/>
      <c r="L347" s="215"/>
      <c r="M347" s="215"/>
      <c r="N347" s="215"/>
      <c r="O347" s="215"/>
      <c r="P347" s="215"/>
      <c r="Q347" s="215"/>
      <c r="R347" s="215"/>
      <c r="S347" s="215"/>
      <c r="T347" s="215"/>
      <c r="U347" s="215"/>
      <c r="V347" s="215"/>
      <c r="W347" s="215"/>
      <c r="X347" s="213"/>
      <c r="Y347" s="216"/>
      <c r="Z347" s="214">
        <f>+Z345+Z346</f>
        <v>409796</v>
      </c>
      <c r="AA347" s="201"/>
      <c r="AB347" s="41"/>
      <c r="AC347" s="44"/>
      <c r="AD347" s="22"/>
    </row>
    <row r="348" spans="1:30" s="23" customFormat="1" x14ac:dyDescent="0.3">
      <c r="A348" s="48"/>
      <c r="B348" s="45" t="s">
        <v>275</v>
      </c>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f>+AB66</f>
        <v>409796</v>
      </c>
      <c r="AA348" s="201"/>
      <c r="AB348" s="41"/>
      <c r="AC348" s="44"/>
      <c r="AD348" s="22"/>
    </row>
    <row r="349" spans="1:30" s="23" customFormat="1" x14ac:dyDescent="0.3">
      <c r="A349" s="48"/>
      <c r="B349" s="45"/>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14"/>
      <c r="AA349" s="201"/>
      <c r="AB349" s="41"/>
      <c r="AC349" s="44"/>
      <c r="AD349" s="22"/>
    </row>
    <row r="350" spans="1:30" s="23" customFormat="1" x14ac:dyDescent="0.3">
      <c r="A350" s="48"/>
      <c r="B350" s="45" t="s">
        <v>318</v>
      </c>
      <c r="C350" s="41"/>
      <c r="D350" s="207"/>
      <c r="E350" s="207"/>
      <c r="F350" s="207"/>
      <c r="G350" s="207"/>
      <c r="H350" s="207"/>
      <c r="I350" s="207"/>
      <c r="J350" s="207"/>
      <c r="K350" s="207"/>
      <c r="L350" s="207"/>
      <c r="M350" s="207"/>
      <c r="N350" s="207"/>
      <c r="O350" s="207"/>
      <c r="P350" s="207"/>
      <c r="Q350" s="207"/>
      <c r="R350" s="207"/>
      <c r="S350" s="207"/>
      <c r="T350" s="207"/>
      <c r="U350" s="207"/>
      <c r="V350" s="207"/>
      <c r="W350" s="207"/>
      <c r="X350" s="213"/>
      <c r="Y350" s="201"/>
      <c r="Z350" s="239">
        <f>(D30*0.375+F30*0.05+H30*0.05+J30+L30)/AB30</f>
        <v>0.38922659079151578</v>
      </c>
      <c r="AA350" s="201"/>
      <c r="AB350" s="41"/>
      <c r="AC350" s="44"/>
      <c r="AD350" s="22"/>
    </row>
    <row r="351" spans="1:30" s="23" customFormat="1" x14ac:dyDescent="0.3">
      <c r="A351" s="18"/>
      <c r="B351" s="20"/>
      <c r="C351" s="20"/>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8"/>
      <c r="AA351" s="217"/>
      <c r="AB351" s="20"/>
      <c r="AC351" s="21"/>
      <c r="AD351" s="22"/>
    </row>
    <row r="352" spans="1:30" s="23" customFormat="1" x14ac:dyDescent="0.3">
      <c r="A352" s="18"/>
      <c r="B352" s="19" t="s">
        <v>62</v>
      </c>
      <c r="C352" s="20"/>
      <c r="D352" s="219" t="s">
        <v>66</v>
      </c>
      <c r="E352" s="19"/>
      <c r="F352" s="19" t="s">
        <v>67</v>
      </c>
      <c r="G352" s="20"/>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152</v>
      </c>
      <c r="C354" s="19"/>
      <c r="D354" s="220" t="s">
        <v>122</v>
      </c>
      <c r="E354" s="19"/>
      <c r="F354" s="19" t="s">
        <v>170</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t="s">
        <v>153</v>
      </c>
      <c r="C355" s="19"/>
      <c r="D355" s="220" t="s">
        <v>98</v>
      </c>
      <c r="E355" s="19"/>
      <c r="F355" s="19" t="s">
        <v>171</v>
      </c>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19"/>
      <c r="C356" s="19"/>
      <c r="D356" s="220"/>
      <c r="E356" s="19"/>
      <c r="F356" s="19"/>
      <c r="G356" s="19"/>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56"/>
      <c r="C357" s="256"/>
      <c r="D357" s="256"/>
      <c r="E357" s="256"/>
      <c r="F357" s="257"/>
      <c r="G357" s="256"/>
      <c r="H357" s="258"/>
      <c r="I357" s="255"/>
      <c r="J357" s="255"/>
      <c r="K357" s="255"/>
      <c r="L357" s="255"/>
      <c r="M357" s="255"/>
      <c r="N357" s="255"/>
      <c r="O357" s="255"/>
      <c r="P357" s="255"/>
      <c r="Q357" s="20"/>
      <c r="R357" s="20"/>
      <c r="S357" s="20"/>
      <c r="T357" s="20"/>
      <c r="U357" s="20"/>
      <c r="V357" s="20"/>
      <c r="W357" s="20"/>
      <c r="X357" s="20"/>
      <c r="Y357" s="20"/>
      <c r="Z357" s="20"/>
      <c r="AA357" s="20"/>
      <c r="AB357" s="20"/>
      <c r="AC357" s="21"/>
      <c r="AD357" s="22"/>
    </row>
    <row r="358" spans="1:30" s="23" customFormat="1" ht="18" x14ac:dyDescent="0.35">
      <c r="A358" s="18"/>
      <c r="B358" s="259" t="s">
        <v>109</v>
      </c>
      <c r="C358" s="256"/>
      <c r="D358" s="256"/>
      <c r="E358" s="256"/>
      <c r="F358" s="257"/>
      <c r="G358" s="256"/>
      <c r="H358" s="258"/>
      <c r="I358" s="255"/>
      <c r="J358" s="255"/>
      <c r="K358" s="255"/>
      <c r="L358" s="255"/>
      <c r="M358" s="255"/>
      <c r="N358" s="255"/>
      <c r="O358" s="255"/>
      <c r="P358" s="260" t="s">
        <v>169</v>
      </c>
      <c r="Q358" s="20"/>
      <c r="R358" s="20"/>
      <c r="S358" s="20"/>
      <c r="T358" s="20"/>
      <c r="U358" s="20"/>
      <c r="V358" s="20"/>
      <c r="W358" s="20"/>
      <c r="X358" s="20"/>
      <c r="Y358" s="20"/>
      <c r="Z358" s="20"/>
      <c r="AA358" s="20"/>
      <c r="AB358" s="20"/>
      <c r="AC358" s="21"/>
      <c r="AD358" s="22"/>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x14ac:dyDescent="0.3">
      <c r="A360" s="221"/>
      <c r="B360" s="222"/>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4"/>
      <c r="AD360" s="5"/>
    </row>
    <row r="361" spans="1:30" ht="18.600000000000001" thickBot="1" x14ac:dyDescent="0.4">
      <c r="A361" s="221"/>
      <c r="B361" s="225" t="str">
        <f>B245</f>
        <v>PM25 INVESTOR REPORT QUARTER ENDING JANUARY 2023</v>
      </c>
      <c r="C361" s="222"/>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6"/>
      <c r="AD361" s="5"/>
    </row>
    <row r="362" spans="1:30"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row>
    <row r="363" spans="1:30" x14ac:dyDescent="0.3">
      <c r="B363" s="280" t="s">
        <v>334</v>
      </c>
    </row>
    <row r="364" spans="1:30" x14ac:dyDescent="0.3">
      <c r="B364" s="264"/>
    </row>
    <row r="365" spans="1:30" x14ac:dyDescent="0.3">
      <c r="B365" s="301" t="s">
        <v>379</v>
      </c>
    </row>
    <row r="366" spans="1:30" x14ac:dyDescent="0.3">
      <c r="B366" s="302" t="s">
        <v>366</v>
      </c>
    </row>
    <row r="367" spans="1:30" x14ac:dyDescent="0.3">
      <c r="B367" s="299"/>
    </row>
    <row r="368" spans="1:30" x14ac:dyDescent="0.3">
      <c r="B368" s="264" t="s">
        <v>378</v>
      </c>
    </row>
    <row r="369" spans="2:2" x14ac:dyDescent="0.3">
      <c r="B369" s="302" t="s">
        <v>377</v>
      </c>
    </row>
    <row r="370" spans="2:2" x14ac:dyDescent="0.3">
      <c r="B370" s="302"/>
    </row>
    <row r="371" spans="2:2" x14ac:dyDescent="0.3">
      <c r="B371" s="304" t="s">
        <v>387</v>
      </c>
    </row>
    <row r="372" spans="2:2" x14ac:dyDescent="0.3">
      <c r="B372" s="303"/>
    </row>
    <row r="373" spans="2:2" x14ac:dyDescent="0.3">
      <c r="B373" s="280" t="s">
        <v>365</v>
      </c>
    </row>
    <row r="374" spans="2:2" x14ac:dyDescent="0.3">
      <c r="B374" s="264" t="s">
        <v>368</v>
      </c>
    </row>
    <row r="375" spans="2:2" x14ac:dyDescent="0.3">
      <c r="B375" s="302" t="s">
        <v>367</v>
      </c>
    </row>
  </sheetData>
  <hyperlinks>
    <hyperlink ref="X285" r:id="rId1" display="http://www.paragon-group.co.uk" xr:uid="{5745C434-8229-429F-BBA2-DEFFA9AA9468}"/>
    <hyperlink ref="K9" r:id="rId2" display="http://www.paragon-group.co.uk" xr:uid="{868F5997-2008-4032-AB96-FB3D7D3769B2}"/>
    <hyperlink ref="P358" r:id="rId3" xr:uid="{1EA823A4-14B7-4732-885D-2314035823BF}"/>
    <hyperlink ref="B366" r:id="rId4" display="https://www.londonstockexchange.com/news-article/41YH/notice-of-base-rate-modification/15064143" xr:uid="{434A3A00-6D1B-444B-B70D-0ACE87FF9A8A}"/>
    <hyperlink ref="B375" r:id="rId5" display="https://investorreporting.paragonbankinggroup.co.uk/bondinvestor_viewer/resources/bondinvestor/pdf/investornews/2021/libor-mortgages-transition-july-19" xr:uid="{EAE9ECE9-4B88-46E1-AB06-C9CE9BCEA0B3}"/>
    <hyperlink ref="B369" r:id="rId6" xr:uid="{4F3CCEF2-D225-4B6D-BB01-EAD09E201D96}"/>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5" max="18" man="1"/>
  </rowBreaks>
  <colBreaks count="1" manualBreakCount="1">
    <brk id="29" max="299" man="1"/>
  </col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2926"/>
  </sheetPr>
  <dimension ref="A1:JB34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43426</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600000</v>
      </c>
      <c r="E29" s="55"/>
      <c r="F29" s="55">
        <f t="shared" ref="F29:N29" si="0">F28*F32</f>
        <v>33500</v>
      </c>
      <c r="G29" s="55"/>
      <c r="H29" s="55">
        <f t="shared" si="0"/>
        <v>30000</v>
      </c>
      <c r="I29" s="55"/>
      <c r="J29" s="55">
        <f t="shared" si="0"/>
        <v>24700</v>
      </c>
      <c r="K29" s="55"/>
      <c r="L29" s="55">
        <f t="shared" si="0"/>
        <v>17648</v>
      </c>
      <c r="M29" s="55"/>
      <c r="N29" s="55">
        <f t="shared" si="0"/>
        <v>10323.108840000001</v>
      </c>
      <c r="O29" s="55"/>
      <c r="P29" s="55">
        <f>+'July 18'!P30</f>
        <v>6124</v>
      </c>
      <c r="Q29" s="55"/>
      <c r="R29" s="55" t="s">
        <v>83</v>
      </c>
      <c r="S29" s="55"/>
      <c r="T29" s="55" t="s">
        <v>83</v>
      </c>
      <c r="U29" s="55"/>
      <c r="V29" s="55" t="s">
        <v>83</v>
      </c>
      <c r="W29" s="51"/>
      <c r="X29" s="55" t="s">
        <v>83</v>
      </c>
      <c r="Y29" s="51"/>
      <c r="Z29" s="51"/>
      <c r="AA29" s="50"/>
      <c r="AB29" s="51">
        <f>SUM(D29:L29)</f>
        <v>705848</v>
      </c>
      <c r="AC29" s="52"/>
      <c r="AD29" s="22"/>
    </row>
    <row r="30" spans="1:33" s="23" customFormat="1" x14ac:dyDescent="0.3">
      <c r="A30" s="48"/>
      <c r="B30" s="45" t="s">
        <v>92</v>
      </c>
      <c r="C30" s="50"/>
      <c r="D30" s="58">
        <f>D28*D31</f>
        <v>600000</v>
      </c>
      <c r="E30" s="58"/>
      <c r="F30" s="58">
        <f>F28</f>
        <v>33500</v>
      </c>
      <c r="G30" s="58"/>
      <c r="H30" s="58">
        <f>H28</f>
        <v>30000</v>
      </c>
      <c r="I30" s="58"/>
      <c r="J30" s="58">
        <f>J28</f>
        <v>24700</v>
      </c>
      <c r="K30" s="58"/>
      <c r="L30" s="58">
        <f>L28</f>
        <v>17648</v>
      </c>
      <c r="M30" s="58"/>
      <c r="N30" s="58">
        <f>N28*N31</f>
        <v>10323.108840000001</v>
      </c>
      <c r="O30" s="58"/>
      <c r="P30" s="58">
        <v>3425</v>
      </c>
      <c r="Q30" s="58"/>
      <c r="R30" s="58" t="s">
        <v>83</v>
      </c>
      <c r="S30" s="58"/>
      <c r="T30" s="58" t="s">
        <v>83</v>
      </c>
      <c r="U30" s="58"/>
      <c r="V30" s="58" t="s">
        <v>83</v>
      </c>
      <c r="W30" s="57"/>
      <c r="X30" s="58" t="s">
        <v>83</v>
      </c>
      <c r="Y30" s="51"/>
      <c r="Z30" s="51"/>
      <c r="AA30" s="50"/>
      <c r="AB30" s="57">
        <f>SUM(D30:L30)</f>
        <v>705848</v>
      </c>
      <c r="AC30" s="52"/>
      <c r="AD30" s="22"/>
      <c r="AE30" s="238"/>
    </row>
    <row r="31" spans="1:33" s="67" customFormat="1" x14ac:dyDescent="0.3">
      <c r="A31" s="59"/>
      <c r="B31" s="169" t="s">
        <v>88</v>
      </c>
      <c r="C31" s="63"/>
      <c r="D31" s="61">
        <v>1</v>
      </c>
      <c r="E31" s="61"/>
      <c r="F31" s="61">
        <v>1</v>
      </c>
      <c r="G31" s="61"/>
      <c r="H31" s="61">
        <v>1</v>
      </c>
      <c r="I31" s="61"/>
      <c r="J31" s="61">
        <v>1</v>
      </c>
      <c r="K31" s="61"/>
      <c r="L31" s="61">
        <v>1</v>
      </c>
      <c r="M31" s="61"/>
      <c r="N31" s="61">
        <v>0.94508000000000003</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1</v>
      </c>
      <c r="E32" s="61"/>
      <c r="F32" s="61">
        <v>1</v>
      </c>
      <c r="G32" s="61"/>
      <c r="H32" s="61">
        <v>1</v>
      </c>
      <c r="I32" s="61"/>
      <c r="J32" s="61">
        <v>1</v>
      </c>
      <c r="K32" s="61"/>
      <c r="L32" s="61">
        <v>1</v>
      </c>
      <c r="M32" s="61"/>
      <c r="N32" s="61">
        <v>0.94508000000000003</v>
      </c>
      <c r="O32" s="61"/>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1.4517499999999999E-2</v>
      </c>
      <c r="E34" s="71"/>
      <c r="F34" s="71">
        <v>1.7517499999999998E-2</v>
      </c>
      <c r="G34" s="71"/>
      <c r="H34" s="71">
        <v>2.1017500000000001E-2</v>
      </c>
      <c r="I34" s="71"/>
      <c r="J34" s="71">
        <v>2.4017500000000001E-2</v>
      </c>
      <c r="K34" s="71"/>
      <c r="L34" s="71">
        <v>3.4017499999999999E-2</v>
      </c>
      <c r="M34" s="71"/>
      <c r="N34" s="71">
        <v>4.8017499999999998E-2</v>
      </c>
      <c r="O34" s="71"/>
      <c r="P34" s="71">
        <v>4.8017499999999998E-2</v>
      </c>
      <c r="Q34" s="71"/>
      <c r="R34" s="71" t="s">
        <v>83</v>
      </c>
      <c r="S34" s="71"/>
      <c r="T34" s="71" t="s">
        <v>83</v>
      </c>
      <c r="U34" s="71"/>
      <c r="V34" s="71" t="s">
        <v>83</v>
      </c>
      <c r="W34" s="70"/>
      <c r="X34" s="71" t="s">
        <v>83</v>
      </c>
      <c r="Y34" s="49"/>
      <c r="Z34" s="49"/>
      <c r="AA34" s="41"/>
      <c r="AB34" s="70">
        <f>SUMPRODUCT(D34:L34,D29:L29)/AB29</f>
        <v>1.5756132113429518E-2</v>
      </c>
      <c r="AC34" s="44"/>
      <c r="AD34" s="22"/>
    </row>
    <row r="35" spans="1:30" s="23" customFormat="1" x14ac:dyDescent="0.3">
      <c r="A35" s="48"/>
      <c r="B35" s="41" t="s">
        <v>10</v>
      </c>
      <c r="C35" s="72"/>
      <c r="D35" s="71">
        <v>1.43044E-2</v>
      </c>
      <c r="E35" s="71"/>
      <c r="F35" s="71">
        <v>1.7304400000000001E-2</v>
      </c>
      <c r="G35" s="71"/>
      <c r="H35" s="71">
        <v>2.0804400000000001E-2</v>
      </c>
      <c r="I35" s="71"/>
      <c r="J35" s="71">
        <v>2.38044E-2</v>
      </c>
      <c r="K35" s="71"/>
      <c r="L35" s="71">
        <v>3.3804399999999998E-2</v>
      </c>
      <c r="M35" s="71"/>
      <c r="N35" s="71">
        <v>4.7804399999999997E-2</v>
      </c>
      <c r="O35" s="71"/>
      <c r="P35" s="71">
        <v>4.7804399999999997E-2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0.17641333333333334</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43419</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111</v>
      </c>
      <c r="Y47" s="41"/>
      <c r="Z47" s="79">
        <v>43216</v>
      </c>
      <c r="AA47" s="80"/>
      <c r="AB47" s="79">
        <v>43326</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43327</v>
      </c>
      <c r="AA48" s="80"/>
      <c r="AB48" s="79">
        <v>43418</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43418</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310</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46.8"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702774</v>
      </c>
      <c r="S57" s="241"/>
      <c r="T57" s="240">
        <f>154+402</f>
        <v>556</v>
      </c>
      <c r="U57" s="241"/>
      <c r="V57" s="241">
        <v>10433</v>
      </c>
      <c r="W57" s="241"/>
      <c r="X57" s="241">
        <f>9947+50</f>
        <v>9997</v>
      </c>
      <c r="Y57" s="241"/>
      <c r="Z57" s="241">
        <v>0</v>
      </c>
      <c r="AA57" s="241"/>
      <c r="AB57" s="240">
        <f>R57-T57-V57+X57-Z57</f>
        <v>701782</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702774</v>
      </c>
      <c r="S60" s="241"/>
      <c r="T60" s="241">
        <f>T57+T58</f>
        <v>556</v>
      </c>
      <c r="U60" s="241"/>
      <c r="V60" s="241">
        <f>SUM(V57:V59)</f>
        <v>10433</v>
      </c>
      <c r="W60" s="241"/>
      <c r="X60" s="241">
        <f>SUM(X57:X59)</f>
        <v>9997</v>
      </c>
      <c r="Y60" s="241"/>
      <c r="Z60" s="241">
        <f>SUM(Z57:Z59)</f>
        <v>0</v>
      </c>
      <c r="AA60" s="241"/>
      <c r="AB60" s="241">
        <f>SUM(AB57:AB59)</f>
        <v>701782</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2516</v>
      </c>
      <c r="S63" s="241"/>
      <c r="T63" s="241">
        <v>0</v>
      </c>
      <c r="U63" s="241"/>
      <c r="V63" s="241">
        <v>1042</v>
      </c>
      <c r="W63" s="241"/>
      <c r="X63" s="241"/>
      <c r="Y63" s="241"/>
      <c r="Z63" s="241"/>
      <c r="AA63" s="241"/>
      <c r="AB63" s="241">
        <f>+R63+V63</f>
        <v>3558</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558</v>
      </c>
      <c r="S64" s="241"/>
      <c r="T64" s="241"/>
      <c r="U64" s="241"/>
      <c r="V64" s="241"/>
      <c r="W64" s="241"/>
      <c r="X64" s="241">
        <v>-50</v>
      </c>
      <c r="Y64" s="241"/>
      <c r="Z64" s="241"/>
      <c r="AA64" s="241"/>
      <c r="AB64" s="241">
        <f>+R64+X64</f>
        <v>508</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705848</v>
      </c>
      <c r="S66" s="241"/>
      <c r="T66" s="241"/>
      <c r="U66" s="241"/>
      <c r="V66" s="241"/>
      <c r="W66" s="241"/>
      <c r="X66" s="241"/>
      <c r="Y66" s="241"/>
      <c r="Z66" s="241"/>
      <c r="AA66" s="241"/>
      <c r="AB66" s="241">
        <f>SUM(AB60:AB65)</f>
        <v>705848</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43404</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2516</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50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f>-Z73</f>
        <v>-50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+T57+V57+Z57-2</f>
        <v>10987</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1973+5387-259-449</f>
        <v>6652</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48+47</f>
        <v>95</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28</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19</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29</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13503</v>
      </c>
      <c r="AA85" s="41"/>
      <c r="AB85" s="100">
        <f>SUM(AB70:AB84)</f>
        <v>6823</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13503</v>
      </c>
      <c r="AA88" s="41"/>
      <c r="AB88" s="100">
        <f>AB85+AB86+AB87</f>
        <v>6823</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-29</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-354-23-3</f>
        <v>-380</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-43</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-2196</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-148</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-159</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-149</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2</v>
      </c>
      <c r="AA101" s="115"/>
      <c r="AB101" s="101">
        <v>-2</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-53</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-500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-15</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-151</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-125</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-74</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-2796</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v>0</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0</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0</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-9947</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-3558</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0</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-13505</v>
      </c>
      <c r="AA131" s="100"/>
      <c r="AB131" s="100">
        <f>SUM(AB89:AB129)</f>
        <v>-6823</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OCTOBER 2018</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+'July 18'!AB146</f>
        <v>9502.5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9502.5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+'July 18'!AB159</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+'July 18'!AB165</f>
        <v>558</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X64</f>
        <v>-50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f>
        <v>508</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2</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2</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-2</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+'July 18'!AB180</f>
        <v>2516</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-2516</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3558</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3558</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+'July 18'!AB188</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53</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19</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34</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+'July 18'!AB196</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53</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53</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+'July 18'!AB204</f>
        <v>175</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170</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29</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316</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+'July 18'!AB212</f>
        <v>412</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f>170</f>
        <v>170</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500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742</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+'July 18'!Y219</f>
        <v>0</v>
      </c>
      <c r="Z219" s="101">
        <f>+'July 18'!Z219</f>
        <v>17</v>
      </c>
      <c r="AA219" s="41"/>
      <c r="AB219" s="101">
        <f>Y219+Z219</f>
        <v>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50</v>
      </c>
      <c r="AA220" s="41"/>
      <c r="AB220" s="101">
        <f>Y220+Z220</f>
        <v>50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67</v>
      </c>
      <c r="AA221" s="41"/>
      <c r="AB221" s="101">
        <f>Y221+Z221</f>
        <v>67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112868.68000000001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608673</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606236</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2437</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2.9002732240437159</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2.7</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4">
        <f>(AB88+AB90+AB91+AB92+AB93+AB94)/-(AB95)</f>
        <v>28.195945945945947</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25.19</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4">
        <f>(AB88+AB90+AB91+AB92+AB93+AB94+AB95)/-(AB97)</f>
        <v>25.314465408805031</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22.46</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4">
        <f>(AB88+AB90+AB91+AB92+AB93+AB94+AB95+AB97)/-(AB98)</f>
        <v>25.946308724832214</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22.83</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4">
        <f>(AB88+AB90+AB91+AB92+AB93+AB94+AB95+AB97+AB98)/-(AB107)</f>
        <v>24.6158940397351</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21.57</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OCTOBER 2018</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43404</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3.7810000000000003E-2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1.5756132113429518E-2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2.2053867886570485E-2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9.6253017646858816E-3</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18.22</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1.5580824908902721E-2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7.0999999999999994E-2</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0</v>
      </c>
      <c r="Z268" s="165">
        <f>+Z320</f>
        <v>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+X332</f>
        <v>0</v>
      </c>
      <c r="Z269" s="165">
        <f>+Z332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9947</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2</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+'July 18'!Z272+Z273</f>
        <v>2</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+X299+X311+X323</f>
        <v>4138</v>
      </c>
      <c r="Y287" s="195">
        <f>X287/$X$296</f>
        <v>0.99975839574776515</v>
      </c>
      <c r="Z287" s="110">
        <f>+Z299+Z311+Z323</f>
        <v>701591</v>
      </c>
      <c r="AA287" s="195">
        <f t="shared" ref="AA287:AA294" si="1">Z287/$Z$296</f>
        <v>0.99972783570966484</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+X300+X312+X324</f>
        <v>0</v>
      </c>
      <c r="Y288" s="199">
        <f t="shared" ref="Y288:Y294" si="2">X288/$X$296</f>
        <v>0</v>
      </c>
      <c r="Z288" s="200">
        <f>+Z300+Z312+Z324</f>
        <v>0</v>
      </c>
      <c r="AA288" s="201">
        <f t="shared" si="1"/>
        <v>0</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ref="X289:X293" si="3">+X301+X313+X325</f>
        <v>1</v>
      </c>
      <c r="Y289" s="203">
        <f t="shared" si="2"/>
        <v>2.4160425223483932E-4</v>
      </c>
      <c r="Z289" s="134">
        <f t="shared" ref="Z289:Z293" si="4">+Z301+Z313+Z325</f>
        <v>191</v>
      </c>
      <c r="AA289" s="201">
        <f t="shared" si="1"/>
        <v>2.7216429033517531E-4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3"/>
        <v>0</v>
      </c>
      <c r="Y290" s="203">
        <f t="shared" si="2"/>
        <v>0</v>
      </c>
      <c r="Z290" s="134">
        <f t="shared" si="4"/>
        <v>0</v>
      </c>
      <c r="AA290" s="201">
        <f t="shared" si="1"/>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3"/>
        <v>0</v>
      </c>
      <c r="Y291" s="203">
        <f t="shared" si="2"/>
        <v>0</v>
      </c>
      <c r="Z291" s="134">
        <f t="shared" si="4"/>
        <v>0</v>
      </c>
      <c r="AA291" s="201">
        <f t="shared" si="1"/>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+X304+X316+X328</f>
        <v>0</v>
      </c>
      <c r="Y292" s="203">
        <f t="shared" si="2"/>
        <v>0</v>
      </c>
      <c r="Z292" s="134">
        <f t="shared" si="4"/>
        <v>0</v>
      </c>
      <c r="AA292" s="201">
        <f t="shared" si="1"/>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3"/>
        <v>0</v>
      </c>
      <c r="Y293" s="205">
        <f t="shared" si="2"/>
        <v>0</v>
      </c>
      <c r="Z293" s="206">
        <f t="shared" si="4"/>
        <v>0</v>
      </c>
      <c r="AA293" s="201">
        <f t="shared" si="1"/>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+X306+X318+X330</f>
        <v>0</v>
      </c>
      <c r="Y294" s="201">
        <f t="shared" si="2"/>
        <v>0</v>
      </c>
      <c r="Z294" s="110">
        <f>+Z306+Z318+Z330</f>
        <v>0</v>
      </c>
      <c r="AA294" s="201">
        <f t="shared" si="1"/>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4139</v>
      </c>
      <c r="Y296" s="201">
        <f>SUM(Y287:Y295)</f>
        <v>1</v>
      </c>
      <c r="Z296" s="101">
        <f>SUM(Z287:Z295)</f>
        <v>701782</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4138</v>
      </c>
      <c r="Y299" s="195">
        <f>X299/$X$308</f>
        <v>0.99975839574776515</v>
      </c>
      <c r="Z299" s="110">
        <v>701591</v>
      </c>
      <c r="AA299" s="195">
        <f>Z299/$Z$308</f>
        <v>0.99972783570966484</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0</v>
      </c>
      <c r="Y300" s="201">
        <f t="shared" ref="Y300:Y306" si="5">X300/$X$308</f>
        <v>0</v>
      </c>
      <c r="Z300" s="101">
        <v>0</v>
      </c>
      <c r="AA300" s="201">
        <f t="shared" ref="AA300:AA306" si="6">Z300/$Z$308</f>
        <v>0</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1</v>
      </c>
      <c r="Y301" s="201">
        <f t="shared" si="5"/>
        <v>2.4160425223483932E-4</v>
      </c>
      <c r="Z301" s="101">
        <v>191</v>
      </c>
      <c r="AA301" s="201">
        <f t="shared" si="6"/>
        <v>2.7216429033517531E-4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 t="shared" si="5"/>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4139</v>
      </c>
      <c r="Y308" s="201">
        <f>SUM(Y299:Y307)</f>
        <v>1</v>
      </c>
      <c r="Z308" s="101">
        <f>SUM(Z299:Z307)</f>
        <v>701782</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0</v>
      </c>
      <c r="Y320" s="201">
        <f>SUM(Y311:Y319)</f>
        <v>0</v>
      </c>
      <c r="Z320" s="101">
        <f>SUM(Z311:Z319)</f>
        <v>0</v>
      </c>
      <c r="AA320" s="201">
        <f>SUM(AA311:AA319)</f>
        <v>0</v>
      </c>
      <c r="AB320" s="41"/>
      <c r="AC320" s="44"/>
      <c r="AD320" s="22"/>
    </row>
    <row r="321" spans="1:30" x14ac:dyDescent="0.3">
      <c r="A321" s="7"/>
      <c r="B321" s="102"/>
      <c r="C321" s="102"/>
      <c r="D321" s="208"/>
      <c r="E321" s="208"/>
      <c r="F321" s="208"/>
      <c r="G321" s="208"/>
      <c r="H321" s="208"/>
      <c r="I321" s="208"/>
      <c r="J321" s="208"/>
      <c r="K321" s="208"/>
      <c r="L321" s="208"/>
      <c r="M321" s="208"/>
      <c r="N321" s="208"/>
      <c r="O321" s="208"/>
      <c r="P321" s="208"/>
      <c r="Q321" s="208"/>
      <c r="R321" s="208"/>
      <c r="S321" s="208"/>
      <c r="T321" s="208"/>
      <c r="U321" s="208"/>
      <c r="V321" s="208"/>
      <c r="W321" s="208"/>
      <c r="X321" s="103"/>
      <c r="Y321" s="209"/>
      <c r="Z321" s="210"/>
      <c r="AA321" s="209"/>
      <c r="AB321" s="102"/>
      <c r="AC321" s="10"/>
      <c r="AD321" s="5"/>
    </row>
    <row r="322" spans="1:30" x14ac:dyDescent="0.3">
      <c r="A322" s="33"/>
      <c r="B322" s="105" t="s">
        <v>106</v>
      </c>
      <c r="C322" s="34"/>
      <c r="D322" s="211"/>
      <c r="E322" s="211"/>
      <c r="F322" s="211"/>
      <c r="G322" s="211"/>
      <c r="H322" s="211"/>
      <c r="I322" s="211"/>
      <c r="J322" s="211"/>
      <c r="K322" s="211"/>
      <c r="L322" s="211"/>
      <c r="M322" s="211"/>
      <c r="N322" s="211"/>
      <c r="O322" s="211"/>
      <c r="P322" s="211"/>
      <c r="Q322" s="211"/>
      <c r="R322" s="211"/>
      <c r="S322" s="211"/>
      <c r="T322" s="211"/>
      <c r="U322" s="211"/>
      <c r="V322" s="211"/>
      <c r="W322" s="211"/>
      <c r="X322" s="157" t="s">
        <v>69</v>
      </c>
      <c r="Y322" s="106" t="s">
        <v>70</v>
      </c>
      <c r="Z322" s="157" t="s">
        <v>75</v>
      </c>
      <c r="AA322" s="106" t="s">
        <v>70</v>
      </c>
      <c r="AB322" s="34"/>
      <c r="AC322" s="37"/>
      <c r="AD322" s="5"/>
    </row>
    <row r="323" spans="1:30" s="23" customFormat="1" x14ac:dyDescent="0.3">
      <c r="A323" s="18"/>
      <c r="B323" s="109" t="s">
        <v>59</v>
      </c>
      <c r="C323" s="38"/>
      <c r="D323" s="212"/>
      <c r="E323" s="212"/>
      <c r="F323" s="212"/>
      <c r="G323" s="212"/>
      <c r="H323" s="212"/>
      <c r="I323" s="212"/>
      <c r="J323" s="212"/>
      <c r="K323" s="212"/>
      <c r="L323" s="212"/>
      <c r="M323" s="212"/>
      <c r="N323" s="212"/>
      <c r="O323" s="212"/>
      <c r="P323" s="212"/>
      <c r="Q323" s="212"/>
      <c r="R323" s="212"/>
      <c r="S323" s="212"/>
      <c r="T323" s="212"/>
      <c r="U323" s="212"/>
      <c r="V323" s="212"/>
      <c r="W323" s="212"/>
      <c r="X323" s="109">
        <v>0</v>
      </c>
      <c r="Y323" s="195">
        <v>0</v>
      </c>
      <c r="Z323" s="110">
        <v>0</v>
      </c>
      <c r="AA323" s="195">
        <v>0</v>
      </c>
      <c r="AB323" s="38"/>
      <c r="AC323" s="21"/>
      <c r="AD323" s="22"/>
    </row>
    <row r="324" spans="1:30" s="23" customFormat="1" x14ac:dyDescent="0.3">
      <c r="A324" s="48"/>
      <c r="B324" s="100" t="s">
        <v>60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61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100</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101</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102</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t="s">
        <v>103</v>
      </c>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v>0</v>
      </c>
      <c r="Y329" s="201">
        <v>0</v>
      </c>
      <c r="Z329" s="101">
        <v>0</v>
      </c>
      <c r="AA329" s="201">
        <v>0</v>
      </c>
      <c r="AB329" s="41"/>
      <c r="AC329" s="44"/>
      <c r="AD329" s="22"/>
    </row>
    <row r="330" spans="1:30" s="23" customFormat="1" x14ac:dyDescent="0.3">
      <c r="A330" s="48"/>
      <c r="B330" s="100" t="s">
        <v>104</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v>0</v>
      </c>
      <c r="Y330" s="201">
        <v>0</v>
      </c>
      <c r="Z330" s="101">
        <v>0</v>
      </c>
      <c r="AA330" s="201">
        <v>0</v>
      </c>
      <c r="AB330" s="41"/>
      <c r="AC330" s="44"/>
      <c r="AD330" s="22"/>
    </row>
    <row r="331" spans="1:30" s="23" customFormat="1" x14ac:dyDescent="0.3">
      <c r="A331" s="48"/>
      <c r="B331" s="100"/>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1" t="s">
        <v>80</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100">
        <f>SUM(X323:X330)</f>
        <v>0</v>
      </c>
      <c r="Y332" s="201">
        <f>SUM(Y323:Y330)</f>
        <v>0</v>
      </c>
      <c r="Z332" s="101">
        <f>SUM(Z323:Z330)</f>
        <v>0</v>
      </c>
      <c r="AA332" s="201">
        <f>SUM(AA323:AA330)</f>
        <v>0</v>
      </c>
      <c r="AB332" s="41"/>
      <c r="AC332" s="44"/>
      <c r="AD332" s="22"/>
    </row>
    <row r="333" spans="1:30" s="23" customFormat="1" x14ac:dyDescent="0.3">
      <c r="A333" s="48"/>
      <c r="B333" s="41"/>
      <c r="C333" s="41"/>
      <c r="D333" s="207"/>
      <c r="E333" s="207"/>
      <c r="F333" s="207"/>
      <c r="G333" s="207"/>
      <c r="H333" s="207"/>
      <c r="I333" s="207"/>
      <c r="J333" s="207"/>
      <c r="K333" s="207"/>
      <c r="L333" s="207"/>
      <c r="M333" s="207"/>
      <c r="N333" s="207"/>
      <c r="O333" s="207"/>
      <c r="P333" s="207"/>
      <c r="Q333" s="207"/>
      <c r="R333" s="207"/>
      <c r="S333" s="207"/>
      <c r="T333" s="207"/>
      <c r="U333" s="207"/>
      <c r="V333" s="207"/>
      <c r="W333" s="207"/>
      <c r="X333" s="100"/>
      <c r="Y333" s="201"/>
      <c r="Z333" s="101"/>
      <c r="AA333" s="201"/>
      <c r="AB333" s="41"/>
      <c r="AC333" s="44"/>
      <c r="AD333" s="22"/>
    </row>
    <row r="334" spans="1:30" s="23" customFormat="1" x14ac:dyDescent="0.3">
      <c r="A334" s="48"/>
      <c r="B334" s="45" t="s">
        <v>139</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213">
        <f>X332+X320+X308</f>
        <v>4139</v>
      </c>
      <c r="Y334" s="201"/>
      <c r="Z334" s="214">
        <f>+Z332+Z320+Z308</f>
        <v>701782</v>
      </c>
      <c r="AA334" s="201"/>
      <c r="AB334" s="41"/>
      <c r="AC334" s="44"/>
      <c r="AD334" s="22"/>
    </row>
    <row r="335" spans="1:30" s="23" customFormat="1" x14ac:dyDescent="0.3">
      <c r="A335" s="48"/>
      <c r="B335" s="45" t="s">
        <v>259</v>
      </c>
      <c r="C335" s="45"/>
      <c r="D335" s="215"/>
      <c r="E335" s="215"/>
      <c r="F335" s="215"/>
      <c r="G335" s="215"/>
      <c r="H335" s="215"/>
      <c r="I335" s="215"/>
      <c r="J335" s="215"/>
      <c r="K335" s="215"/>
      <c r="L335" s="215"/>
      <c r="M335" s="215"/>
      <c r="N335" s="215"/>
      <c r="O335" s="215"/>
      <c r="P335" s="215"/>
      <c r="Q335" s="215"/>
      <c r="R335" s="215"/>
      <c r="S335" s="215"/>
      <c r="T335" s="215"/>
      <c r="U335" s="215"/>
      <c r="V335" s="215"/>
      <c r="W335" s="215"/>
      <c r="X335" s="213"/>
      <c r="Y335" s="216"/>
      <c r="Z335" s="214">
        <f>+AB63+AB64</f>
        <v>4066</v>
      </c>
      <c r="AA335" s="201"/>
      <c r="AB335" s="41"/>
      <c r="AC335" s="44"/>
      <c r="AD335" s="22"/>
    </row>
    <row r="336" spans="1:30" s="23" customFormat="1" x14ac:dyDescent="0.3">
      <c r="A336" s="48"/>
      <c r="B336" s="45" t="s">
        <v>107</v>
      </c>
      <c r="C336" s="45"/>
      <c r="D336" s="215"/>
      <c r="E336" s="215"/>
      <c r="F336" s="215"/>
      <c r="G336" s="215"/>
      <c r="H336" s="215"/>
      <c r="I336" s="215"/>
      <c r="J336" s="215"/>
      <c r="K336" s="215"/>
      <c r="L336" s="215"/>
      <c r="M336" s="215"/>
      <c r="N336" s="215"/>
      <c r="O336" s="215"/>
      <c r="P336" s="215"/>
      <c r="Q336" s="215"/>
      <c r="R336" s="215"/>
      <c r="S336" s="215"/>
      <c r="T336" s="215"/>
      <c r="U336" s="215"/>
      <c r="V336" s="215"/>
      <c r="W336" s="215"/>
      <c r="X336" s="213"/>
      <c r="Y336" s="216"/>
      <c r="Z336" s="214">
        <f>+Z334+Z335</f>
        <v>705848</v>
      </c>
      <c r="AA336" s="201"/>
      <c r="AB336" s="41"/>
      <c r="AC336" s="44"/>
      <c r="AD336" s="22"/>
    </row>
    <row r="337" spans="1:30" s="23" customFormat="1" x14ac:dyDescent="0.3">
      <c r="A337" s="48"/>
      <c r="B337" s="45" t="s">
        <v>275</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14">
        <f>+AB66</f>
        <v>705848</v>
      </c>
      <c r="AA337" s="201"/>
      <c r="AB337" s="41"/>
      <c r="AC337" s="44"/>
      <c r="AD337" s="22"/>
    </row>
    <row r="338" spans="1:30" s="23" customFormat="1" x14ac:dyDescent="0.3">
      <c r="A338" s="48"/>
      <c r="B338" s="45"/>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213"/>
      <c r="Y338" s="201"/>
      <c r="Z338" s="214"/>
      <c r="AA338" s="201"/>
      <c r="AB338" s="41"/>
      <c r="AC338" s="44"/>
      <c r="AD338" s="22"/>
    </row>
    <row r="339" spans="1:30" s="23" customFormat="1" x14ac:dyDescent="0.3">
      <c r="A339" s="48"/>
      <c r="B339" s="45" t="s">
        <v>234</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213"/>
      <c r="Y339" s="201"/>
      <c r="Z339" s="239">
        <f>(D30*0.375+F30*0.05+H30*0.05+J30+L30)/AB30</f>
        <v>0.38325956863234012</v>
      </c>
      <c r="AA339" s="201"/>
      <c r="AB339" s="41"/>
      <c r="AC339" s="44"/>
      <c r="AD339" s="22"/>
    </row>
    <row r="340" spans="1:30" s="23" customFormat="1" x14ac:dyDescent="0.3">
      <c r="A340" s="18"/>
      <c r="B340" s="20"/>
      <c r="C340" s="20"/>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8"/>
      <c r="AA340" s="217"/>
      <c r="AB340" s="20"/>
      <c r="AC340" s="21"/>
      <c r="AD340" s="22"/>
    </row>
    <row r="341" spans="1:30" s="23" customFormat="1" x14ac:dyDescent="0.3">
      <c r="A341" s="18"/>
      <c r="B341" s="19" t="s">
        <v>62</v>
      </c>
      <c r="C341" s="20"/>
      <c r="D341" s="219"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20" t="s">
        <v>122</v>
      </c>
      <c r="E343" s="19"/>
      <c r="F343" s="19" t="s">
        <v>170</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20" t="s">
        <v>98</v>
      </c>
      <c r="E344" s="19"/>
      <c r="F344" s="19" t="s">
        <v>171</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x14ac:dyDescent="0.3">
      <c r="A345" s="221"/>
      <c r="B345" s="222"/>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4"/>
      <c r="AD345" s="5"/>
    </row>
    <row r="346" spans="1:30" x14ac:dyDescent="0.3">
      <c r="A346" s="221"/>
      <c r="B346" s="222"/>
      <c r="C346" s="222"/>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4"/>
      <c r="AD346" s="5"/>
    </row>
    <row r="347" spans="1:30" ht="18.600000000000001" thickBot="1" x14ac:dyDescent="0.4">
      <c r="A347" s="221"/>
      <c r="B347" s="225" t="str">
        <f>B244</f>
        <v>PM25 INVESTOR REPORT QUARTER ENDING OCTOBER 2018</v>
      </c>
      <c r="C347" s="222"/>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6"/>
      <c r="AD347" s="5"/>
    </row>
    <row r="348" spans="1:30"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row>
  </sheetData>
  <hyperlinks>
    <hyperlink ref="X284" r:id="rId1" display="http://www.paragon-group.co.uk" xr:uid="{00000000-0004-0000-0100-000000000000}"/>
    <hyperlink ref="K9" r:id="rId2" display="http://www.paragon-group.co.uk" xr:uid="{00000000-0004-0000-0100-000001000000}"/>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5" max="18" man="1"/>
    <brk id="244" max="18" man="1"/>
  </rowBreaks>
  <colBreaks count="1" manualBreakCount="1">
    <brk id="29" max="299" man="1"/>
  </col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7EC1F-D01A-4AD8-BC4A-E9C670080012}">
  <sheetPr>
    <tabColor rgb="FF2D2926"/>
  </sheetPr>
  <dimension ref="A1:JB375"/>
  <sheetViews>
    <sheetView showGridLines="0" tabSelected="1"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308"/>
      <c r="K18" s="20"/>
      <c r="L18" s="308"/>
      <c r="M18" s="20"/>
      <c r="N18" s="20"/>
      <c r="O18" s="20"/>
      <c r="P18" s="20"/>
      <c r="Q18" s="20"/>
      <c r="R18" s="20"/>
      <c r="S18" s="20"/>
      <c r="T18" s="20"/>
      <c r="U18" s="20"/>
      <c r="V18" s="20"/>
      <c r="W18" s="20"/>
      <c r="X18" s="20"/>
      <c r="Y18" s="20"/>
      <c r="Z18" s="20"/>
      <c r="AA18" s="20"/>
      <c r="AB18" s="229">
        <v>45065</v>
      </c>
      <c r="AC18" s="21"/>
      <c r="AD18" s="22"/>
    </row>
    <row r="19" spans="1:33" s="23" customFormat="1" x14ac:dyDescent="0.3">
      <c r="A19" s="18"/>
      <c r="B19" s="20"/>
      <c r="C19" s="20"/>
      <c r="D19" s="309"/>
      <c r="E19" s="309"/>
      <c r="F19" s="309"/>
      <c r="G19" s="309"/>
      <c r="H19" s="309"/>
      <c r="I19" s="20"/>
      <c r="J19" s="20"/>
      <c r="K19" s="20"/>
      <c r="L19" s="20"/>
      <c r="M19" s="20"/>
      <c r="N19" s="309"/>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240</v>
      </c>
      <c r="G25" s="232"/>
      <c r="H25" s="232" t="s">
        <v>381</v>
      </c>
      <c r="I25" s="232"/>
      <c r="J25" s="232" t="s">
        <v>407</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242</v>
      </c>
      <c r="G26" s="232"/>
      <c r="H26" s="232" t="s">
        <v>245</v>
      </c>
      <c r="I26" s="232"/>
      <c r="J26" s="232" t="s">
        <v>383</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+AB139+AB150+AB194+AB211</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303948</v>
      </c>
      <c r="E29" s="55"/>
      <c r="F29" s="55">
        <f t="shared" ref="F29:L29" si="0">F28*F32</f>
        <v>33500</v>
      </c>
      <c r="G29" s="55"/>
      <c r="H29" s="55">
        <f t="shared" si="0"/>
        <v>30000</v>
      </c>
      <c r="I29" s="55"/>
      <c r="J29" s="55">
        <f t="shared" si="0"/>
        <v>24700</v>
      </c>
      <c r="K29" s="55"/>
      <c r="L29" s="55">
        <f t="shared" si="0"/>
        <v>17648</v>
      </c>
      <c r="M29" s="55"/>
      <c r="N29" s="55">
        <f>N28*N32</f>
        <v>6626.4379500000005</v>
      </c>
      <c r="O29" s="55"/>
      <c r="P29" s="55">
        <v>0</v>
      </c>
      <c r="Q29" s="55"/>
      <c r="R29" s="55" t="s">
        <v>83</v>
      </c>
      <c r="S29" s="55"/>
      <c r="T29" s="55" t="s">
        <v>83</v>
      </c>
      <c r="U29" s="55"/>
      <c r="V29" s="55" t="s">
        <v>83</v>
      </c>
      <c r="W29" s="51"/>
      <c r="X29" s="55" t="s">
        <v>83</v>
      </c>
      <c r="Y29" s="51"/>
      <c r="Z29" s="51"/>
      <c r="AA29" s="50"/>
      <c r="AB29" s="51">
        <f>SUM(D29:L29)</f>
        <v>409796</v>
      </c>
      <c r="AC29" s="52"/>
      <c r="AD29" s="22"/>
    </row>
    <row r="30" spans="1:33" s="23" customFormat="1" x14ac:dyDescent="0.3">
      <c r="A30" s="48"/>
      <c r="B30" s="45" t="s">
        <v>92</v>
      </c>
      <c r="C30" s="50"/>
      <c r="D30" s="58">
        <f>D28*D31</f>
        <v>0</v>
      </c>
      <c r="E30" s="58"/>
      <c r="F30" s="58">
        <f>F28*F31</f>
        <v>0</v>
      </c>
      <c r="G30" s="58"/>
      <c r="H30" s="58">
        <f>H28*H31</f>
        <v>0</v>
      </c>
      <c r="I30" s="58"/>
      <c r="J30" s="58">
        <f>J28*J31</f>
        <v>0</v>
      </c>
      <c r="K30" s="58"/>
      <c r="L30" s="58">
        <f>L28*L31</f>
        <v>0</v>
      </c>
      <c r="M30" s="58"/>
      <c r="N30" s="58">
        <f>N28*N31</f>
        <v>0</v>
      </c>
      <c r="O30" s="58"/>
      <c r="P30" s="58">
        <v>0</v>
      </c>
      <c r="Q30" s="58"/>
      <c r="R30" s="58" t="s">
        <v>83</v>
      </c>
      <c r="S30" s="58"/>
      <c r="T30" s="58" t="s">
        <v>83</v>
      </c>
      <c r="U30" s="58"/>
      <c r="V30" s="58" t="s">
        <v>83</v>
      </c>
      <c r="W30" s="57"/>
      <c r="X30" s="58" t="s">
        <v>83</v>
      </c>
      <c r="Y30" s="51"/>
      <c r="Z30" s="51"/>
      <c r="AA30" s="50"/>
      <c r="AB30" s="57">
        <f>SUM(D30:L30)</f>
        <v>0</v>
      </c>
      <c r="AC30" s="52"/>
      <c r="AD30" s="22"/>
      <c r="AE30" s="238"/>
    </row>
    <row r="31" spans="1:33" s="67" customFormat="1" x14ac:dyDescent="0.3">
      <c r="A31" s="59"/>
      <c r="B31" s="169" t="s">
        <v>88</v>
      </c>
      <c r="C31" s="63"/>
      <c r="D31" s="61">
        <v>0</v>
      </c>
      <c r="E31" s="61"/>
      <c r="F31" s="61">
        <v>0</v>
      </c>
      <c r="G31" s="61"/>
      <c r="H31" s="61">
        <v>0</v>
      </c>
      <c r="I31" s="61"/>
      <c r="J31" s="61">
        <v>0</v>
      </c>
      <c r="K31" s="61"/>
      <c r="L31" s="61">
        <v>0</v>
      </c>
      <c r="M31" s="61"/>
      <c r="N31" s="61">
        <v>0</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0.50658000000000003</v>
      </c>
      <c r="E32" s="61"/>
      <c r="F32" s="61">
        <v>1</v>
      </c>
      <c r="G32" s="61"/>
      <c r="H32" s="61">
        <v>1</v>
      </c>
      <c r="I32" s="61"/>
      <c r="J32" s="61">
        <v>1</v>
      </c>
      <c r="K32" s="61"/>
      <c r="L32" s="61">
        <v>1</v>
      </c>
      <c r="M32" s="61"/>
      <c r="N32" s="61">
        <v>0.60665000000000002</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270" t="s">
        <v>404</v>
      </c>
      <c r="C33" s="41"/>
      <c r="D33" s="49" t="s">
        <v>394</v>
      </c>
      <c r="E33" s="49"/>
      <c r="F33" s="49" t="s">
        <v>395</v>
      </c>
      <c r="G33" s="49"/>
      <c r="H33" s="49" t="s">
        <v>396</v>
      </c>
      <c r="I33" s="49"/>
      <c r="J33" s="49" t="s">
        <v>397</v>
      </c>
      <c r="K33" s="49"/>
      <c r="L33" s="49" t="s">
        <v>398</v>
      </c>
      <c r="M33" s="49"/>
      <c r="N33" s="49" t="s">
        <v>399</v>
      </c>
      <c r="O33" s="49"/>
      <c r="P33" s="49" t="s">
        <v>399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4.8453700000000002E-2</v>
      </c>
      <c r="E34" s="71"/>
      <c r="F34" s="71">
        <v>5.1453699999999998E-2</v>
      </c>
      <c r="G34" s="71"/>
      <c r="H34" s="71">
        <v>5.4953700000000001E-2</v>
      </c>
      <c r="I34" s="71"/>
      <c r="J34" s="71">
        <v>5.7953699999999997E-2</v>
      </c>
      <c r="K34" s="71"/>
      <c r="L34" s="71">
        <v>6.7953700000000006E-2</v>
      </c>
      <c r="M34" s="71"/>
      <c r="N34" s="71">
        <v>8.1953700000000004E-2</v>
      </c>
      <c r="O34" s="71"/>
      <c r="P34" s="71">
        <v>8.1953700000000004E-2</v>
      </c>
      <c r="Q34" s="71"/>
      <c r="R34" s="71" t="s">
        <v>83</v>
      </c>
      <c r="S34" s="71"/>
      <c r="T34" s="71" t="s">
        <v>83</v>
      </c>
      <c r="U34" s="71"/>
      <c r="V34" s="71" t="s">
        <v>83</v>
      </c>
      <c r="W34" s="70"/>
      <c r="X34" s="71" t="s">
        <v>83</v>
      </c>
      <c r="Y34" s="49"/>
      <c r="Z34" s="49"/>
      <c r="AA34" s="41"/>
      <c r="AB34" s="70">
        <f>SUMPRODUCT(D34:L34,D29:L29)/AB29</f>
        <v>5.0587166407676007E-2</v>
      </c>
      <c r="AC34" s="44"/>
      <c r="AD34" s="22"/>
    </row>
    <row r="35" spans="1:30" s="23" customFormat="1" x14ac:dyDescent="0.3">
      <c r="A35" s="48"/>
      <c r="B35" s="41" t="s">
        <v>10</v>
      </c>
      <c r="C35" s="72"/>
      <c r="D35" s="71">
        <v>4.0414699999999998E-2</v>
      </c>
      <c r="E35" s="71"/>
      <c r="F35" s="71">
        <v>4.3414700000000001E-2</v>
      </c>
      <c r="G35" s="71"/>
      <c r="H35" s="71">
        <v>4.6914699999999997E-2</v>
      </c>
      <c r="I35" s="71"/>
      <c r="J35" s="71">
        <v>4.9914699999999999E-2</v>
      </c>
      <c r="K35" s="71"/>
      <c r="L35" s="71">
        <v>5.9914700000000001E-2</v>
      </c>
      <c r="M35" s="71"/>
      <c r="N35" s="71">
        <v>7.39147E-2</v>
      </c>
      <c r="O35" s="71"/>
      <c r="P35" s="71">
        <v>7.39147E-2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270" t="s">
        <v>405</v>
      </c>
      <c r="C38" s="41"/>
      <c r="D38" s="49" t="s">
        <v>400</v>
      </c>
      <c r="E38" s="49"/>
      <c r="F38" s="49" t="s">
        <v>401</v>
      </c>
      <c r="G38" s="49"/>
      <c r="H38" s="49" t="s">
        <v>402</v>
      </c>
      <c r="I38" s="49"/>
      <c r="J38" s="49" t="s">
        <v>403</v>
      </c>
      <c r="K38" s="49"/>
      <c r="L38" s="49" t="s">
        <v>398</v>
      </c>
      <c r="M38" s="49"/>
      <c r="N38" s="49" t="s">
        <v>399</v>
      </c>
      <c r="O38" s="49"/>
      <c r="P38" s="49" t="s">
        <v>399</v>
      </c>
      <c r="Q38" s="49"/>
      <c r="R38" s="49" t="s">
        <v>83</v>
      </c>
      <c r="S38" s="49"/>
      <c r="T38" s="49" t="s">
        <v>83</v>
      </c>
      <c r="U38" s="49"/>
      <c r="V38" s="49" t="s">
        <v>83</v>
      </c>
      <c r="W38" s="49"/>
      <c r="X38" s="49" t="s">
        <v>83</v>
      </c>
      <c r="Y38" s="73"/>
      <c r="Z38" s="73"/>
      <c r="AA38" s="73"/>
      <c r="AB38" s="73"/>
      <c r="AC38" s="44"/>
      <c r="AD38" s="22"/>
    </row>
    <row r="39" spans="1:30" s="23" customFormat="1" x14ac:dyDescent="0.3">
      <c r="A39" s="48"/>
      <c r="B39" s="270" t="s">
        <v>406</v>
      </c>
      <c r="C39" s="41"/>
      <c r="D39" s="49" t="s">
        <v>400</v>
      </c>
      <c r="E39" s="49"/>
      <c r="F39" s="49" t="s">
        <v>401</v>
      </c>
      <c r="G39" s="49"/>
      <c r="H39" s="49" t="s">
        <v>402</v>
      </c>
      <c r="I39" s="49"/>
      <c r="J39" s="49" t="s">
        <v>403</v>
      </c>
      <c r="K39" s="49"/>
      <c r="L39" s="49" t="s">
        <v>398</v>
      </c>
      <c r="M39" s="49"/>
      <c r="N39" s="49" t="s">
        <v>399</v>
      </c>
      <c r="O39" s="49"/>
      <c r="P39" s="49" t="s">
        <v>399</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t="s">
        <v>83</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45061</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44880</v>
      </c>
      <c r="AA47" s="80"/>
      <c r="AB47" s="79">
        <v>44971</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89</v>
      </c>
      <c r="Y48" s="41"/>
      <c r="Z48" s="79">
        <v>44972</v>
      </c>
      <c r="AA48" s="80"/>
      <c r="AB48" s="79">
        <v>45060</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45060</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416</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409795</v>
      </c>
      <c r="S57" s="241"/>
      <c r="T57" s="240">
        <f>325+108</f>
        <v>433</v>
      </c>
      <c r="U57" s="241"/>
      <c r="V57" s="241">
        <v>409362</v>
      </c>
      <c r="W57" s="241"/>
      <c r="X57" s="241">
        <v>0</v>
      </c>
      <c r="Y57" s="241"/>
      <c r="Z57" s="241">
        <v>0</v>
      </c>
      <c r="AA57" s="241"/>
      <c r="AB57" s="240">
        <f>R57-T57-V57+X57-Z57</f>
        <v>0</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409795</v>
      </c>
      <c r="S60" s="241"/>
      <c r="T60" s="241">
        <f>T57+T58</f>
        <v>433</v>
      </c>
      <c r="U60" s="241"/>
      <c r="V60" s="241">
        <f>SUM(V57:V59)</f>
        <v>409362</v>
      </c>
      <c r="W60" s="241"/>
      <c r="X60" s="241">
        <f>SUM(X57:X59)</f>
        <v>0</v>
      </c>
      <c r="Y60" s="241"/>
      <c r="Z60" s="241">
        <f>SUM(Z57:Z59)</f>
        <v>0</v>
      </c>
      <c r="AA60" s="241"/>
      <c r="AB60" s="241">
        <f>SUM(AB57:AB59)</f>
        <v>0</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1</v>
      </c>
      <c r="S63" s="241"/>
      <c r="T63" s="241">
        <v>0</v>
      </c>
      <c r="U63" s="241"/>
      <c r="V63" s="241">
        <v>-1</v>
      </c>
      <c r="W63" s="241"/>
      <c r="X63" s="241"/>
      <c r="Y63" s="241"/>
      <c r="Z63" s="241"/>
      <c r="AA63" s="241"/>
      <c r="AB63" s="241">
        <f>+R63+V63</f>
        <v>0</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409796</v>
      </c>
      <c r="S66" s="241"/>
      <c r="T66" s="241"/>
      <c r="U66" s="241"/>
      <c r="V66" s="241"/>
      <c r="W66" s="241"/>
      <c r="X66" s="241"/>
      <c r="Y66" s="241"/>
      <c r="Z66" s="241"/>
      <c r="AA66" s="241"/>
      <c r="AB66" s="241">
        <f>SUM(AB60:AB65)</f>
        <v>0</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+Z246</f>
        <v>45044</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1</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+T57+V57+Z57+5</f>
        <v>409800</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1390+4595-269-688</f>
        <v>5028</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18+79</f>
        <v>97</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590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5805</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821</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412</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f>3551+3240</f>
        <v>6791</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409801</v>
      </c>
      <c r="AA85" s="41"/>
      <c r="AB85" s="100">
        <f>SUM(AB70:AB84)</f>
        <v>19132</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409801</v>
      </c>
      <c r="AA88" s="41"/>
      <c r="AB88" s="100">
        <f>AB85+AB86+AB87</f>
        <v>19132</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-200-10-7</f>
        <v>-217</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1557</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-3594</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-420</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1"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-402</v>
      </c>
      <c r="AC97" s="117"/>
      <c r="AD97" s="5"/>
    </row>
    <row r="98" spans="1:31"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-349</v>
      </c>
      <c r="AC98" s="117"/>
      <c r="AD98" s="5"/>
    </row>
    <row r="99" spans="1:31"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1"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1"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-5</v>
      </c>
      <c r="AA101" s="115"/>
      <c r="AB101" s="101">
        <v>5</v>
      </c>
      <c r="AC101" s="117"/>
      <c r="AD101" s="5"/>
    </row>
    <row r="102" spans="1:31"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1"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0</v>
      </c>
      <c r="AC103" s="117"/>
      <c r="AD103" s="5"/>
    </row>
    <row r="104" spans="1:31"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-20</v>
      </c>
      <c r="AC104" s="117"/>
      <c r="AD104" s="5"/>
      <c r="AE104" s="300"/>
    </row>
    <row r="105" spans="1:31"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c r="AE105" s="300"/>
    </row>
    <row r="106" spans="1:31"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1"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-292</v>
      </c>
      <c r="AC107" s="117"/>
      <c r="AD107" s="5"/>
    </row>
    <row r="108" spans="1:31"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-132</v>
      </c>
      <c r="AC108" s="117"/>
      <c r="AD108" s="5"/>
    </row>
    <row r="109" spans="1:31"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f>-5805-821</f>
        <v>-6626</v>
      </c>
      <c r="AC109" s="117"/>
      <c r="AD109" s="5"/>
    </row>
    <row r="110" spans="1:31"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1"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1"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1"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-208-4</f>
        <v>-212</v>
      </c>
      <c r="AC113" s="117"/>
      <c r="AD113" s="5"/>
    </row>
    <row r="114" spans="1:31"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1"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-8423</v>
      </c>
      <c r="AC115" s="117"/>
      <c r="AD115" s="5"/>
      <c r="AE115" s="300"/>
    </row>
    <row r="116" spans="1:31"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1"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1"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1"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1"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1"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1"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1"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1"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0</v>
      </c>
      <c r="AA124" s="100"/>
      <c r="AB124" s="101"/>
      <c r="AC124" s="44"/>
      <c r="AD124" s="22"/>
    </row>
    <row r="125" spans="1:31"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-303948</v>
      </c>
      <c r="AA125" s="100"/>
      <c r="AB125" s="101"/>
      <c r="AC125" s="44"/>
      <c r="AD125" s="22"/>
    </row>
    <row r="126" spans="1:31"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-33500</v>
      </c>
      <c r="AA126" s="100"/>
      <c r="AB126" s="101"/>
      <c r="AC126" s="44"/>
      <c r="AD126" s="22"/>
    </row>
    <row r="127" spans="1:31"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-30000</v>
      </c>
      <c r="AA127" s="100"/>
      <c r="AB127" s="101"/>
      <c r="AC127" s="44"/>
      <c r="AD127" s="22"/>
    </row>
    <row r="128" spans="1:31"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-24700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-17648</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-409796</v>
      </c>
      <c r="AA131" s="100"/>
      <c r="AB131" s="100">
        <f>SUM(AB89:AB129)</f>
        <v>-19132</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APRIL 2023</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v>5806</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1"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1"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-5806</v>
      </c>
      <c r="AC146" s="44"/>
      <c r="AD146" s="22"/>
    </row>
    <row r="147" spans="1:31"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0</v>
      </c>
      <c r="AC147" s="44"/>
      <c r="AD147" s="22"/>
      <c r="AE147" s="118"/>
    </row>
    <row r="148" spans="1:31"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c r="AE148" s="300"/>
    </row>
    <row r="149" spans="1:31"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1"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1"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v>821</v>
      </c>
      <c r="AC151" s="44"/>
      <c r="AD151" s="22"/>
    </row>
    <row r="152" spans="1:31"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1"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1"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1"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1"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1"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1"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1"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-821</v>
      </c>
      <c r="AC159" s="44"/>
      <c r="AD159" s="22"/>
    </row>
    <row r="160" spans="1:31"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0</v>
      </c>
      <c r="AC160" s="44"/>
      <c r="AD160" s="307"/>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+'Jan 23'!AB166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-5</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-5</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5</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v>0</v>
      </c>
      <c r="AC178" s="44"/>
      <c r="AD178" s="22"/>
    </row>
    <row r="179" spans="1:262" s="23" customFormat="1" x14ac:dyDescent="0.3">
      <c r="A179" s="48"/>
      <c r="B179" s="41" t="s">
        <v>357</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v>0</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v>0</v>
      </c>
      <c r="AC180" s="44"/>
      <c r="AD180" s="22"/>
      <c r="AE180" s="118"/>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240">
        <v>0</v>
      </c>
      <c r="AC181" s="310"/>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240">
        <f>AB178+AB179+AB180-AB181</f>
        <v>0</v>
      </c>
      <c r="AC182" s="44"/>
      <c r="AD182" s="22"/>
      <c r="AE182" s="118"/>
    </row>
    <row r="183" spans="1:262" ht="16.2" thickBot="1" x14ac:dyDescent="0.35">
      <c r="A183" s="7"/>
      <c r="B183" s="41" t="s">
        <v>388</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306">
        <v>0</v>
      </c>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+'Jan 23'!AB190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60" t="s">
        <v>415</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240">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413</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+'Jan 23'!AB198</f>
        <v>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AB195-AB196+AB197</f>
        <v>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+'Jan 23'!AB207</f>
        <v>3240</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240">
        <f>AB213</f>
        <v>3551</v>
      </c>
      <c r="AC204" s="310"/>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410</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240">
        <v>0</v>
      </c>
      <c r="AC205" s="310"/>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257</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AB84</f>
        <v>6791</v>
      </c>
      <c r="AC206" s="44"/>
      <c r="AD206" s="22"/>
      <c r="AE206" s="118"/>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0" customFormat="1" x14ac:dyDescent="0.3">
      <c r="A207" s="48"/>
      <c r="B207" s="41" t="s">
        <v>371</v>
      </c>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240">
        <f>AB203+AB204-AB206-AB205</f>
        <v>0</v>
      </c>
      <c r="AC207" s="44"/>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42" customFormat="1" ht="16.2" thickBot="1" x14ac:dyDescent="0.35">
      <c r="A208" s="141"/>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29"/>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7"/>
      <c r="AC209" s="4"/>
      <c r="AD209" s="5"/>
    </row>
    <row r="210" spans="1:262" s="139" customFormat="1" x14ac:dyDescent="0.3">
      <c r="A210" s="7"/>
      <c r="B210" s="128" t="s">
        <v>374</v>
      </c>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38"/>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40" customFormat="1" x14ac:dyDescent="0.3">
      <c r="A211" s="48"/>
      <c r="B211" s="41" t="s">
        <v>229</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v>300</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41" t="s">
        <v>230</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f>+'Jan 23'!AB215</f>
        <v>3551</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296</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v>3551</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60" t="s">
        <v>258</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-AB103</f>
        <v>0</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0" customFormat="1" x14ac:dyDescent="0.3">
      <c r="A215" s="48"/>
      <c r="B215" s="41" t="s">
        <v>231</v>
      </c>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101">
        <f>AB212-AB213+AB214</f>
        <v>0</v>
      </c>
      <c r="AC215" s="44"/>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42" customFormat="1" ht="16.2" thickBot="1" x14ac:dyDescent="0.35">
      <c r="A216" s="14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29"/>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7"/>
      <c r="AC217" s="4"/>
      <c r="AD217" s="5"/>
    </row>
    <row r="218" spans="1:262" s="139" customFormat="1" x14ac:dyDescent="0.3">
      <c r="A218" s="7"/>
      <c r="B218" s="128" t="s">
        <v>266</v>
      </c>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236" t="s">
        <v>272</v>
      </c>
      <c r="Z218" s="236" t="s">
        <v>273</v>
      </c>
      <c r="AA218" s="12"/>
      <c r="AB218" s="237"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40" customFormat="1" x14ac:dyDescent="0.3">
      <c r="A219" s="48"/>
      <c r="B219" s="41" t="s">
        <v>267</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+AB28*0.16</f>
        <v>112935.68000000001</v>
      </c>
      <c r="Z219" s="73"/>
      <c r="AA219" s="41"/>
      <c r="AB219" s="101"/>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268</v>
      </c>
      <c r="C220" s="41"/>
      <c r="D220" s="41"/>
      <c r="E220" s="41"/>
      <c r="F220" s="41"/>
      <c r="G220" s="41"/>
      <c r="H220" s="41"/>
      <c r="I220" s="41"/>
      <c r="J220" s="41"/>
      <c r="K220" s="41"/>
      <c r="L220" s="41"/>
      <c r="M220" s="41"/>
      <c r="N220" s="41"/>
      <c r="O220" s="41"/>
      <c r="P220" s="41"/>
      <c r="Q220" s="41"/>
      <c r="R220" s="41"/>
      <c r="S220" s="41"/>
      <c r="T220" s="41"/>
      <c r="U220" s="41"/>
      <c r="V220" s="41"/>
      <c r="W220" s="41"/>
      <c r="X220" s="41"/>
      <c r="Y220" s="101">
        <f>+'Jan 23'!Y221</f>
        <v>0</v>
      </c>
      <c r="Z220" s="101">
        <f>+'Jan 23'!Z221</f>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269</v>
      </c>
      <c r="C221" s="41"/>
      <c r="D221" s="41"/>
      <c r="E221" s="41"/>
      <c r="F221" s="41"/>
      <c r="G221" s="41"/>
      <c r="H221" s="41"/>
      <c r="I221" s="41"/>
      <c r="J221" s="41"/>
      <c r="K221" s="41"/>
      <c r="L221" s="41"/>
      <c r="M221" s="41"/>
      <c r="N221" s="41"/>
      <c r="O221" s="41"/>
      <c r="P221" s="41"/>
      <c r="Q221" s="41"/>
      <c r="R221" s="41"/>
      <c r="S221" s="41"/>
      <c r="T221" s="41"/>
      <c r="U221" s="41"/>
      <c r="V221" s="41"/>
      <c r="W221" s="41"/>
      <c r="X221" s="41"/>
      <c r="Y221" s="100">
        <v>0</v>
      </c>
      <c r="Z221" s="100">
        <v>0</v>
      </c>
      <c r="AA221" s="41"/>
      <c r="AB221" s="101">
        <f>Y221+Z221</f>
        <v>0</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270</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Y220+Y221</f>
        <v>0</v>
      </c>
      <c r="Z222" s="101">
        <f>Z221+Z220</f>
        <v>0</v>
      </c>
      <c r="AA222" s="41"/>
      <c r="AB222" s="101">
        <f>Y222+Z222</f>
        <v>0</v>
      </c>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0" customFormat="1" x14ac:dyDescent="0.3">
      <c r="A223" s="48"/>
      <c r="B223" s="41" t="s">
        <v>271</v>
      </c>
      <c r="C223" s="41"/>
      <c r="D223" s="41"/>
      <c r="E223" s="41"/>
      <c r="F223" s="41"/>
      <c r="G223" s="41"/>
      <c r="H223" s="41"/>
      <c r="I223" s="41"/>
      <c r="J223" s="41"/>
      <c r="K223" s="41"/>
      <c r="L223" s="41"/>
      <c r="M223" s="41"/>
      <c r="N223" s="41"/>
      <c r="O223" s="41"/>
      <c r="P223" s="41"/>
      <c r="Q223" s="41"/>
      <c r="R223" s="41"/>
      <c r="S223" s="41"/>
      <c r="T223" s="41"/>
      <c r="U223" s="41"/>
      <c r="V223" s="41"/>
      <c r="W223" s="41"/>
      <c r="X223" s="41"/>
      <c r="Y223" s="101">
        <f>Y219-Y222-Z222</f>
        <v>112935.68000000001</v>
      </c>
      <c r="Z223" s="73"/>
      <c r="AA223" s="41"/>
      <c r="AB223" s="101"/>
      <c r="AC223" s="44"/>
      <c r="AD223" s="22"/>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row>
    <row r="224" spans="1:262" s="142" customFormat="1" ht="16.2" thickBot="1" x14ac:dyDescent="0.35">
      <c r="A224" s="141"/>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29"/>
      <c r="AC224" s="10"/>
      <c r="AD224" s="5"/>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row>
    <row r="225" spans="1:262" x14ac:dyDescent="0.3">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137"/>
      <c r="AC225" s="4"/>
      <c r="AD225" s="5"/>
    </row>
    <row r="226" spans="1:262" s="139" customFormat="1" x14ac:dyDescent="0.3">
      <c r="A226" s="7"/>
      <c r="B226" s="128" t="s">
        <v>309</v>
      </c>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236"/>
      <c r="Z226" s="236"/>
      <c r="AA226" s="12"/>
      <c r="AB226" s="237" t="s">
        <v>80</v>
      </c>
      <c r="AC226" s="10"/>
      <c r="AD226" s="5"/>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row>
    <row r="227" spans="1:262" s="140" customFormat="1" x14ac:dyDescent="0.3">
      <c r="A227" s="48"/>
      <c r="B227" s="41" t="s">
        <v>306</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73"/>
      <c r="AA227" s="41"/>
      <c r="AB227" s="101">
        <v>0</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307</v>
      </c>
      <c r="C228" s="41"/>
      <c r="D228" s="41"/>
      <c r="E228" s="41"/>
      <c r="F228" s="41"/>
      <c r="G228" s="41"/>
      <c r="H228" s="41"/>
      <c r="I228" s="41"/>
      <c r="J228" s="41"/>
      <c r="K228" s="41"/>
      <c r="L228" s="41"/>
      <c r="M228" s="41"/>
      <c r="N228" s="41"/>
      <c r="O228" s="41"/>
      <c r="P228" s="41"/>
      <c r="Q228" s="41"/>
      <c r="R228" s="41"/>
      <c r="S228" s="41"/>
      <c r="T228" s="41"/>
      <c r="U228" s="41"/>
      <c r="V228" s="41"/>
      <c r="W228" s="41"/>
      <c r="X228" s="41"/>
      <c r="Y228" s="101"/>
      <c r="Z228" s="101"/>
      <c r="AA228" s="41"/>
      <c r="AB228" s="101">
        <v>0</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0" customFormat="1" x14ac:dyDescent="0.3">
      <c r="A229" s="48"/>
      <c r="B229" s="41" t="s">
        <v>308</v>
      </c>
      <c r="C229" s="41"/>
      <c r="D229" s="41"/>
      <c r="E229" s="41"/>
      <c r="F229" s="41"/>
      <c r="G229" s="41"/>
      <c r="H229" s="41"/>
      <c r="I229" s="41"/>
      <c r="J229" s="41"/>
      <c r="K229" s="41"/>
      <c r="L229" s="41"/>
      <c r="M229" s="41"/>
      <c r="N229" s="41"/>
      <c r="O229" s="41"/>
      <c r="P229" s="41"/>
      <c r="Q229" s="41"/>
      <c r="R229" s="41"/>
      <c r="S229" s="41"/>
      <c r="T229" s="41"/>
      <c r="U229" s="41"/>
      <c r="V229" s="41"/>
      <c r="W229" s="41"/>
      <c r="X229" s="41"/>
      <c r="Y229" s="100"/>
      <c r="Z229" s="100"/>
      <c r="AA229" s="41"/>
      <c r="AB229" s="101">
        <f>AB227-AB228</f>
        <v>0</v>
      </c>
      <c r="AC229" s="44"/>
      <c r="AD229" s="22"/>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row>
    <row r="230" spans="1:262" s="142" customFormat="1" ht="16.2" thickBot="1" x14ac:dyDescent="0.35">
      <c r="A230" s="141"/>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29"/>
      <c r="AC230" s="10"/>
      <c r="AD230" s="5"/>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row>
    <row r="231" spans="1:262" x14ac:dyDescent="0.3">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137"/>
      <c r="AC231" s="4"/>
      <c r="AD231" s="5"/>
    </row>
    <row r="232" spans="1:262" x14ac:dyDescent="0.3">
      <c r="A232" s="7"/>
      <c r="B232" s="128" t="s">
        <v>39</v>
      </c>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143"/>
      <c r="AC232" s="10"/>
      <c r="AD232" s="5"/>
      <c r="AE232" s="23"/>
    </row>
    <row r="233" spans="1:262" s="23" customFormat="1" x14ac:dyDescent="0.3">
      <c r="A233" s="48"/>
      <c r="B233" s="41" t="s">
        <v>40</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0</v>
      </c>
      <c r="AC233" s="44"/>
      <c r="AD233" s="22"/>
    </row>
    <row r="234" spans="1:262" s="23" customFormat="1" x14ac:dyDescent="0.3">
      <c r="A234" s="48"/>
      <c r="B234" s="41" t="s">
        <v>41</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v>0</v>
      </c>
      <c r="AC234" s="44"/>
      <c r="AD234" s="22"/>
    </row>
    <row r="235" spans="1:262" s="23" customFormat="1" x14ac:dyDescent="0.3">
      <c r="A235" s="48"/>
      <c r="B235" s="41" t="s">
        <v>144</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0</v>
      </c>
      <c r="AC235" s="44"/>
      <c r="AD235" s="22"/>
    </row>
    <row r="236" spans="1:262" s="23" customFormat="1" x14ac:dyDescent="0.3">
      <c r="A236" s="48"/>
      <c r="B236" s="41" t="s">
        <v>145</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v>0</v>
      </c>
      <c r="AC236" s="44"/>
      <c r="AD236" s="22"/>
    </row>
    <row r="237" spans="1:262" s="23" customFormat="1" x14ac:dyDescent="0.3">
      <c r="A237" s="48"/>
      <c r="B237" s="41" t="s">
        <v>146</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0</v>
      </c>
      <c r="AC237" s="44"/>
      <c r="AD237" s="22"/>
    </row>
    <row r="238" spans="1:262" s="23" customFormat="1" x14ac:dyDescent="0.3">
      <c r="A238" s="48"/>
      <c r="B238" s="41" t="s">
        <v>147</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v>0</v>
      </c>
      <c r="AC238" s="44"/>
      <c r="AD238" s="22"/>
    </row>
    <row r="239" spans="1:262" s="23" customFormat="1" x14ac:dyDescent="0.3">
      <c r="A239" s="48"/>
      <c r="B239" s="41" t="s">
        <v>184</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0</v>
      </c>
      <c r="AC239" s="44"/>
      <c r="AD239" s="22"/>
    </row>
    <row r="240" spans="1:262" s="23" customFormat="1" x14ac:dyDescent="0.3">
      <c r="A240" s="48"/>
      <c r="B240" s="41" t="s">
        <v>185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v>0</v>
      </c>
      <c r="AC240" s="44"/>
      <c r="AD240" s="22"/>
    </row>
    <row r="241" spans="1:30" s="23" customFormat="1" x14ac:dyDescent="0.3">
      <c r="A241" s="48"/>
      <c r="B241" s="41" t="s">
        <v>165</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0</v>
      </c>
      <c r="AC241" s="44"/>
      <c r="AD241" s="22"/>
    </row>
    <row r="242" spans="1:30" s="23" customFormat="1" x14ac:dyDescent="0.3">
      <c r="A242" s="48"/>
      <c r="B242" s="41" t="s">
        <v>166</v>
      </c>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145">
        <v>0</v>
      </c>
      <c r="AC242" s="44"/>
      <c r="AD242" s="22"/>
    </row>
    <row r="243" spans="1:30" s="23" customFormat="1" x14ac:dyDescent="0.3">
      <c r="A243" s="1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21"/>
      <c r="AD243" s="22"/>
    </row>
    <row r="244" spans="1:30" s="23" customFormat="1" x14ac:dyDescent="0.3">
      <c r="A244" s="18"/>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1"/>
      <c r="AD244" s="22"/>
    </row>
    <row r="245" spans="1:30" s="23" customFormat="1" ht="18.600000000000001" thickBot="1" x14ac:dyDescent="0.4">
      <c r="A245" s="86"/>
      <c r="B245" s="87" t="str">
        <f>B135</f>
        <v>PM25 INVESTOR REPORT QUARTER ENDING APRIL 2023</v>
      </c>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90"/>
      <c r="AD245" s="22"/>
    </row>
    <row r="246" spans="1:30" x14ac:dyDescent="0.3">
      <c r="A246" s="122"/>
      <c r="B246" s="123" t="s">
        <v>42</v>
      </c>
      <c r="C246" s="146"/>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v>45044</v>
      </c>
      <c r="AA246" s="124"/>
      <c r="AB246" s="124"/>
      <c r="AC246" s="126"/>
      <c r="AD246" s="5"/>
    </row>
    <row r="247" spans="1:30" x14ac:dyDescent="0.3">
      <c r="A247" s="148"/>
      <c r="B247" s="149"/>
      <c r="C247" s="150"/>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9"/>
      <c r="AB247" s="9"/>
      <c r="AC247" s="10"/>
      <c r="AD247" s="5"/>
    </row>
    <row r="248" spans="1:30" s="23" customFormat="1" x14ac:dyDescent="0.3">
      <c r="A248" s="48"/>
      <c r="B248" s="41" t="s">
        <v>43</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3.8269999999999998E-2</v>
      </c>
      <c r="AA248" s="41"/>
      <c r="AB248" s="41"/>
      <c r="AC248" s="44"/>
      <c r="AD248" s="22"/>
    </row>
    <row r="249" spans="1:30" s="23" customFormat="1" x14ac:dyDescent="0.3">
      <c r="A249" s="48"/>
      <c r="B249" s="41" t="s">
        <v>132</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v>1.5543032113429521E-2</v>
      </c>
      <c r="AA249" s="41"/>
      <c r="AB249" s="41"/>
      <c r="AC249" s="44"/>
      <c r="AD249" s="22"/>
    </row>
    <row r="250" spans="1:30" s="23" customFormat="1" x14ac:dyDescent="0.3">
      <c r="A250" s="48"/>
      <c r="B250" s="41" t="s">
        <v>44</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f>Z248-Z249</f>
        <v>2.2726967886570477E-2</v>
      </c>
      <c r="AA250" s="41"/>
      <c r="AB250" s="41"/>
      <c r="AC250" s="44"/>
      <c r="AD250" s="22"/>
    </row>
    <row r="251" spans="1:30" s="23" customFormat="1" x14ac:dyDescent="0.3">
      <c r="A251" s="48"/>
      <c r="B251" s="41" t="s">
        <v>45</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v>0</v>
      </c>
      <c r="AA251" s="41"/>
      <c r="AB251" s="41"/>
      <c r="AC251" s="44"/>
      <c r="AD251" s="22"/>
    </row>
    <row r="252" spans="1:30" s="23" customFormat="1" x14ac:dyDescent="0.3">
      <c r="A252" s="48"/>
      <c r="B252" s="41" t="s">
        <v>133</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v>0</v>
      </c>
      <c r="AA252" s="41"/>
      <c r="AB252" s="41"/>
      <c r="AC252" s="44"/>
      <c r="AD252" s="22"/>
    </row>
    <row r="253" spans="1:30" s="23" customFormat="1" x14ac:dyDescent="0.3">
      <c r="A253" s="48"/>
      <c r="B253" s="41" t="s">
        <v>46</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Z251-Z252</f>
        <v>0</v>
      </c>
      <c r="AA253" s="41"/>
      <c r="AB253" s="41"/>
      <c r="AC253" s="44"/>
      <c r="AD253" s="22"/>
    </row>
    <row r="254" spans="1:30" s="23" customFormat="1" x14ac:dyDescent="0.3">
      <c r="A254" s="48"/>
      <c r="B254" s="41" t="s">
        <v>119</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70">
        <v>0</v>
      </c>
      <c r="AA254" s="41"/>
      <c r="AB254" s="41"/>
      <c r="AC254" s="44"/>
      <c r="AD254" s="22"/>
    </row>
    <row r="255" spans="1:30" s="23" customFormat="1" x14ac:dyDescent="0.3">
      <c r="A255" s="48"/>
      <c r="B255" s="41" t="s">
        <v>112</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148</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149</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186</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167</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208</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209</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153">
        <v>54923</v>
      </c>
      <c r="AA261" s="41"/>
      <c r="AB261" s="41"/>
      <c r="AC261" s="44"/>
      <c r="AD261" s="22"/>
    </row>
    <row r="262" spans="1:30" s="23" customFormat="1" x14ac:dyDescent="0.3">
      <c r="A262" s="48"/>
      <c r="B262" s="41" t="s">
        <v>47</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18.690000000000001</v>
      </c>
      <c r="AA262" s="41" t="s">
        <v>76</v>
      </c>
      <c r="AB262" s="41"/>
      <c r="AC262" s="44"/>
      <c r="AD262" s="22"/>
    </row>
    <row r="263" spans="1:30" s="23" customFormat="1" x14ac:dyDescent="0.3">
      <c r="A263" s="48"/>
      <c r="B263" s="41" t="s">
        <v>48</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4">
        <v>0</v>
      </c>
      <c r="AA263" s="41" t="s">
        <v>76</v>
      </c>
      <c r="AB263" s="41"/>
      <c r="AC263" s="44"/>
      <c r="AD263" s="22"/>
    </row>
    <row r="264" spans="1:30" s="23" customFormat="1" x14ac:dyDescent="0.3">
      <c r="A264" s="48"/>
      <c r="B264" s="41" t="s">
        <v>49</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f>(+T57+V57+Z57)/(R57+R63)</f>
        <v>0.99999755976144233</v>
      </c>
      <c r="AA264" s="41"/>
      <c r="AB264" s="41"/>
      <c r="AC264" s="44"/>
      <c r="AD264" s="22"/>
    </row>
    <row r="265" spans="1:30" s="23" customFormat="1" x14ac:dyDescent="0.3">
      <c r="A265" s="48"/>
      <c r="B265" s="41" t="s">
        <v>50</v>
      </c>
      <c r="C265" s="152"/>
      <c r="D265" s="76"/>
      <c r="E265" s="76"/>
      <c r="F265" s="76"/>
      <c r="G265" s="76"/>
      <c r="H265" s="76"/>
      <c r="I265" s="76"/>
      <c r="J265" s="76"/>
      <c r="K265" s="76"/>
      <c r="L265" s="76"/>
      <c r="M265" s="76"/>
      <c r="N265" s="76"/>
      <c r="O265" s="76"/>
      <c r="P265" s="76"/>
      <c r="Q265" s="76"/>
      <c r="R265" s="76"/>
      <c r="S265" s="76"/>
      <c r="T265" s="76"/>
      <c r="U265" s="76"/>
      <c r="V265" s="76"/>
      <c r="W265" s="76"/>
      <c r="X265" s="76"/>
      <c r="Y265" s="76"/>
      <c r="Z265" s="70">
        <v>1</v>
      </c>
      <c r="AA265" s="41"/>
      <c r="AB265" s="41"/>
      <c r="AC265" s="44"/>
      <c r="AD265" s="22"/>
    </row>
    <row r="266" spans="1:30" x14ac:dyDescent="0.3">
      <c r="A266" s="148"/>
      <c r="B266" s="154"/>
      <c r="C266" s="154"/>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29"/>
      <c r="AA266" s="102"/>
      <c r="AB266" s="155"/>
      <c r="AC266" s="10"/>
      <c r="AD266" s="5"/>
    </row>
    <row r="267" spans="1:30" x14ac:dyDescent="0.3">
      <c r="A267" s="156"/>
      <c r="B267" s="105" t="s">
        <v>51</v>
      </c>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t="s">
        <v>69</v>
      </c>
      <c r="Z267" s="157" t="s">
        <v>74</v>
      </c>
      <c r="AA267" s="34"/>
      <c r="AB267" s="34"/>
      <c r="AC267" s="37"/>
      <c r="AD267" s="5"/>
    </row>
    <row r="268" spans="1:30" s="23" customFormat="1" x14ac:dyDescent="0.3">
      <c r="A268" s="158"/>
      <c r="B268" s="38" t="s">
        <v>52</v>
      </c>
      <c r="C268" s="10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v>0</v>
      </c>
      <c r="Z268" s="160">
        <v>0</v>
      </c>
      <c r="AA268" s="38"/>
      <c r="AB268" s="161"/>
      <c r="AC268" s="162"/>
      <c r="AD268" s="22"/>
    </row>
    <row r="269" spans="1:30" s="23" customFormat="1" x14ac:dyDescent="0.3">
      <c r="A269" s="163"/>
      <c r="B269" s="41" t="s">
        <v>97</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+X321</f>
        <v>0</v>
      </c>
      <c r="Z269" s="165">
        <f>+Z321</f>
        <v>0</v>
      </c>
      <c r="AA269" s="41"/>
      <c r="AB269" s="166"/>
      <c r="AC269" s="167"/>
      <c r="AD269" s="22"/>
    </row>
    <row r="270" spans="1:30" s="23" customFormat="1" x14ac:dyDescent="0.3">
      <c r="A270" s="163"/>
      <c r="B270" s="41" t="s">
        <v>53</v>
      </c>
      <c r="C270" s="100"/>
      <c r="D270" s="49"/>
      <c r="E270" s="49"/>
      <c r="F270" s="49"/>
      <c r="G270" s="49"/>
      <c r="H270" s="49"/>
      <c r="I270" s="49"/>
      <c r="J270" s="49"/>
      <c r="K270" s="49"/>
      <c r="L270" s="49"/>
      <c r="M270" s="49"/>
      <c r="N270" s="49"/>
      <c r="O270" s="49"/>
      <c r="P270" s="49"/>
      <c r="Q270" s="49"/>
      <c r="R270" s="49"/>
      <c r="S270" s="49"/>
      <c r="T270" s="49"/>
      <c r="U270" s="49"/>
      <c r="V270" s="49"/>
      <c r="W270" s="49"/>
      <c r="X270" s="49"/>
      <c r="Y270" s="164">
        <f>+X343</f>
        <v>0</v>
      </c>
      <c r="Z270" s="165">
        <f>+Z343</f>
        <v>0</v>
      </c>
      <c r="AA270" s="41"/>
      <c r="AB270" s="166"/>
      <c r="AC270" s="167"/>
      <c r="AD270" s="22"/>
    </row>
    <row r="271" spans="1:30" x14ac:dyDescent="0.3">
      <c r="A271" s="168"/>
      <c r="B271" s="169" t="s">
        <v>168</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Z57</f>
        <v>0</v>
      </c>
      <c r="AA271" s="60"/>
      <c r="AB271" s="171"/>
      <c r="AC271" s="172"/>
      <c r="AD271" s="5"/>
    </row>
    <row r="272" spans="1:30" x14ac:dyDescent="0.3">
      <c r="A272" s="168"/>
      <c r="B272" s="169" t="s">
        <v>302</v>
      </c>
      <c r="C272" s="170"/>
      <c r="D272" s="60"/>
      <c r="E272" s="60"/>
      <c r="F272" s="60"/>
      <c r="G272" s="60"/>
      <c r="H272" s="60"/>
      <c r="I272" s="60"/>
      <c r="J272" s="60"/>
      <c r="K272" s="60"/>
      <c r="L272" s="60"/>
      <c r="M272" s="60"/>
      <c r="N272" s="60"/>
      <c r="O272" s="60"/>
      <c r="P272" s="60"/>
      <c r="Q272" s="60"/>
      <c r="R272" s="60"/>
      <c r="S272" s="60"/>
      <c r="T272" s="60"/>
      <c r="U272" s="60"/>
      <c r="V272" s="60"/>
      <c r="W272" s="60"/>
      <c r="X272" s="60"/>
      <c r="Y272" s="115"/>
      <c r="Z272" s="165">
        <f>-Z123</f>
        <v>0</v>
      </c>
      <c r="AA272" s="60"/>
      <c r="AB272" s="171"/>
      <c r="AC272" s="172"/>
      <c r="AD272" s="5"/>
    </row>
    <row r="273" spans="1:30" x14ac:dyDescent="0.3">
      <c r="A273" s="173"/>
      <c r="B273" s="169" t="s">
        <v>54</v>
      </c>
      <c r="C273" s="174"/>
      <c r="D273" s="60"/>
      <c r="E273" s="60"/>
      <c r="F273" s="60"/>
      <c r="G273" s="60"/>
      <c r="H273" s="60"/>
      <c r="I273" s="60"/>
      <c r="J273" s="60"/>
      <c r="K273" s="60"/>
      <c r="L273" s="60"/>
      <c r="M273" s="60"/>
      <c r="N273" s="60"/>
      <c r="O273" s="60"/>
      <c r="P273" s="60"/>
      <c r="Q273" s="60"/>
      <c r="R273" s="60"/>
      <c r="S273" s="60"/>
      <c r="T273" s="60"/>
      <c r="U273" s="60"/>
      <c r="V273" s="60"/>
      <c r="W273" s="60"/>
      <c r="X273" s="60"/>
      <c r="Y273" s="115"/>
      <c r="Z273" s="175"/>
      <c r="AA273" s="60"/>
      <c r="AB273" s="171"/>
      <c r="AC273" s="176"/>
      <c r="AD273" s="5"/>
    </row>
    <row r="274" spans="1:30" s="23" customFormat="1" x14ac:dyDescent="0.3">
      <c r="A274" s="177"/>
      <c r="B274" s="41" t="s">
        <v>55</v>
      </c>
      <c r="C274" s="41"/>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AB170</f>
        <v>-5</v>
      </c>
      <c r="AA274" s="41"/>
      <c r="AB274" s="166"/>
      <c r="AC274" s="178"/>
      <c r="AD274" s="22"/>
    </row>
    <row r="275" spans="1:30" s="23" customFormat="1" x14ac:dyDescent="0.3">
      <c r="A275" s="163"/>
      <c r="B275" s="41" t="s">
        <v>56</v>
      </c>
      <c r="C275" s="100"/>
      <c r="D275" s="41"/>
      <c r="E275" s="41"/>
      <c r="F275" s="41"/>
      <c r="G275" s="41"/>
      <c r="H275" s="41"/>
      <c r="I275" s="41"/>
      <c r="J275" s="41"/>
      <c r="K275" s="41"/>
      <c r="L275" s="41"/>
      <c r="M275" s="41"/>
      <c r="N275" s="41"/>
      <c r="O275" s="41"/>
      <c r="P275" s="41"/>
      <c r="Q275" s="41"/>
      <c r="R275" s="41"/>
      <c r="S275" s="41"/>
      <c r="T275" s="41"/>
      <c r="U275" s="41"/>
      <c r="V275" s="41"/>
      <c r="W275" s="41"/>
      <c r="X275" s="41"/>
      <c r="Y275" s="49"/>
      <c r="Z275" s="165">
        <f>+'Jan 23'!Z275+'April 23'!Z274</f>
        <v>94</v>
      </c>
      <c r="AA275" s="41"/>
      <c r="AB275" s="166"/>
      <c r="AC275" s="178"/>
      <c r="AD275" s="22"/>
    </row>
    <row r="276" spans="1:30" x14ac:dyDescent="0.3">
      <c r="A276" s="173"/>
      <c r="B276" s="169" t="s">
        <v>125</v>
      </c>
      <c r="C276" s="174"/>
      <c r="D276" s="60"/>
      <c r="E276" s="60"/>
      <c r="F276" s="60"/>
      <c r="G276" s="60"/>
      <c r="H276" s="60"/>
      <c r="I276" s="60"/>
      <c r="J276" s="60"/>
      <c r="K276" s="60"/>
      <c r="L276" s="60"/>
      <c r="M276" s="60"/>
      <c r="N276" s="60"/>
      <c r="O276" s="60"/>
      <c r="P276" s="60"/>
      <c r="Q276" s="60"/>
      <c r="R276" s="60"/>
      <c r="S276" s="60"/>
      <c r="T276" s="60"/>
      <c r="U276" s="60"/>
      <c r="V276" s="60"/>
      <c r="W276" s="60"/>
      <c r="X276" s="60"/>
      <c r="Y276" s="179"/>
      <c r="Z276" s="175"/>
      <c r="AA276" s="60"/>
      <c r="AB276" s="171"/>
      <c r="AC276" s="176"/>
      <c r="AD276" s="5"/>
    </row>
    <row r="277" spans="1:30" s="23" customFormat="1" x14ac:dyDescent="0.3">
      <c r="A277" s="177"/>
      <c r="B277" s="41" t="s">
        <v>134</v>
      </c>
      <c r="C277" s="41"/>
      <c r="D277" s="41"/>
      <c r="E277" s="41"/>
      <c r="F277" s="41"/>
      <c r="G277" s="41"/>
      <c r="H277" s="41"/>
      <c r="I277" s="41"/>
      <c r="J277" s="41"/>
      <c r="K277" s="41"/>
      <c r="L277" s="41"/>
      <c r="M277" s="41"/>
      <c r="N277" s="41"/>
      <c r="O277" s="41"/>
      <c r="P277" s="41"/>
      <c r="Q277" s="41"/>
      <c r="R277" s="41"/>
      <c r="S277" s="41"/>
      <c r="T277" s="41"/>
      <c r="U277" s="41"/>
      <c r="V277" s="41"/>
      <c r="W277" s="41"/>
      <c r="X277" s="41"/>
      <c r="Y277" s="49">
        <v>0</v>
      </c>
      <c r="Z277" s="165">
        <v>0</v>
      </c>
      <c r="AA277" s="41"/>
      <c r="AB277" s="166"/>
      <c r="AC277" s="178"/>
      <c r="AD277" s="22"/>
    </row>
    <row r="278" spans="1:30" s="23" customFormat="1" x14ac:dyDescent="0.3">
      <c r="A278" s="163"/>
      <c r="B278" s="41" t="s">
        <v>57</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s="23" customFormat="1" x14ac:dyDescent="0.3">
      <c r="A279" s="163"/>
      <c r="B279" s="41" t="s">
        <v>58</v>
      </c>
      <c r="C279" s="73"/>
      <c r="D279" s="41"/>
      <c r="E279" s="41"/>
      <c r="F279" s="41"/>
      <c r="G279" s="41"/>
      <c r="H279" s="41"/>
      <c r="I279" s="41"/>
      <c r="J279" s="41"/>
      <c r="K279" s="41"/>
      <c r="L279" s="41"/>
      <c r="M279" s="41"/>
      <c r="N279" s="41"/>
      <c r="O279" s="41"/>
      <c r="P279" s="41"/>
      <c r="Q279" s="41"/>
      <c r="R279" s="41"/>
      <c r="S279" s="41"/>
      <c r="T279" s="41"/>
      <c r="U279" s="41"/>
      <c r="V279" s="41"/>
      <c r="W279" s="41"/>
      <c r="X279" s="41"/>
      <c r="Y279" s="41"/>
      <c r="Z279" s="180">
        <v>0</v>
      </c>
      <c r="AA279" s="41"/>
      <c r="AB279" s="166"/>
      <c r="AC279" s="178"/>
      <c r="AD279" s="22"/>
    </row>
    <row r="280" spans="1:30" x14ac:dyDescent="0.3">
      <c r="A280" s="168"/>
      <c r="B280" s="169" t="s">
        <v>116</v>
      </c>
      <c r="C280" s="181"/>
      <c r="D280" s="60"/>
      <c r="E280" s="60"/>
      <c r="F280" s="60"/>
      <c r="G280" s="60"/>
      <c r="H280" s="60"/>
      <c r="I280" s="60"/>
      <c r="J280" s="60"/>
      <c r="K280" s="60"/>
      <c r="L280" s="60"/>
      <c r="M280" s="60"/>
      <c r="N280" s="60"/>
      <c r="O280" s="60"/>
      <c r="P280" s="60"/>
      <c r="Q280" s="60"/>
      <c r="R280" s="60"/>
      <c r="S280" s="60"/>
      <c r="T280" s="60"/>
      <c r="U280" s="60"/>
      <c r="V280" s="60"/>
      <c r="W280" s="60"/>
      <c r="X280" s="60"/>
      <c r="Y280" s="115"/>
      <c r="Z280" s="182"/>
      <c r="AA280" s="60"/>
      <c r="AB280" s="171"/>
      <c r="AC280" s="176"/>
      <c r="AD280" s="5"/>
    </row>
    <row r="281" spans="1:30" s="23" customFormat="1" x14ac:dyDescent="0.3">
      <c r="A281" s="163"/>
      <c r="B281" s="41" t="s">
        <v>134</v>
      </c>
      <c r="C281" s="73"/>
      <c r="D281" s="41"/>
      <c r="E281" s="41"/>
      <c r="F281" s="41"/>
      <c r="G281" s="41"/>
      <c r="H281" s="41"/>
      <c r="I281" s="41"/>
      <c r="J281" s="41"/>
      <c r="K281" s="41"/>
      <c r="L281" s="41"/>
      <c r="M281" s="41"/>
      <c r="N281" s="41"/>
      <c r="O281" s="41"/>
      <c r="P281" s="41"/>
      <c r="Q281" s="41"/>
      <c r="R281" s="41"/>
      <c r="S281" s="41"/>
      <c r="T281" s="41"/>
      <c r="U281" s="41"/>
      <c r="V281" s="41"/>
      <c r="W281" s="41"/>
      <c r="X281" s="41"/>
      <c r="Y281" s="49">
        <v>0</v>
      </c>
      <c r="Z281" s="165">
        <v>0</v>
      </c>
      <c r="AA281" s="41"/>
      <c r="AB281" s="166"/>
      <c r="AC281" s="178"/>
      <c r="AD281" s="22"/>
    </row>
    <row r="282" spans="1:30" s="23" customFormat="1" x14ac:dyDescent="0.3">
      <c r="A282" s="163"/>
      <c r="B282" s="41" t="s">
        <v>117</v>
      </c>
      <c r="C282" s="73"/>
      <c r="D282" s="41"/>
      <c r="E282" s="41"/>
      <c r="F282" s="41"/>
      <c r="G282" s="41"/>
      <c r="H282" s="41"/>
      <c r="I282" s="41"/>
      <c r="J282" s="41"/>
      <c r="K282" s="41"/>
      <c r="L282" s="41"/>
      <c r="M282" s="41"/>
      <c r="N282" s="41"/>
      <c r="O282" s="41"/>
      <c r="P282" s="41"/>
      <c r="Q282" s="41"/>
      <c r="R282" s="41"/>
      <c r="S282" s="41"/>
      <c r="T282" s="41"/>
      <c r="U282" s="41"/>
      <c r="V282" s="41"/>
      <c r="W282" s="41"/>
      <c r="X282" s="41"/>
      <c r="Y282" s="41"/>
      <c r="Z282" s="180">
        <v>0</v>
      </c>
      <c r="AA282" s="41"/>
      <c r="AB282" s="166"/>
      <c r="AC282" s="178"/>
      <c r="AD282" s="22"/>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115"/>
      <c r="Z283" s="182"/>
      <c r="AA283" s="60"/>
      <c r="AB283" s="171"/>
      <c r="AC283" s="176"/>
      <c r="AD283" s="5"/>
    </row>
    <row r="284" spans="1:30" x14ac:dyDescent="0.3">
      <c r="A284" s="168"/>
      <c r="B284" s="174"/>
      <c r="C284" s="181"/>
      <c r="D284" s="60"/>
      <c r="E284" s="60"/>
      <c r="F284" s="60"/>
      <c r="G284" s="60"/>
      <c r="H284" s="60"/>
      <c r="I284" s="60"/>
      <c r="J284" s="60"/>
      <c r="K284" s="60"/>
      <c r="L284" s="60"/>
      <c r="M284" s="60"/>
      <c r="N284" s="60"/>
      <c r="O284" s="60"/>
      <c r="P284" s="60"/>
      <c r="Q284" s="60"/>
      <c r="R284" s="60"/>
      <c r="S284" s="60"/>
      <c r="T284" s="60"/>
      <c r="U284" s="60"/>
      <c r="V284" s="60"/>
      <c r="W284" s="60"/>
      <c r="X284" s="60"/>
      <c r="Y284" s="60"/>
      <c r="Z284" s="183"/>
      <c r="AA284" s="60"/>
      <c r="AB284" s="171"/>
      <c r="AC284" s="176"/>
      <c r="AD284" s="5"/>
    </row>
    <row r="285" spans="1:30" ht="18" x14ac:dyDescent="0.35">
      <c r="A285" s="168"/>
      <c r="B285" s="184" t="s">
        <v>109</v>
      </c>
      <c r="C285" s="181"/>
      <c r="D285" s="60"/>
      <c r="E285" s="60"/>
      <c r="F285" s="60"/>
      <c r="G285" s="60"/>
      <c r="H285" s="60"/>
      <c r="I285" s="60"/>
      <c r="J285" s="60"/>
      <c r="K285" s="60"/>
      <c r="L285" s="185"/>
      <c r="M285" s="185"/>
      <c r="N285" s="185"/>
      <c r="O285" s="185"/>
      <c r="P285" s="185"/>
      <c r="Q285" s="185"/>
      <c r="R285" s="185"/>
      <c r="S285" s="185"/>
      <c r="T285" s="185"/>
      <c r="U285" s="185"/>
      <c r="V285" s="185"/>
      <c r="W285" s="60"/>
      <c r="X285" s="186" t="s">
        <v>169</v>
      </c>
      <c r="Y285" s="185"/>
      <c r="Z285" s="183"/>
      <c r="AA285" s="60"/>
      <c r="AB285" s="171"/>
      <c r="AC285" s="176"/>
      <c r="AD285" s="5"/>
    </row>
    <row r="286" spans="1:30" ht="18" x14ac:dyDescent="0.35">
      <c r="A286" s="187"/>
      <c r="B286" s="188"/>
      <c r="C286" s="189"/>
      <c r="D286" s="102"/>
      <c r="E286" s="102"/>
      <c r="F286" s="102"/>
      <c r="G286" s="102"/>
      <c r="H286" s="102"/>
      <c r="I286" s="102"/>
      <c r="J286" s="102"/>
      <c r="K286" s="102"/>
      <c r="L286" s="190"/>
      <c r="M286" s="190"/>
      <c r="N286" s="190"/>
      <c r="O286" s="190"/>
      <c r="P286" s="190"/>
      <c r="Q286" s="190"/>
      <c r="R286" s="190"/>
      <c r="S286" s="190"/>
      <c r="T286" s="190"/>
      <c r="U286" s="190"/>
      <c r="V286" s="190"/>
      <c r="W286" s="102"/>
      <c r="X286" s="102"/>
      <c r="Y286" s="102"/>
      <c r="Z286" s="191"/>
      <c r="AA286" s="102"/>
      <c r="AB286" s="155"/>
      <c r="AC286" s="192"/>
      <c r="AD286" s="5"/>
    </row>
    <row r="287" spans="1:30" x14ac:dyDescent="0.3">
      <c r="A287" s="33"/>
      <c r="B287" s="105" t="s">
        <v>126</v>
      </c>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57" t="s">
        <v>69</v>
      </c>
      <c r="Y287" s="106" t="s">
        <v>70</v>
      </c>
      <c r="Z287" s="157" t="s">
        <v>75</v>
      </c>
      <c r="AA287" s="106" t="s">
        <v>70</v>
      </c>
      <c r="AB287" s="34"/>
      <c r="AC287" s="193"/>
      <c r="AD287" s="5"/>
    </row>
    <row r="288" spans="1:30" s="23" customFormat="1" x14ac:dyDescent="0.3">
      <c r="A288" s="18"/>
      <c r="B288" s="109" t="s">
        <v>59</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9">
        <f t="shared" ref="X288:X295" si="1">+X300+X312+X334</f>
        <v>0</v>
      </c>
      <c r="Y288" s="195">
        <v>0</v>
      </c>
      <c r="Z288" s="110">
        <f t="shared" ref="Z288:Z295" si="2">+Z300+Z312+Z334</f>
        <v>0</v>
      </c>
      <c r="AA288" s="195">
        <v>0</v>
      </c>
      <c r="AB288" s="161"/>
      <c r="AC288" s="196"/>
      <c r="AD288" s="22"/>
    </row>
    <row r="289" spans="1:31" s="23" customFormat="1" x14ac:dyDescent="0.3">
      <c r="A289" s="48"/>
      <c r="B289" s="100" t="s">
        <v>60</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8">
        <f t="shared" si="1"/>
        <v>0</v>
      </c>
      <c r="Y289" s="199">
        <v>0</v>
      </c>
      <c r="Z289" s="200">
        <f t="shared" si="2"/>
        <v>0</v>
      </c>
      <c r="AA289" s="201">
        <v>0</v>
      </c>
      <c r="AB289" s="166"/>
      <c r="AC289" s="178"/>
      <c r="AD289" s="22"/>
    </row>
    <row r="290" spans="1:31" s="23" customFormat="1" x14ac:dyDescent="0.3">
      <c r="A290" s="48"/>
      <c r="B290" s="100" t="s">
        <v>61</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v>0</v>
      </c>
      <c r="Z290" s="134">
        <f t="shared" si="2"/>
        <v>0</v>
      </c>
      <c r="AA290" s="201">
        <v>0</v>
      </c>
      <c r="AB290" s="166"/>
      <c r="AC290" s="178"/>
      <c r="AD290" s="22"/>
    </row>
    <row r="291" spans="1:31" s="23" customFormat="1" x14ac:dyDescent="0.3">
      <c r="A291" s="48"/>
      <c r="B291" s="100" t="s">
        <v>100</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0</v>
      </c>
      <c r="Y291" s="203">
        <v>0</v>
      </c>
      <c r="Z291" s="134">
        <f t="shared" si="2"/>
        <v>0</v>
      </c>
      <c r="AA291" s="201">
        <v>0</v>
      </c>
      <c r="AB291" s="166"/>
      <c r="AC291" s="178"/>
      <c r="AD291" s="22"/>
    </row>
    <row r="292" spans="1:31" s="23" customFormat="1" x14ac:dyDescent="0.3">
      <c r="A292" s="48"/>
      <c r="B292" s="100" t="s">
        <v>101</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v>0</v>
      </c>
      <c r="Z292" s="134">
        <f t="shared" si="2"/>
        <v>0</v>
      </c>
      <c r="AA292" s="201">
        <v>0</v>
      </c>
      <c r="AB292" s="166"/>
      <c r="AC292" s="178"/>
      <c r="AD292" s="22"/>
    </row>
    <row r="293" spans="1:31" s="23" customFormat="1" x14ac:dyDescent="0.3">
      <c r="A293" s="48"/>
      <c r="B293" s="100" t="s">
        <v>102</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2">
        <f t="shared" si="1"/>
        <v>0</v>
      </c>
      <c r="Y293" s="203">
        <v>0</v>
      </c>
      <c r="Z293" s="134">
        <f t="shared" si="2"/>
        <v>0</v>
      </c>
      <c r="AA293" s="201">
        <v>0</v>
      </c>
      <c r="AB293" s="166"/>
      <c r="AC293" s="178"/>
      <c r="AD293" s="22"/>
    </row>
    <row r="294" spans="1:31" s="23" customFormat="1" x14ac:dyDescent="0.3">
      <c r="A294" s="48"/>
      <c r="B294" s="100" t="s">
        <v>103</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204">
        <f t="shared" si="1"/>
        <v>0</v>
      </c>
      <c r="Y294" s="205">
        <v>0</v>
      </c>
      <c r="Z294" s="206">
        <f t="shared" si="2"/>
        <v>0</v>
      </c>
      <c r="AA294" s="201">
        <v>0</v>
      </c>
      <c r="AB294" s="166"/>
      <c r="AC294" s="178"/>
      <c r="AD294" s="22"/>
    </row>
    <row r="295" spans="1:31" s="23" customFormat="1" x14ac:dyDescent="0.3">
      <c r="A295" s="48"/>
      <c r="B295" s="100" t="s">
        <v>104</v>
      </c>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9">
        <f t="shared" si="1"/>
        <v>0</v>
      </c>
      <c r="Y295" s="201">
        <v>0</v>
      </c>
      <c r="Z295" s="110">
        <f t="shared" si="2"/>
        <v>0</v>
      </c>
      <c r="AA295" s="201">
        <v>0</v>
      </c>
      <c r="AB295" s="166"/>
      <c r="AC295" s="178"/>
      <c r="AD295" s="22"/>
    </row>
    <row r="296" spans="1:31" s="23" customFormat="1" x14ac:dyDescent="0.3">
      <c r="A296" s="48"/>
      <c r="B296" s="100"/>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00"/>
      <c r="Y296" s="201"/>
      <c r="Z296" s="101"/>
      <c r="AA296" s="201"/>
      <c r="AB296" s="166"/>
      <c r="AC296" s="178"/>
      <c r="AD296" s="22"/>
    </row>
    <row r="297" spans="1:31" s="23" customFormat="1" x14ac:dyDescent="0.3">
      <c r="A297" s="48"/>
      <c r="B297" s="41" t="s">
        <v>80</v>
      </c>
      <c r="C297" s="41"/>
      <c r="D297" s="207"/>
      <c r="E297" s="207"/>
      <c r="F297" s="207"/>
      <c r="G297" s="207"/>
      <c r="H297" s="207"/>
      <c r="I297" s="207"/>
      <c r="J297" s="207"/>
      <c r="K297" s="207"/>
      <c r="L297" s="207"/>
      <c r="M297" s="207"/>
      <c r="N297" s="207"/>
      <c r="O297" s="207"/>
      <c r="P297" s="207"/>
      <c r="Q297" s="207"/>
      <c r="R297" s="207"/>
      <c r="S297" s="207"/>
      <c r="T297" s="207"/>
      <c r="U297" s="207"/>
      <c r="V297" s="207"/>
      <c r="W297" s="207"/>
      <c r="X297" s="100">
        <f>SUM(X288:X296)</f>
        <v>0</v>
      </c>
      <c r="Y297" s="201">
        <f>SUM(Y288:Y296)</f>
        <v>0</v>
      </c>
      <c r="Z297" s="101">
        <f>SUM(Z288:Z296)</f>
        <v>0</v>
      </c>
      <c r="AA297" s="201">
        <f>SUM(AA288:AA296)</f>
        <v>0</v>
      </c>
      <c r="AB297" s="41"/>
      <c r="AC297" s="44"/>
      <c r="AD297" s="22"/>
    </row>
    <row r="298" spans="1:31" x14ac:dyDescent="0.3">
      <c r="A298" s="7"/>
      <c r="B298" s="154"/>
      <c r="C298" s="189"/>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91"/>
      <c r="AA298" s="102"/>
      <c r="AB298" s="102"/>
      <c r="AC298" s="10"/>
      <c r="AD298" s="5"/>
    </row>
    <row r="299" spans="1:31" x14ac:dyDescent="0.3">
      <c r="A299" s="33"/>
      <c r="B299" s="105" t="s">
        <v>105</v>
      </c>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57" t="s">
        <v>69</v>
      </c>
      <c r="Y299" s="106" t="s">
        <v>70</v>
      </c>
      <c r="Z299" s="157" t="s">
        <v>75</v>
      </c>
      <c r="AA299" s="106" t="s">
        <v>70</v>
      </c>
      <c r="AB299" s="34"/>
      <c r="AC299" s="193"/>
      <c r="AD299" s="5"/>
    </row>
    <row r="300" spans="1:31" s="23" customFormat="1" x14ac:dyDescent="0.3">
      <c r="A300" s="18"/>
      <c r="B300" s="109" t="s">
        <v>59</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09">
        <v>0</v>
      </c>
      <c r="Y300" s="195">
        <v>0</v>
      </c>
      <c r="Z300" s="110">
        <v>0</v>
      </c>
      <c r="AA300" s="195">
        <v>0</v>
      </c>
      <c r="AB300" s="161"/>
      <c r="AC300" s="196"/>
      <c r="AD300" s="22"/>
    </row>
    <row r="301" spans="1:31" s="23" customFormat="1" x14ac:dyDescent="0.3">
      <c r="A301" s="48"/>
      <c r="B301" s="100" t="s">
        <v>60</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0</v>
      </c>
      <c r="Y301" s="201">
        <v>0</v>
      </c>
      <c r="Z301" s="101">
        <v>0</v>
      </c>
      <c r="AA301" s="201">
        <v>0</v>
      </c>
      <c r="AB301" s="166"/>
      <c r="AC301" s="178"/>
      <c r="AD301" s="22"/>
      <c r="AE301" s="118"/>
    </row>
    <row r="302" spans="1:31" s="23" customFormat="1" x14ac:dyDescent="0.3">
      <c r="A302" s="48"/>
      <c r="B302" s="100" t="s">
        <v>61</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v>0</v>
      </c>
      <c r="Z302" s="101">
        <v>0</v>
      </c>
      <c r="AA302" s="201">
        <v>0</v>
      </c>
      <c r="AB302" s="166"/>
      <c r="AC302" s="178"/>
      <c r="AD302" s="22"/>
    </row>
    <row r="303" spans="1:31" s="23" customFormat="1" x14ac:dyDescent="0.3">
      <c r="A303" s="48"/>
      <c r="B303" s="100" t="s">
        <v>100</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v>0</v>
      </c>
      <c r="Z303" s="101">
        <v>0</v>
      </c>
      <c r="AA303" s="201">
        <v>0</v>
      </c>
      <c r="AB303" s="166"/>
      <c r="AC303" s="178"/>
      <c r="AD303" s="22"/>
      <c r="AE303" s="118"/>
    </row>
    <row r="304" spans="1:31" s="23" customFormat="1" x14ac:dyDescent="0.3">
      <c r="A304" s="48"/>
      <c r="B304" s="100" t="s">
        <v>101</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v>0</v>
      </c>
      <c r="Z304" s="101">
        <v>0</v>
      </c>
      <c r="AA304" s="201">
        <v>0</v>
      </c>
      <c r="AB304" s="166"/>
      <c r="AC304" s="178"/>
      <c r="AD304" s="22"/>
    </row>
    <row r="305" spans="1:31" s="23" customFormat="1" x14ac:dyDescent="0.3">
      <c r="A305" s="48"/>
      <c r="B305" s="100" t="s">
        <v>102</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v>0</v>
      </c>
      <c r="Z305" s="101">
        <v>0</v>
      </c>
      <c r="AA305" s="201">
        <v>0</v>
      </c>
      <c r="AB305" s="166"/>
      <c r="AC305" s="178"/>
      <c r="AD305" s="22"/>
      <c r="AE305" s="118"/>
    </row>
    <row r="306" spans="1:31" s="23" customFormat="1" x14ac:dyDescent="0.3">
      <c r="A306" s="48"/>
      <c r="B306" s="100" t="s">
        <v>103</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v>0</v>
      </c>
      <c r="Z306" s="101">
        <v>0</v>
      </c>
      <c r="AA306" s="201">
        <v>0</v>
      </c>
      <c r="AB306" s="166"/>
      <c r="AC306" s="178"/>
      <c r="AD306" s="22"/>
    </row>
    <row r="307" spans="1:31" s="23" customFormat="1" x14ac:dyDescent="0.3">
      <c r="A307" s="48"/>
      <c r="B307" s="100" t="s">
        <v>104</v>
      </c>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v>0</v>
      </c>
      <c r="Y307" s="201">
        <v>0</v>
      </c>
      <c r="Z307" s="101">
        <v>0</v>
      </c>
      <c r="AA307" s="201">
        <v>0</v>
      </c>
      <c r="AB307" s="166"/>
      <c r="AC307" s="178"/>
      <c r="AD307" s="22"/>
      <c r="AE307" s="118"/>
    </row>
    <row r="308" spans="1:31" s="23" customFormat="1" x14ac:dyDescent="0.3">
      <c r="A308" s="48"/>
      <c r="B308" s="100"/>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00"/>
      <c r="Y308" s="201"/>
      <c r="Z308" s="101"/>
      <c r="AA308" s="201"/>
      <c r="AB308" s="166"/>
      <c r="AC308" s="178"/>
      <c r="AD308" s="22"/>
    </row>
    <row r="309" spans="1:31" s="23" customFormat="1" x14ac:dyDescent="0.3">
      <c r="A309" s="48"/>
      <c r="B309" s="41" t="s">
        <v>80</v>
      </c>
      <c r="C309" s="41"/>
      <c r="D309" s="207"/>
      <c r="E309" s="207"/>
      <c r="F309" s="207"/>
      <c r="G309" s="207"/>
      <c r="H309" s="207"/>
      <c r="I309" s="207"/>
      <c r="J309" s="207"/>
      <c r="K309" s="207"/>
      <c r="L309" s="207"/>
      <c r="M309" s="207"/>
      <c r="N309" s="207"/>
      <c r="O309" s="207"/>
      <c r="P309" s="207"/>
      <c r="Q309" s="207"/>
      <c r="R309" s="207"/>
      <c r="S309" s="207"/>
      <c r="T309" s="207"/>
      <c r="U309" s="207"/>
      <c r="V309" s="207"/>
      <c r="W309" s="207"/>
      <c r="X309" s="100">
        <f>SUM(X300:X308)</f>
        <v>0</v>
      </c>
      <c r="Y309" s="201">
        <f>SUM(Y300:Y308)</f>
        <v>0</v>
      </c>
      <c r="Z309" s="101">
        <f>SUM(Z300:Z308)</f>
        <v>0</v>
      </c>
      <c r="AA309" s="201">
        <f>SUM(AA300:AA308)</f>
        <v>0</v>
      </c>
      <c r="AB309" s="41"/>
      <c r="AC309" s="44"/>
      <c r="AD309" s="22"/>
    </row>
    <row r="310" spans="1:31" x14ac:dyDescent="0.3">
      <c r="A310" s="7"/>
      <c r="B310" s="102"/>
      <c r="C310" s="102"/>
      <c r="D310" s="208"/>
      <c r="E310" s="208"/>
      <c r="F310" s="208"/>
      <c r="G310" s="208"/>
      <c r="H310" s="208"/>
      <c r="I310" s="208"/>
      <c r="J310" s="208"/>
      <c r="K310" s="208"/>
      <c r="L310" s="208"/>
      <c r="M310" s="208"/>
      <c r="N310" s="208"/>
      <c r="O310" s="208"/>
      <c r="P310" s="208"/>
      <c r="Q310" s="208"/>
      <c r="R310" s="208"/>
      <c r="S310" s="208"/>
      <c r="T310" s="208"/>
      <c r="U310" s="208"/>
      <c r="V310" s="208"/>
      <c r="W310" s="208"/>
      <c r="X310" s="103"/>
      <c r="Y310" s="209"/>
      <c r="Z310" s="210"/>
      <c r="AA310" s="209"/>
      <c r="AB310" s="102"/>
      <c r="AC310" s="10"/>
      <c r="AD310" s="5"/>
    </row>
    <row r="311" spans="1:31" x14ac:dyDescent="0.3">
      <c r="A311" s="33"/>
      <c r="B311" s="105" t="s">
        <v>121</v>
      </c>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57" t="s">
        <v>69</v>
      </c>
      <c r="Y311" s="106" t="s">
        <v>70</v>
      </c>
      <c r="Z311" s="157" t="s">
        <v>75</v>
      </c>
      <c r="AA311" s="106" t="s">
        <v>70</v>
      </c>
      <c r="AB311" s="34"/>
      <c r="AC311" s="37"/>
      <c r="AD311" s="5"/>
    </row>
    <row r="312" spans="1:31" s="23" customFormat="1" x14ac:dyDescent="0.3">
      <c r="A312" s="18"/>
      <c r="B312" s="109" t="s">
        <v>59</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109">
        <v>0</v>
      </c>
      <c r="Y312" s="195">
        <v>0</v>
      </c>
      <c r="Z312" s="110">
        <v>0</v>
      </c>
      <c r="AA312" s="195">
        <v>0</v>
      </c>
      <c r="AB312" s="38"/>
      <c r="AC312" s="21"/>
      <c r="AD312" s="22"/>
    </row>
    <row r="313" spans="1:31" s="23" customFormat="1" x14ac:dyDescent="0.3">
      <c r="A313" s="48"/>
      <c r="B313" s="100" t="s">
        <v>60</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61</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100</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101</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102</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103</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t="s">
        <v>104</v>
      </c>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v>0</v>
      </c>
      <c r="Y319" s="201">
        <v>0</v>
      </c>
      <c r="Z319" s="101">
        <v>0</v>
      </c>
      <c r="AA319" s="201">
        <v>0</v>
      </c>
      <c r="AB319" s="41"/>
      <c r="AC319" s="44"/>
      <c r="AD319" s="22"/>
    </row>
    <row r="320" spans="1:31" s="23" customFormat="1" x14ac:dyDescent="0.3">
      <c r="A320" s="48"/>
      <c r="B320" s="100"/>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00"/>
      <c r="Y320" s="201"/>
      <c r="Z320" s="101"/>
      <c r="AA320" s="201"/>
      <c r="AB320" s="41"/>
      <c r="AC320" s="44"/>
      <c r="AD320" s="22"/>
    </row>
    <row r="321" spans="1:30" s="23" customFormat="1" x14ac:dyDescent="0.3">
      <c r="A321" s="48"/>
      <c r="B321" s="41" t="s">
        <v>80</v>
      </c>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f>SUM(X312:X320)</f>
        <v>0</v>
      </c>
      <c r="Y321" s="201">
        <f>SUM(Y312:Y320)</f>
        <v>0</v>
      </c>
      <c r="Z321" s="101">
        <f>SUM(Z312:Z320)</f>
        <v>0</v>
      </c>
      <c r="AA321" s="201">
        <f>SUM(AA312:AA320)</f>
        <v>0</v>
      </c>
      <c r="AB321" s="41"/>
      <c r="AC321" s="44"/>
      <c r="AD321" s="22"/>
    </row>
    <row r="322" spans="1:30" s="23" customFormat="1" x14ac:dyDescent="0.3">
      <c r="A322" s="48"/>
      <c r="B322" s="41"/>
      <c r="C322" s="41"/>
      <c r="D322" s="207"/>
      <c r="E322" s="207"/>
      <c r="F322" s="207"/>
      <c r="G322" s="207"/>
      <c r="H322" s="207"/>
      <c r="I322" s="207"/>
      <c r="J322" s="207"/>
      <c r="K322" s="207"/>
      <c r="L322" s="207"/>
      <c r="M322" s="207"/>
      <c r="N322" s="207"/>
      <c r="O322" s="207"/>
      <c r="P322" s="207"/>
      <c r="Q322" s="207"/>
      <c r="R322" s="207"/>
      <c r="S322" s="207"/>
      <c r="T322" s="207"/>
      <c r="U322" s="207"/>
      <c r="V322" s="207"/>
      <c r="W322" s="207"/>
      <c r="X322" s="100"/>
      <c r="Y322" s="201"/>
      <c r="Z322" s="101"/>
      <c r="AA322" s="201"/>
      <c r="AB322" s="41"/>
      <c r="AC322" s="44"/>
      <c r="AD322" s="22"/>
    </row>
    <row r="323" spans="1:30" s="268" customFormat="1" x14ac:dyDescent="0.3">
      <c r="A323" s="243"/>
      <c r="B323" s="244" t="s">
        <v>338</v>
      </c>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65" t="s">
        <v>69</v>
      </c>
      <c r="Y323" s="266" t="s">
        <v>70</v>
      </c>
      <c r="Z323" s="265" t="s">
        <v>75</v>
      </c>
      <c r="AA323" s="266" t="s">
        <v>70</v>
      </c>
      <c r="AB323" s="244"/>
      <c r="AC323" s="244"/>
      <c r="AD323" s="267"/>
    </row>
    <row r="324" spans="1:30" s="268" customFormat="1" x14ac:dyDescent="0.3">
      <c r="A324" s="269"/>
      <c r="B324" s="270" t="s">
        <v>339</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82">
        <v>0</v>
      </c>
      <c r="Z324" s="283">
        <v>0</v>
      </c>
      <c r="AA324" s="282">
        <v>0</v>
      </c>
      <c r="AB324" s="271"/>
      <c r="AC324" s="276"/>
      <c r="AD324" s="267"/>
    </row>
    <row r="325" spans="1:30" s="268" customFormat="1" x14ac:dyDescent="0.3">
      <c r="A325" s="269"/>
      <c r="B325" s="270" t="s">
        <v>340</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73">
        <v>0</v>
      </c>
      <c r="Y325" s="282">
        <v>0</v>
      </c>
      <c r="Z325" s="283">
        <v>0</v>
      </c>
      <c r="AA325" s="282">
        <v>0</v>
      </c>
      <c r="AB325" s="271"/>
      <c r="AC325" s="276"/>
      <c r="AD325" s="267"/>
    </row>
    <row r="326" spans="1:30" s="268" customFormat="1" x14ac:dyDescent="0.3">
      <c r="A326" s="269"/>
      <c r="B326" s="270" t="s">
        <v>341</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81">
        <v>0</v>
      </c>
      <c r="Y326" s="282">
        <v>0</v>
      </c>
      <c r="Z326" s="283">
        <v>0</v>
      </c>
      <c r="AA326" s="282">
        <v>0</v>
      </c>
      <c r="AB326" s="271"/>
      <c r="AC326" s="276"/>
      <c r="AD326" s="267"/>
    </row>
    <row r="327" spans="1:30" s="268" customFormat="1" x14ac:dyDescent="0.3">
      <c r="A327" s="269"/>
      <c r="B327" s="270" t="s">
        <v>354</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82">
        <v>0</v>
      </c>
      <c r="Z327" s="283">
        <v>0</v>
      </c>
      <c r="AA327" s="282">
        <v>0</v>
      </c>
      <c r="AB327" s="271"/>
      <c r="AC327" s="276"/>
      <c r="AD327" s="267"/>
    </row>
    <row r="328" spans="1:30" s="268" customFormat="1" x14ac:dyDescent="0.3">
      <c r="A328" s="269"/>
      <c r="B328" s="270" t="s">
        <v>345</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82">
        <v>0</v>
      </c>
      <c r="Z328" s="283">
        <v>0</v>
      </c>
      <c r="AA328" s="282">
        <v>0</v>
      </c>
      <c r="AB328" s="271"/>
      <c r="AC328" s="276"/>
      <c r="AD328" s="267"/>
    </row>
    <row r="329" spans="1:30" s="268" customFormat="1" x14ac:dyDescent="0.3">
      <c r="A329" s="269"/>
      <c r="B329" s="277" t="s">
        <v>344</v>
      </c>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v>0</v>
      </c>
      <c r="Y329" s="305">
        <v>0</v>
      </c>
      <c r="Z329" s="283">
        <v>0</v>
      </c>
      <c r="AA329" s="305">
        <v>0</v>
      </c>
      <c r="AB329" s="271"/>
      <c r="AC329" s="276"/>
      <c r="AD329" s="267"/>
    </row>
    <row r="330" spans="1:30" s="268" customFormat="1" x14ac:dyDescent="0.3">
      <c r="A330" s="269"/>
      <c r="B330" s="270"/>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c r="Y330" s="274"/>
      <c r="Z330" s="275"/>
      <c r="AA330" s="274"/>
      <c r="AB330" s="271"/>
      <c r="AC330" s="276"/>
      <c r="AD330" s="267"/>
    </row>
    <row r="331" spans="1:30" s="268" customFormat="1" x14ac:dyDescent="0.3">
      <c r="A331" s="269"/>
      <c r="B331" s="270" t="s">
        <v>80</v>
      </c>
      <c r="C331" s="271"/>
      <c r="D331" s="272"/>
      <c r="E331" s="272"/>
      <c r="F331" s="272"/>
      <c r="G331" s="272"/>
      <c r="H331" s="272"/>
      <c r="I331" s="272"/>
      <c r="J331" s="272"/>
      <c r="K331" s="272"/>
      <c r="L331" s="272"/>
      <c r="M331" s="272"/>
      <c r="N331" s="272"/>
      <c r="O331" s="272"/>
      <c r="P331" s="272"/>
      <c r="Q331" s="272"/>
      <c r="R331" s="272"/>
      <c r="S331" s="272"/>
      <c r="T331" s="272"/>
      <c r="U331" s="272"/>
      <c r="V331" s="272"/>
      <c r="W331" s="272"/>
      <c r="X331" s="273">
        <f>SUM(X324:X330)</f>
        <v>0</v>
      </c>
      <c r="Y331" s="274">
        <f>SUM(Y324:Y329)</f>
        <v>0</v>
      </c>
      <c r="Z331" s="275">
        <f>SUM(Z324:Z329)</f>
        <v>0</v>
      </c>
      <c r="AA331" s="274">
        <f>SUM(AA324:AA330)</f>
        <v>0</v>
      </c>
      <c r="AB331" s="271"/>
      <c r="AC331" s="276"/>
      <c r="AD331" s="267"/>
    </row>
    <row r="332" spans="1:30" x14ac:dyDescent="0.3">
      <c r="A332" s="7"/>
      <c r="B332" s="102"/>
      <c r="C332" s="102"/>
      <c r="D332" s="208"/>
      <c r="E332" s="208"/>
      <c r="F332" s="208"/>
      <c r="G332" s="208"/>
      <c r="H332" s="208"/>
      <c r="I332" s="208"/>
      <c r="J332" s="208"/>
      <c r="K332" s="208"/>
      <c r="L332" s="208"/>
      <c r="M332" s="208"/>
      <c r="N332" s="208"/>
      <c r="O332" s="208"/>
      <c r="P332" s="208"/>
      <c r="Q332" s="208"/>
      <c r="R332" s="208"/>
      <c r="S332" s="208"/>
      <c r="T332" s="208"/>
      <c r="U332" s="208"/>
      <c r="V332" s="208"/>
      <c r="W332" s="208"/>
      <c r="X332" s="103"/>
      <c r="Y332" s="209"/>
      <c r="Z332" s="210"/>
      <c r="AA332" s="209"/>
      <c r="AB332" s="102"/>
      <c r="AC332" s="10"/>
      <c r="AD332" s="5"/>
    </row>
    <row r="333" spans="1:30" x14ac:dyDescent="0.3">
      <c r="A333" s="33"/>
      <c r="B333" s="105" t="s">
        <v>106</v>
      </c>
      <c r="C333" s="34"/>
      <c r="D333" s="211"/>
      <c r="E333" s="211"/>
      <c r="F333" s="211"/>
      <c r="G333" s="211"/>
      <c r="H333" s="211"/>
      <c r="I333" s="211"/>
      <c r="J333" s="211"/>
      <c r="K333" s="211"/>
      <c r="L333" s="211"/>
      <c r="M333" s="211"/>
      <c r="N333" s="211"/>
      <c r="O333" s="211"/>
      <c r="P333" s="211"/>
      <c r="Q333" s="211"/>
      <c r="R333" s="211"/>
      <c r="S333" s="211"/>
      <c r="T333" s="211"/>
      <c r="U333" s="211"/>
      <c r="V333" s="211"/>
      <c r="W333" s="211"/>
      <c r="X333" s="157" t="s">
        <v>69</v>
      </c>
      <c r="Y333" s="106" t="s">
        <v>70</v>
      </c>
      <c r="Z333" s="157" t="s">
        <v>75</v>
      </c>
      <c r="AA333" s="106" t="s">
        <v>70</v>
      </c>
      <c r="AB333" s="34"/>
      <c r="AC333" s="37"/>
      <c r="AD333" s="5"/>
    </row>
    <row r="334" spans="1:30" s="23" customFormat="1" x14ac:dyDescent="0.3">
      <c r="A334" s="18"/>
      <c r="B334" s="109" t="s">
        <v>59</v>
      </c>
      <c r="C334" s="38"/>
      <c r="D334" s="212"/>
      <c r="E334" s="212"/>
      <c r="F334" s="212"/>
      <c r="G334" s="212"/>
      <c r="H334" s="212"/>
      <c r="I334" s="212"/>
      <c r="J334" s="212"/>
      <c r="K334" s="212"/>
      <c r="L334" s="212"/>
      <c r="M334" s="212"/>
      <c r="N334" s="212"/>
      <c r="O334" s="212"/>
      <c r="P334" s="212"/>
      <c r="Q334" s="212"/>
      <c r="R334" s="212"/>
      <c r="S334" s="212"/>
      <c r="T334" s="212"/>
      <c r="U334" s="212"/>
      <c r="V334" s="212"/>
      <c r="W334" s="212"/>
      <c r="X334" s="109">
        <v>0</v>
      </c>
      <c r="Y334" s="195">
        <v>0</v>
      </c>
      <c r="Z334" s="110">
        <v>0</v>
      </c>
      <c r="AA334" s="195">
        <v>0</v>
      </c>
      <c r="AB334" s="38"/>
      <c r="AC334" s="21"/>
      <c r="AD334" s="22"/>
    </row>
    <row r="335" spans="1:30" s="23" customFormat="1" x14ac:dyDescent="0.3">
      <c r="A335" s="48"/>
      <c r="B335" s="100" t="s">
        <v>60</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61</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100</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101</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102</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103</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t="s">
        <v>104</v>
      </c>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v>0</v>
      </c>
      <c r="Y341" s="201">
        <v>0</v>
      </c>
      <c r="Z341" s="101">
        <v>0</v>
      </c>
      <c r="AA341" s="201">
        <v>0</v>
      </c>
      <c r="AB341" s="41"/>
      <c r="AC341" s="44"/>
      <c r="AD341" s="22"/>
    </row>
    <row r="342" spans="1:30" s="23" customFormat="1" x14ac:dyDescent="0.3">
      <c r="A342" s="48"/>
      <c r="B342" s="100"/>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c r="Y342" s="201"/>
      <c r="Z342" s="101"/>
      <c r="AA342" s="201"/>
      <c r="AB342" s="41"/>
      <c r="AC342" s="44"/>
      <c r="AD342" s="22"/>
    </row>
    <row r="343" spans="1:30" s="23" customFormat="1" x14ac:dyDescent="0.3">
      <c r="A343" s="48"/>
      <c r="B343" s="41" t="s">
        <v>80</v>
      </c>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f>SUM(X334:X341)</f>
        <v>0</v>
      </c>
      <c r="Y343" s="201">
        <f>SUM(Y334:Y341)</f>
        <v>0</v>
      </c>
      <c r="Z343" s="101">
        <f>SUM(Z334:Z341)</f>
        <v>0</v>
      </c>
      <c r="AA343" s="201">
        <f>SUM(AA334:AA341)</f>
        <v>0</v>
      </c>
      <c r="AB343" s="41"/>
      <c r="AC343" s="44"/>
      <c r="AD343" s="22"/>
    </row>
    <row r="344" spans="1:30" s="23" customFormat="1" x14ac:dyDescent="0.3">
      <c r="A344" s="48"/>
      <c r="B344" s="41"/>
      <c r="C344" s="41"/>
      <c r="D344" s="207"/>
      <c r="E344" s="207"/>
      <c r="F344" s="207"/>
      <c r="G344" s="207"/>
      <c r="H344" s="207"/>
      <c r="I344" s="207"/>
      <c r="J344" s="207"/>
      <c r="K344" s="207"/>
      <c r="L344" s="207"/>
      <c r="M344" s="207"/>
      <c r="N344" s="207"/>
      <c r="O344" s="207"/>
      <c r="P344" s="207"/>
      <c r="Q344" s="207"/>
      <c r="R344" s="207"/>
      <c r="S344" s="207"/>
      <c r="T344" s="207"/>
      <c r="U344" s="207"/>
      <c r="V344" s="207"/>
      <c r="W344" s="207"/>
      <c r="X344" s="100"/>
      <c r="Y344" s="201"/>
      <c r="Z344" s="101"/>
      <c r="AA344" s="201"/>
      <c r="AB344" s="41"/>
      <c r="AC344" s="44"/>
      <c r="AD344" s="22"/>
    </row>
    <row r="345" spans="1:30" s="23" customFormat="1" x14ac:dyDescent="0.3">
      <c r="A345" s="48"/>
      <c r="B345" s="45" t="s">
        <v>139</v>
      </c>
      <c r="C345" s="41"/>
      <c r="D345" s="207"/>
      <c r="E345" s="207"/>
      <c r="F345" s="207"/>
      <c r="G345" s="207"/>
      <c r="H345" s="207"/>
      <c r="I345" s="207"/>
      <c r="J345" s="207"/>
      <c r="K345" s="207"/>
      <c r="L345" s="207"/>
      <c r="M345" s="207"/>
      <c r="N345" s="207"/>
      <c r="O345" s="207"/>
      <c r="P345" s="207"/>
      <c r="Q345" s="207"/>
      <c r="R345" s="207"/>
      <c r="S345" s="207"/>
      <c r="T345" s="207"/>
      <c r="U345" s="207"/>
      <c r="V345" s="207"/>
      <c r="W345" s="207"/>
      <c r="X345" s="213">
        <f>X343+X321+X309</f>
        <v>0</v>
      </c>
      <c r="Y345" s="201"/>
      <c r="Z345" s="214">
        <f>+Z343+Z321+Z309</f>
        <v>0</v>
      </c>
      <c r="AA345" s="201"/>
      <c r="AB345" s="41"/>
      <c r="AC345" s="44"/>
      <c r="AD345" s="22"/>
    </row>
    <row r="346" spans="1:30" s="23" customFormat="1" x14ac:dyDescent="0.3">
      <c r="A346" s="48"/>
      <c r="B346" s="45" t="s">
        <v>411</v>
      </c>
      <c r="C346" s="45"/>
      <c r="D346" s="215"/>
      <c r="E346" s="215"/>
      <c r="F346" s="215"/>
      <c r="G346" s="215"/>
      <c r="H346" s="215"/>
      <c r="I346" s="215"/>
      <c r="J346" s="215"/>
      <c r="K346" s="215"/>
      <c r="L346" s="215"/>
      <c r="M346" s="215"/>
      <c r="N346" s="215"/>
      <c r="O346" s="215"/>
      <c r="P346" s="215"/>
      <c r="Q346" s="215"/>
      <c r="R346" s="215"/>
      <c r="S346" s="215"/>
      <c r="T346" s="215"/>
      <c r="U346" s="215"/>
      <c r="V346" s="215"/>
      <c r="W346" s="215"/>
      <c r="X346" s="213"/>
      <c r="Y346" s="216"/>
      <c r="Z346" s="214">
        <f>+AB63+AB64</f>
        <v>0</v>
      </c>
      <c r="AA346" s="201"/>
      <c r="AB346" s="41"/>
      <c r="AC346" s="44"/>
      <c r="AD346" s="22"/>
    </row>
    <row r="347" spans="1:30" s="23" customFormat="1" x14ac:dyDescent="0.3">
      <c r="A347" s="48"/>
      <c r="B347" s="45" t="s">
        <v>107</v>
      </c>
      <c r="C347" s="45"/>
      <c r="D347" s="215"/>
      <c r="E347" s="215"/>
      <c r="F347" s="215"/>
      <c r="G347" s="215"/>
      <c r="H347" s="215"/>
      <c r="I347" s="215"/>
      <c r="J347" s="215"/>
      <c r="K347" s="215"/>
      <c r="L347" s="215"/>
      <c r="M347" s="215"/>
      <c r="N347" s="215"/>
      <c r="O347" s="215"/>
      <c r="P347" s="215"/>
      <c r="Q347" s="215"/>
      <c r="R347" s="215"/>
      <c r="S347" s="215"/>
      <c r="T347" s="215"/>
      <c r="U347" s="215"/>
      <c r="V347" s="215"/>
      <c r="W347" s="215"/>
      <c r="X347" s="213"/>
      <c r="Y347" s="216"/>
      <c r="Z347" s="214">
        <f>+Z345+Z346</f>
        <v>0</v>
      </c>
      <c r="AA347" s="201"/>
      <c r="AB347" s="41"/>
      <c r="AC347" s="44"/>
      <c r="AD347" s="22"/>
    </row>
    <row r="348" spans="1:30" s="23" customFormat="1" x14ac:dyDescent="0.3">
      <c r="A348" s="48"/>
      <c r="B348" s="45" t="s">
        <v>275</v>
      </c>
      <c r="C348" s="41"/>
      <c r="D348" s="207"/>
      <c r="E348" s="207"/>
      <c r="F348" s="207"/>
      <c r="G348" s="207"/>
      <c r="H348" s="207"/>
      <c r="I348" s="207"/>
      <c r="J348" s="207"/>
      <c r="K348" s="207"/>
      <c r="L348" s="207"/>
      <c r="M348" s="207"/>
      <c r="N348" s="207"/>
      <c r="O348" s="207"/>
      <c r="P348" s="207"/>
      <c r="Q348" s="207"/>
      <c r="R348" s="207"/>
      <c r="S348" s="207"/>
      <c r="T348" s="207"/>
      <c r="U348" s="207"/>
      <c r="V348" s="207"/>
      <c r="W348" s="207"/>
      <c r="X348" s="213"/>
      <c r="Y348" s="201"/>
      <c r="Z348" s="214">
        <f>+AB66</f>
        <v>0</v>
      </c>
      <c r="AA348" s="201"/>
      <c r="AB348" s="41"/>
      <c r="AC348" s="44"/>
      <c r="AD348" s="22"/>
    </row>
    <row r="349" spans="1:30" s="23" customFormat="1" x14ac:dyDescent="0.3">
      <c r="A349" s="48"/>
      <c r="B349" s="45"/>
      <c r="C349" s="41"/>
      <c r="D349" s="207"/>
      <c r="E349" s="207"/>
      <c r="F349" s="207"/>
      <c r="G349" s="207"/>
      <c r="H349" s="207"/>
      <c r="I349" s="207"/>
      <c r="J349" s="207"/>
      <c r="K349" s="207"/>
      <c r="L349" s="207"/>
      <c r="M349" s="207"/>
      <c r="N349" s="207"/>
      <c r="O349" s="207"/>
      <c r="P349" s="207"/>
      <c r="Q349" s="207"/>
      <c r="R349" s="207"/>
      <c r="S349" s="207"/>
      <c r="T349" s="207"/>
      <c r="U349" s="207"/>
      <c r="V349" s="207"/>
      <c r="W349" s="207"/>
      <c r="X349" s="213"/>
      <c r="Y349" s="201"/>
      <c r="Z349" s="214"/>
      <c r="AA349" s="201"/>
      <c r="AB349" s="41"/>
      <c r="AC349" s="44"/>
      <c r="AD349" s="22"/>
    </row>
    <row r="350" spans="1:30" s="23" customFormat="1" x14ac:dyDescent="0.3">
      <c r="A350" s="48"/>
      <c r="B350" s="45" t="s">
        <v>318</v>
      </c>
      <c r="C350" s="41"/>
      <c r="D350" s="207"/>
      <c r="E350" s="207"/>
      <c r="F350" s="207"/>
      <c r="G350" s="207"/>
      <c r="H350" s="207"/>
      <c r="I350" s="207"/>
      <c r="J350" s="207"/>
      <c r="K350" s="207"/>
      <c r="L350" s="207"/>
      <c r="M350" s="207"/>
      <c r="N350" s="207"/>
      <c r="O350" s="207"/>
      <c r="P350" s="207"/>
      <c r="Q350" s="207"/>
      <c r="R350" s="207"/>
      <c r="S350" s="207"/>
      <c r="T350" s="207"/>
      <c r="U350" s="207"/>
      <c r="V350" s="207"/>
      <c r="W350" s="207"/>
      <c r="X350" s="213"/>
      <c r="Y350" s="201"/>
      <c r="Z350" s="239" t="s">
        <v>83</v>
      </c>
      <c r="AA350" s="201"/>
      <c r="AB350" s="41"/>
      <c r="AC350" s="44"/>
      <c r="AD350" s="22"/>
    </row>
    <row r="351" spans="1:30" s="23" customFormat="1" x14ac:dyDescent="0.3">
      <c r="A351" s="18"/>
      <c r="B351" s="20"/>
      <c r="C351" s="20"/>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8"/>
      <c r="AA351" s="217"/>
      <c r="AB351" s="20"/>
      <c r="AC351" s="21"/>
      <c r="AD351" s="22"/>
    </row>
    <row r="352" spans="1:30" s="23" customFormat="1" x14ac:dyDescent="0.3">
      <c r="A352" s="18"/>
      <c r="B352" s="19" t="s">
        <v>62</v>
      </c>
      <c r="C352" s="20"/>
      <c r="D352" s="219" t="s">
        <v>66</v>
      </c>
      <c r="E352" s="19"/>
      <c r="F352" s="19" t="s">
        <v>67</v>
      </c>
      <c r="G352" s="20"/>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t="s">
        <v>152</v>
      </c>
      <c r="C354" s="19"/>
      <c r="D354" s="220" t="s">
        <v>122</v>
      </c>
      <c r="E354" s="19"/>
      <c r="F354" s="19" t="s">
        <v>170</v>
      </c>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s="23" customFormat="1" x14ac:dyDescent="0.3">
      <c r="A355" s="18"/>
      <c r="B355" s="19" t="s">
        <v>153</v>
      </c>
      <c r="C355" s="19"/>
      <c r="D355" s="220" t="s">
        <v>98</v>
      </c>
      <c r="E355" s="19"/>
      <c r="F355" s="19" t="s">
        <v>171</v>
      </c>
      <c r="G355" s="19"/>
      <c r="H355" s="19"/>
      <c r="I355" s="20"/>
      <c r="J355" s="20"/>
      <c r="K355" s="20"/>
      <c r="L355" s="20"/>
      <c r="M355" s="20"/>
      <c r="N355" s="20"/>
      <c r="O355" s="20"/>
      <c r="P355" s="20"/>
      <c r="Q355" s="20"/>
      <c r="R355" s="20"/>
      <c r="S355" s="20"/>
      <c r="T355" s="20"/>
      <c r="U355" s="20"/>
      <c r="V355" s="20"/>
      <c r="W355" s="20"/>
      <c r="X355" s="20"/>
      <c r="Y355" s="20"/>
      <c r="Z355" s="20"/>
      <c r="AA355" s="20"/>
      <c r="AB355" s="20"/>
      <c r="AC355" s="21"/>
      <c r="AD355" s="22"/>
    </row>
    <row r="356" spans="1:30" s="23" customFormat="1" x14ac:dyDescent="0.3">
      <c r="A356" s="18"/>
      <c r="B356" s="19"/>
      <c r="C356" s="19"/>
      <c r="D356" s="220"/>
      <c r="E356" s="19"/>
      <c r="F356" s="19"/>
      <c r="G356" s="19"/>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56"/>
      <c r="C357" s="256"/>
      <c r="D357" s="256"/>
      <c r="E357" s="256"/>
      <c r="F357" s="257"/>
      <c r="G357" s="256"/>
      <c r="H357" s="258"/>
      <c r="I357" s="255"/>
      <c r="J357" s="255"/>
      <c r="K357" s="255"/>
      <c r="L357" s="255"/>
      <c r="M357" s="255"/>
      <c r="N357" s="255"/>
      <c r="O357" s="255"/>
      <c r="P357" s="255"/>
      <c r="Q357" s="20"/>
      <c r="R357" s="20"/>
      <c r="S357" s="20"/>
      <c r="T357" s="20"/>
      <c r="U357" s="20"/>
      <c r="V357" s="20"/>
      <c r="W357" s="20"/>
      <c r="X357" s="20"/>
      <c r="Y357" s="20"/>
      <c r="Z357" s="20"/>
      <c r="AA357" s="20"/>
      <c r="AB357" s="20"/>
      <c r="AC357" s="21"/>
      <c r="AD357" s="22"/>
    </row>
    <row r="358" spans="1:30" s="23" customFormat="1" ht="18" x14ac:dyDescent="0.35">
      <c r="A358" s="18"/>
      <c r="B358" s="259" t="s">
        <v>109</v>
      </c>
      <c r="C358" s="256"/>
      <c r="D358" s="256"/>
      <c r="E358" s="256"/>
      <c r="F358" s="257"/>
      <c r="G358" s="256"/>
      <c r="H358" s="258"/>
      <c r="I358" s="255"/>
      <c r="J358" s="255"/>
      <c r="K358" s="255"/>
      <c r="L358" s="255"/>
      <c r="M358" s="255"/>
      <c r="N358" s="255"/>
      <c r="O358" s="255"/>
      <c r="P358" s="260" t="s">
        <v>169</v>
      </c>
      <c r="Q358" s="20"/>
      <c r="R358" s="20"/>
      <c r="S358" s="20"/>
      <c r="T358" s="20"/>
      <c r="U358" s="20"/>
      <c r="V358" s="20"/>
      <c r="W358" s="20"/>
      <c r="X358" s="20"/>
      <c r="Y358" s="20"/>
      <c r="Z358" s="20"/>
      <c r="AA358" s="20"/>
      <c r="AB358" s="20"/>
      <c r="AC358" s="21"/>
      <c r="AD358" s="22"/>
    </row>
    <row r="359" spans="1:30" x14ac:dyDescent="0.3">
      <c r="A359" s="221"/>
      <c r="B359" s="222"/>
      <c r="C359" s="222"/>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4"/>
      <c r="AD359" s="5"/>
    </row>
    <row r="360" spans="1:30" x14ac:dyDescent="0.3">
      <c r="A360" s="221"/>
      <c r="B360" s="222"/>
      <c r="C360" s="222"/>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4"/>
      <c r="AD360" s="5"/>
    </row>
    <row r="361" spans="1:30" ht="18.600000000000001" thickBot="1" x14ac:dyDescent="0.4">
      <c r="A361" s="221"/>
      <c r="B361" s="225" t="str">
        <f>B245</f>
        <v>PM25 INVESTOR REPORT QUARTER ENDING APRIL 2023</v>
      </c>
      <c r="C361" s="222"/>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6"/>
      <c r="AD361" s="5"/>
    </row>
    <row r="362" spans="1:30"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row>
    <row r="363" spans="1:30" x14ac:dyDescent="0.3">
      <c r="B363" s="280" t="s">
        <v>334</v>
      </c>
    </row>
    <row r="364" spans="1:30" x14ac:dyDescent="0.3">
      <c r="B364" s="264"/>
    </row>
    <row r="365" spans="1:30" x14ac:dyDescent="0.3">
      <c r="B365" s="301" t="s">
        <v>379</v>
      </c>
    </row>
    <row r="366" spans="1:30" x14ac:dyDescent="0.3">
      <c r="B366" s="302" t="s">
        <v>366</v>
      </c>
    </row>
    <row r="367" spans="1:30" x14ac:dyDescent="0.3">
      <c r="B367" s="299"/>
    </row>
    <row r="368" spans="1:30" x14ac:dyDescent="0.3">
      <c r="B368" s="264" t="s">
        <v>378</v>
      </c>
    </row>
    <row r="369" spans="2:2" x14ac:dyDescent="0.3">
      <c r="B369" s="302" t="s">
        <v>377</v>
      </c>
    </row>
    <row r="370" spans="2:2" x14ac:dyDescent="0.3">
      <c r="B370" s="302"/>
    </row>
    <row r="371" spans="2:2" x14ac:dyDescent="0.3">
      <c r="B371" s="304" t="s">
        <v>387</v>
      </c>
    </row>
    <row r="372" spans="2:2" x14ac:dyDescent="0.3">
      <c r="B372" s="303"/>
    </row>
    <row r="373" spans="2:2" x14ac:dyDescent="0.3">
      <c r="B373" s="280" t="s">
        <v>365</v>
      </c>
    </row>
    <row r="374" spans="2:2" x14ac:dyDescent="0.3">
      <c r="B374" s="264" t="s">
        <v>368</v>
      </c>
    </row>
    <row r="375" spans="2:2" x14ac:dyDescent="0.3">
      <c r="B375" s="302" t="s">
        <v>367</v>
      </c>
    </row>
  </sheetData>
  <hyperlinks>
    <hyperlink ref="X285" r:id="rId1" display="http://www.paragon-group.co.uk" xr:uid="{8018338C-3D4B-4D96-9E01-975F5D56546A}"/>
    <hyperlink ref="K9" r:id="rId2" display="http://www.paragon-group.co.uk" xr:uid="{09F2C922-CA85-4420-B4A0-E267E5AD0BDB}"/>
    <hyperlink ref="P358" r:id="rId3" xr:uid="{593FB743-F802-4C71-8A13-221D379C9899}"/>
    <hyperlink ref="B366" r:id="rId4" display="https://www.londonstockexchange.com/news-article/41YH/notice-of-base-rate-modification/15064143" xr:uid="{E48DFAA0-665F-409B-8C3F-BC8FC1211DED}"/>
    <hyperlink ref="B375" r:id="rId5" display="https://investorreporting.paragonbankinggroup.co.uk/bondinvestor_viewer/resources/bondinvestor/pdf/investornews/2021/libor-mortgages-transition-july-19" xr:uid="{8E3D187C-4369-4FB9-8194-9F8865492787}"/>
    <hyperlink ref="B369" r:id="rId6" xr:uid="{427CD995-FAF9-4D30-B111-0151F8E605EC}"/>
  </hyperlinks>
  <printOptions horizontalCentered="1" verticalCentered="1"/>
  <pageMargins left="0.19685039370078741" right="0.19685039370078741" top="0.27559055118110237" bottom="0.27559055118110237" header="0" footer="0"/>
  <pageSetup scale="33" orientation="landscape" r:id="rId7"/>
  <headerFooter alignWithMargins="0"/>
  <rowBreaks count="3" manualBreakCount="3">
    <brk id="53" max="18" man="1"/>
    <brk id="135" max="18" man="1"/>
    <brk id="245" max="18" man="1"/>
  </rowBreaks>
  <colBreaks count="1" manualBreakCount="1">
    <brk id="29" max="299" man="1"/>
  </col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9CB31"/>
  </sheetPr>
  <dimension ref="A1:JB34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43511</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600000</v>
      </c>
      <c r="E29" s="55"/>
      <c r="F29" s="55">
        <f t="shared" ref="F29:N29" si="0">F28*F32</f>
        <v>33500</v>
      </c>
      <c r="G29" s="55"/>
      <c r="H29" s="55">
        <f t="shared" si="0"/>
        <v>30000</v>
      </c>
      <c r="I29" s="55"/>
      <c r="J29" s="55">
        <f t="shared" si="0"/>
        <v>24700</v>
      </c>
      <c r="K29" s="55"/>
      <c r="L29" s="55">
        <f t="shared" si="0"/>
        <v>17648</v>
      </c>
      <c r="M29" s="55"/>
      <c r="N29" s="55">
        <f t="shared" si="0"/>
        <v>10323.108840000001</v>
      </c>
      <c r="O29" s="55"/>
      <c r="P29" s="55">
        <f>+'Oct 18'!P30</f>
        <v>3425</v>
      </c>
      <c r="Q29" s="55"/>
      <c r="R29" s="55" t="s">
        <v>83</v>
      </c>
      <c r="S29" s="55"/>
      <c r="T29" s="55" t="s">
        <v>83</v>
      </c>
      <c r="U29" s="55"/>
      <c r="V29" s="55" t="s">
        <v>83</v>
      </c>
      <c r="W29" s="51"/>
      <c r="X29" s="55" t="s">
        <v>83</v>
      </c>
      <c r="Y29" s="51"/>
      <c r="Z29" s="51"/>
      <c r="AA29" s="50"/>
      <c r="AB29" s="51">
        <f>SUM(D29:L29)</f>
        <v>705848</v>
      </c>
      <c r="AC29" s="52"/>
      <c r="AD29" s="22"/>
    </row>
    <row r="30" spans="1:33" s="23" customFormat="1" x14ac:dyDescent="0.3">
      <c r="A30" s="48"/>
      <c r="B30" s="45" t="s">
        <v>92</v>
      </c>
      <c r="C30" s="50"/>
      <c r="D30" s="58">
        <f>D28*D31</f>
        <v>600000</v>
      </c>
      <c r="E30" s="58"/>
      <c r="F30" s="58">
        <f>F28</f>
        <v>33500</v>
      </c>
      <c r="G30" s="58"/>
      <c r="H30" s="58">
        <f>H28</f>
        <v>30000</v>
      </c>
      <c r="I30" s="58"/>
      <c r="J30" s="58">
        <f>J28</f>
        <v>24700</v>
      </c>
      <c r="K30" s="58"/>
      <c r="L30" s="58">
        <f>L28</f>
        <v>17648</v>
      </c>
      <c r="M30" s="58"/>
      <c r="N30" s="58">
        <f>N28*N31</f>
        <v>10323.108840000001</v>
      </c>
      <c r="O30" s="58"/>
      <c r="P30" s="58">
        <v>352</v>
      </c>
      <c r="Q30" s="58"/>
      <c r="R30" s="58" t="s">
        <v>83</v>
      </c>
      <c r="S30" s="58"/>
      <c r="T30" s="58" t="s">
        <v>83</v>
      </c>
      <c r="U30" s="58"/>
      <c r="V30" s="58" t="s">
        <v>83</v>
      </c>
      <c r="W30" s="57"/>
      <c r="X30" s="58" t="s">
        <v>83</v>
      </c>
      <c r="Y30" s="51"/>
      <c r="Z30" s="51"/>
      <c r="AA30" s="50"/>
      <c r="AB30" s="57">
        <f>SUM(D30:L30)</f>
        <v>705848</v>
      </c>
      <c r="AC30" s="52"/>
      <c r="AD30" s="22"/>
      <c r="AE30" s="238"/>
    </row>
    <row r="31" spans="1:33" s="67" customFormat="1" x14ac:dyDescent="0.3">
      <c r="A31" s="59"/>
      <c r="B31" s="169" t="s">
        <v>88</v>
      </c>
      <c r="C31" s="63"/>
      <c r="D31" s="61">
        <v>1</v>
      </c>
      <c r="E31" s="61"/>
      <c r="F31" s="61">
        <v>1</v>
      </c>
      <c r="G31" s="61"/>
      <c r="H31" s="61">
        <v>1</v>
      </c>
      <c r="I31" s="61"/>
      <c r="J31" s="61">
        <v>1</v>
      </c>
      <c r="K31" s="61"/>
      <c r="L31" s="61">
        <v>1</v>
      </c>
      <c r="M31" s="61"/>
      <c r="N31" s="61">
        <v>0.94508000000000003</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1</v>
      </c>
      <c r="E32" s="61"/>
      <c r="F32" s="61">
        <v>1</v>
      </c>
      <c r="G32" s="61"/>
      <c r="H32" s="61">
        <v>1</v>
      </c>
      <c r="I32" s="61"/>
      <c r="J32" s="61">
        <v>1</v>
      </c>
      <c r="K32" s="61"/>
      <c r="L32" s="61">
        <v>1</v>
      </c>
      <c r="M32" s="61"/>
      <c r="N32" s="61">
        <v>0.94508000000000003</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1.5365E-2</v>
      </c>
      <c r="E34" s="71"/>
      <c r="F34" s="71">
        <v>1.8364999999999999E-2</v>
      </c>
      <c r="G34" s="71"/>
      <c r="H34" s="71">
        <v>2.1864999999999999E-2</v>
      </c>
      <c r="I34" s="71"/>
      <c r="J34" s="71">
        <v>2.4865000000000002E-2</v>
      </c>
      <c r="K34" s="71"/>
      <c r="L34" s="71">
        <v>3.4865E-2</v>
      </c>
      <c r="M34" s="71"/>
      <c r="N34" s="71">
        <v>4.8864999999999999E-2</v>
      </c>
      <c r="O34" s="71"/>
      <c r="P34" s="71">
        <v>4.8864999999999999E-2</v>
      </c>
      <c r="Q34" s="71"/>
      <c r="R34" s="71" t="s">
        <v>83</v>
      </c>
      <c r="S34" s="71"/>
      <c r="T34" s="71" t="s">
        <v>83</v>
      </c>
      <c r="U34" s="71"/>
      <c r="V34" s="71" t="s">
        <v>83</v>
      </c>
      <c r="W34" s="70"/>
      <c r="X34" s="71" t="s">
        <v>83</v>
      </c>
      <c r="Y34" s="49"/>
      <c r="Z34" s="49"/>
      <c r="AA34" s="41"/>
      <c r="AB34" s="70">
        <f>SUMPRODUCT(D34:L34,D29:L29)/AB29</f>
        <v>1.6603632113429523E-2</v>
      </c>
      <c r="AC34" s="44"/>
      <c r="AD34" s="22"/>
    </row>
    <row r="35" spans="1:30" s="23" customFormat="1" x14ac:dyDescent="0.3">
      <c r="A35" s="48"/>
      <c r="B35" s="41" t="s">
        <v>10</v>
      </c>
      <c r="C35" s="72"/>
      <c r="D35" s="71">
        <v>1.4517499999999999E-2</v>
      </c>
      <c r="E35" s="71"/>
      <c r="F35" s="71">
        <v>1.7517499999999998E-2</v>
      </c>
      <c r="G35" s="71"/>
      <c r="H35" s="71">
        <v>2.1017500000000001E-2</v>
      </c>
      <c r="I35" s="71"/>
      <c r="J35" s="71">
        <v>2.4017500000000001E-2</v>
      </c>
      <c r="K35" s="71"/>
      <c r="L35" s="71">
        <v>3.4017499999999999E-2</v>
      </c>
      <c r="M35" s="71"/>
      <c r="N35" s="71">
        <v>4.8017499999999998E-2</v>
      </c>
      <c r="O35" s="71"/>
      <c r="P35" s="71">
        <v>4.8017499999999998E-2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0.17641333333333334</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43511</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43327</v>
      </c>
      <c r="AA47" s="80"/>
      <c r="AB47" s="79">
        <v>43418</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43419</v>
      </c>
      <c r="AA48" s="80"/>
      <c r="AB48" s="79">
        <v>43510</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43510</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316</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46.8"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701782</v>
      </c>
      <c r="S57" s="241"/>
      <c r="T57" s="240">
        <f>411+141</f>
        <v>552</v>
      </c>
      <c r="U57" s="241"/>
      <c r="V57" s="241">
        <v>20778</v>
      </c>
      <c r="W57" s="241"/>
      <c r="X57" s="241">
        <v>20828</v>
      </c>
      <c r="Y57" s="241"/>
      <c r="Z57" s="241">
        <v>0</v>
      </c>
      <c r="AA57" s="241"/>
      <c r="AB57" s="240">
        <f>R57-T57-V57+X57-Z57</f>
        <v>701280</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701782</v>
      </c>
      <c r="S60" s="241"/>
      <c r="T60" s="241">
        <f>T57+T58</f>
        <v>552</v>
      </c>
      <c r="U60" s="241"/>
      <c r="V60" s="241">
        <f>SUM(V57:V59)</f>
        <v>20778</v>
      </c>
      <c r="W60" s="241"/>
      <c r="X60" s="241">
        <f>SUM(X57:X59)</f>
        <v>20828</v>
      </c>
      <c r="Y60" s="241"/>
      <c r="Z60" s="241">
        <f>SUM(Z57:Z59)</f>
        <v>0</v>
      </c>
      <c r="AA60" s="241"/>
      <c r="AB60" s="241">
        <f>SUM(AB57:AB59)</f>
        <v>701280</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3558</v>
      </c>
      <c r="S63" s="241"/>
      <c r="T63" s="241">
        <v>0</v>
      </c>
      <c r="U63" s="241"/>
      <c r="V63" s="241">
        <v>502</v>
      </c>
      <c r="W63" s="241"/>
      <c r="X63" s="241"/>
      <c r="Y63" s="241"/>
      <c r="Z63" s="241"/>
      <c r="AA63" s="241"/>
      <c r="AB63" s="241">
        <f>+R63+V63</f>
        <v>4060</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508</v>
      </c>
      <c r="S64" s="241"/>
      <c r="T64" s="241"/>
      <c r="U64" s="241"/>
      <c r="V64" s="241"/>
      <c r="W64" s="241"/>
      <c r="X64" s="241">
        <v>0</v>
      </c>
      <c r="Y64" s="241"/>
      <c r="Z64" s="241"/>
      <c r="AA64" s="241"/>
      <c r="AB64" s="241">
        <f>+R64+X64</f>
        <v>508</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705848</v>
      </c>
      <c r="S66" s="241"/>
      <c r="T66" s="241"/>
      <c r="U66" s="241"/>
      <c r="V66" s="241"/>
      <c r="W66" s="241"/>
      <c r="X66" s="241"/>
      <c r="Y66" s="241"/>
      <c r="Z66" s="241"/>
      <c r="AA66" s="241"/>
      <c r="AB66" s="241">
        <f>SUM(AB60:AB65)</f>
        <v>705848</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43496</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3558</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f>-Z73</f>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+T57+V57+Z57+2</f>
        <v>21332</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2347+5498-676-431</f>
        <v>6738</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60+203</f>
        <v>263</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17</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34</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87</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24890</v>
      </c>
      <c r="AA85" s="41"/>
      <c r="AB85" s="100">
        <f>SUM(AB70:AB84)</f>
        <v>7139</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24890</v>
      </c>
      <c r="AA88" s="41"/>
      <c r="AB88" s="100">
        <f>AB85+AB86+AB87</f>
        <v>7139</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-51</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-354-23-3</f>
        <v>-380</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18</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-2322</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-155</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-165</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-155</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-2</v>
      </c>
      <c r="AA101" s="115"/>
      <c r="AB101" s="101">
        <v>2</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-300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-15</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-155</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-127</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-43</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-3288</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v>0</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0</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0</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-20828</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-4060</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0</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-24888</v>
      </c>
      <c r="AA131" s="100"/>
      <c r="AB131" s="100">
        <f>SUM(AB89:AB129)</f>
        <v>-7139</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JANUARY 2019</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+'July 18'!AB146</f>
        <v>9502.5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9502.5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+'Oct 18'!AB160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+'Oct 18'!AB166</f>
        <v>508</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X64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f>
        <v>508</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-2</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-2</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2</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+'Oct 18'!AB182</f>
        <v>3558</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-3558</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4060</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4060</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+'Oct 18'!AB190</f>
        <v>34</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34</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+'Oct 18'!AB198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+'Oct 18'!AB206</f>
        <v>316</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590</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87</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819</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+'Oct 18'!AB214</f>
        <v>742</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590</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300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452</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+'Oct 18'!Y221</f>
        <v>0</v>
      </c>
      <c r="Z219" s="101">
        <f>+'Oct 18'!Z221</f>
        <v>67</v>
      </c>
      <c r="AA219" s="41"/>
      <c r="AB219" s="101">
        <f>Y219+Z219</f>
        <v>67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67</v>
      </c>
      <c r="AA221" s="41"/>
      <c r="AB221" s="101">
        <f>Y221+Z221</f>
        <v>67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112868.68000000001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590800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595991</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-5191</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2.8957795004306632</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2.76</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4">
        <f>(AB88+AB90+AB91+AB92+AB93+AB94)/-(AB95)</f>
        <v>28.4</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26.23</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4">
        <f>(AB88+AB90+AB91+AB92+AB93+AB94+AB95)/-(AB97)</f>
        <v>25.739393939393938</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23.51</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4">
        <f>(AB88+AB90+AB91+AB92+AB93+AB94+AB95+AB97)/-(AB98)</f>
        <v>26.335483870967742</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23.96</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4">
        <f>(AB88+AB90+AB91+AB92+AB93+AB94+AB95+AB97+AB98)/-(AB107)</f>
        <v>25.335483870967742</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22.77</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JANUARY 2019</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43496</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3.8359999999999998E-2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1.6603632113429523E-2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2.1756367886570475E-2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(+AB88+AB90+AB93)/R66</f>
        <v>1.0067323276399451E-2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17.91</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3.0240734964697875E-2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8.5300000000000001E-2</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510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+X332</f>
        <v>0</v>
      </c>
      <c r="Z269" s="165">
        <f>+Z332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20828</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-2</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'Oct 18'!Z274+Z273</f>
        <v>0</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+X299+X311+X323</f>
        <v>4141</v>
      </c>
      <c r="Y287" s="195">
        <f>X287/$X$296</f>
        <v>0.99903498190591078</v>
      </c>
      <c r="Z287" s="110">
        <f>+Z299+Z311+Z323</f>
        <v>700339</v>
      </c>
      <c r="AA287" s="195">
        <f t="shared" ref="AA287:AA294" si="1">Z287/$Z$296</f>
        <v>0.99865816792151496</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+X300+X312+X324</f>
        <v>3</v>
      </c>
      <c r="Y288" s="199">
        <f t="shared" ref="Y288:Y294" si="2">X288/$X$296</f>
        <v>7.2376357056694817E-4</v>
      </c>
      <c r="Z288" s="200">
        <f>+Z300+Z312+Z324</f>
        <v>431</v>
      </c>
      <c r="AA288" s="201">
        <f t="shared" si="1"/>
        <v>6.1459046315309144E-4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ref="X289:X293" si="3">+X301+X313+X325</f>
        <v>0</v>
      </c>
      <c r="Y289" s="203">
        <f t="shared" si="2"/>
        <v>0</v>
      </c>
      <c r="Z289" s="134">
        <f t="shared" ref="Z289:Z293" si="4">+Z301+Z313+Z325</f>
        <v>0</v>
      </c>
      <c r="AA289" s="201">
        <f t="shared" si="1"/>
        <v>0</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3"/>
        <v>1</v>
      </c>
      <c r="Y290" s="203">
        <f t="shared" si="2"/>
        <v>2.4125452352231604E-4</v>
      </c>
      <c r="Z290" s="134">
        <f t="shared" si="4"/>
        <v>510</v>
      </c>
      <c r="AA290" s="201">
        <f t="shared" si="1"/>
        <v>7.2724161533196442E-4</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3"/>
        <v>0</v>
      </c>
      <c r="Y291" s="203">
        <f t="shared" si="2"/>
        <v>0</v>
      </c>
      <c r="Z291" s="134">
        <f t="shared" si="4"/>
        <v>0</v>
      </c>
      <c r="AA291" s="201">
        <f t="shared" si="1"/>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+X304+X316+X328</f>
        <v>0</v>
      </c>
      <c r="Y292" s="203">
        <f t="shared" si="2"/>
        <v>0</v>
      </c>
      <c r="Z292" s="134">
        <f t="shared" si="4"/>
        <v>0</v>
      </c>
      <c r="AA292" s="201">
        <f t="shared" si="1"/>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3"/>
        <v>0</v>
      </c>
      <c r="Y293" s="205">
        <f t="shared" si="2"/>
        <v>0</v>
      </c>
      <c r="Z293" s="206">
        <f t="shared" si="4"/>
        <v>0</v>
      </c>
      <c r="AA293" s="201">
        <f t="shared" si="1"/>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+X306+X318+X330</f>
        <v>0</v>
      </c>
      <c r="Y294" s="201">
        <f t="shared" si="2"/>
        <v>0</v>
      </c>
      <c r="Z294" s="110">
        <f>+Z306+Z318+Z330</f>
        <v>0</v>
      </c>
      <c r="AA294" s="201">
        <f t="shared" si="1"/>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4145</v>
      </c>
      <c r="Y296" s="201">
        <f>SUM(Y287:Y295)</f>
        <v>1</v>
      </c>
      <c r="Z296" s="101">
        <f>SUM(Z287:Z295)</f>
        <v>701280</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4141</v>
      </c>
      <c r="Y299" s="195">
        <f>X299/$X$308</f>
        <v>0.99927606177606176</v>
      </c>
      <c r="Z299" s="110">
        <v>700339</v>
      </c>
      <c r="AA299" s="195">
        <f>Z299/$Z$308</f>
        <v>0.99938496225580431</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3</v>
      </c>
      <c r="Y300" s="201">
        <f t="shared" ref="Y300:Y306" si="5">X300/$X$308</f>
        <v>7.239382239382239E-4</v>
      </c>
      <c r="Z300" s="101">
        <v>431</v>
      </c>
      <c r="AA300" s="201">
        <f t="shared" ref="AA300:AA306" si="6">Z300/$Z$308</f>
        <v>6.150377441956705E-4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0</v>
      </c>
      <c r="Y301" s="201">
        <f t="shared" si="5"/>
        <v>0</v>
      </c>
      <c r="Z301" s="101">
        <v>0</v>
      </c>
      <c r="AA301" s="201">
        <f t="shared" si="6"/>
        <v>0</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 t="shared" si="5"/>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4144</v>
      </c>
      <c r="Y308" s="201">
        <f>SUM(Y299:Y307)</f>
        <v>1</v>
      </c>
      <c r="Z308" s="101">
        <f>SUM(Z299:Z307)</f>
        <v>700770</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1</v>
      </c>
      <c r="Y314" s="201">
        <f>X314/X320</f>
        <v>1</v>
      </c>
      <c r="Z314" s="101">
        <v>510</v>
      </c>
      <c r="AA314" s="201">
        <f>Z314/Z320</f>
        <v>1</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510</v>
      </c>
      <c r="AA320" s="201">
        <f>SUM(AA311:AA319)</f>
        <v>1</v>
      </c>
      <c r="AB320" s="41"/>
      <c r="AC320" s="44"/>
      <c r="AD320" s="22"/>
    </row>
    <row r="321" spans="1:30" x14ac:dyDescent="0.3">
      <c r="A321" s="7"/>
      <c r="B321" s="102"/>
      <c r="C321" s="102"/>
      <c r="D321" s="208"/>
      <c r="E321" s="208"/>
      <c r="F321" s="208"/>
      <c r="G321" s="208"/>
      <c r="H321" s="208"/>
      <c r="I321" s="208"/>
      <c r="J321" s="208"/>
      <c r="K321" s="208"/>
      <c r="L321" s="208"/>
      <c r="M321" s="208"/>
      <c r="N321" s="208"/>
      <c r="O321" s="208"/>
      <c r="P321" s="208"/>
      <c r="Q321" s="208"/>
      <c r="R321" s="208"/>
      <c r="S321" s="208"/>
      <c r="T321" s="208"/>
      <c r="U321" s="208"/>
      <c r="V321" s="208"/>
      <c r="W321" s="208"/>
      <c r="X321" s="103"/>
      <c r="Y321" s="209"/>
      <c r="Z321" s="210"/>
      <c r="AA321" s="209"/>
      <c r="AB321" s="102"/>
      <c r="AC321" s="10"/>
      <c r="AD321" s="5"/>
    </row>
    <row r="322" spans="1:30" x14ac:dyDescent="0.3">
      <c r="A322" s="33"/>
      <c r="B322" s="105" t="s">
        <v>106</v>
      </c>
      <c r="C322" s="34"/>
      <c r="D322" s="211"/>
      <c r="E322" s="211"/>
      <c r="F322" s="211"/>
      <c r="G322" s="211"/>
      <c r="H322" s="211"/>
      <c r="I322" s="211"/>
      <c r="J322" s="211"/>
      <c r="K322" s="211"/>
      <c r="L322" s="211"/>
      <c r="M322" s="211"/>
      <c r="N322" s="211"/>
      <c r="O322" s="211"/>
      <c r="P322" s="211"/>
      <c r="Q322" s="211"/>
      <c r="R322" s="211"/>
      <c r="S322" s="211"/>
      <c r="T322" s="211"/>
      <c r="U322" s="211"/>
      <c r="V322" s="211"/>
      <c r="W322" s="211"/>
      <c r="X322" s="157" t="s">
        <v>69</v>
      </c>
      <c r="Y322" s="106" t="s">
        <v>70</v>
      </c>
      <c r="Z322" s="157" t="s">
        <v>75</v>
      </c>
      <c r="AA322" s="106" t="s">
        <v>70</v>
      </c>
      <c r="AB322" s="34"/>
      <c r="AC322" s="37"/>
      <c r="AD322" s="5"/>
    </row>
    <row r="323" spans="1:30" s="23" customFormat="1" x14ac:dyDescent="0.3">
      <c r="A323" s="18"/>
      <c r="B323" s="109" t="s">
        <v>59</v>
      </c>
      <c r="C323" s="38"/>
      <c r="D323" s="212"/>
      <c r="E323" s="212"/>
      <c r="F323" s="212"/>
      <c r="G323" s="212"/>
      <c r="H323" s="212"/>
      <c r="I323" s="212"/>
      <c r="J323" s="212"/>
      <c r="K323" s="212"/>
      <c r="L323" s="212"/>
      <c r="M323" s="212"/>
      <c r="N323" s="212"/>
      <c r="O323" s="212"/>
      <c r="P323" s="212"/>
      <c r="Q323" s="212"/>
      <c r="R323" s="212"/>
      <c r="S323" s="212"/>
      <c r="T323" s="212"/>
      <c r="U323" s="212"/>
      <c r="V323" s="212"/>
      <c r="W323" s="212"/>
      <c r="X323" s="109">
        <v>0</v>
      </c>
      <c r="Y323" s="195">
        <v>0</v>
      </c>
      <c r="Z323" s="110">
        <v>0</v>
      </c>
      <c r="AA323" s="195">
        <v>0</v>
      </c>
      <c r="AB323" s="38"/>
      <c r="AC323" s="21"/>
      <c r="AD323" s="22"/>
    </row>
    <row r="324" spans="1:30" s="23" customFormat="1" x14ac:dyDescent="0.3">
      <c r="A324" s="48"/>
      <c r="B324" s="100" t="s">
        <v>60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61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100</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101</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102</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t="s">
        <v>103</v>
      </c>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v>0</v>
      </c>
      <c r="Y329" s="201">
        <v>0</v>
      </c>
      <c r="Z329" s="101">
        <v>0</v>
      </c>
      <c r="AA329" s="201">
        <v>0</v>
      </c>
      <c r="AB329" s="41"/>
      <c r="AC329" s="44"/>
      <c r="AD329" s="22"/>
    </row>
    <row r="330" spans="1:30" s="23" customFormat="1" x14ac:dyDescent="0.3">
      <c r="A330" s="48"/>
      <c r="B330" s="100" t="s">
        <v>104</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v>0</v>
      </c>
      <c r="Y330" s="201">
        <v>0</v>
      </c>
      <c r="Z330" s="101">
        <v>0</v>
      </c>
      <c r="AA330" s="201">
        <v>0</v>
      </c>
      <c r="AB330" s="41"/>
      <c r="AC330" s="44"/>
      <c r="AD330" s="22"/>
    </row>
    <row r="331" spans="1:30" s="23" customFormat="1" x14ac:dyDescent="0.3">
      <c r="A331" s="48"/>
      <c r="B331" s="100"/>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1" t="s">
        <v>80</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100">
        <f>SUM(X323:X330)</f>
        <v>0</v>
      </c>
      <c r="Y332" s="201">
        <f>SUM(Y323:Y330)</f>
        <v>0</v>
      </c>
      <c r="Z332" s="101">
        <f>SUM(Z323:Z330)</f>
        <v>0</v>
      </c>
      <c r="AA332" s="201">
        <f>SUM(AA323:AA330)</f>
        <v>0</v>
      </c>
      <c r="AB332" s="41"/>
      <c r="AC332" s="44"/>
      <c r="AD332" s="22"/>
    </row>
    <row r="333" spans="1:30" s="23" customFormat="1" x14ac:dyDescent="0.3">
      <c r="A333" s="48"/>
      <c r="B333" s="41"/>
      <c r="C333" s="41"/>
      <c r="D333" s="207"/>
      <c r="E333" s="207"/>
      <c r="F333" s="207"/>
      <c r="G333" s="207"/>
      <c r="H333" s="207"/>
      <c r="I333" s="207"/>
      <c r="J333" s="207"/>
      <c r="K333" s="207"/>
      <c r="L333" s="207"/>
      <c r="M333" s="207"/>
      <c r="N333" s="207"/>
      <c r="O333" s="207"/>
      <c r="P333" s="207"/>
      <c r="Q333" s="207"/>
      <c r="R333" s="207"/>
      <c r="S333" s="207"/>
      <c r="T333" s="207"/>
      <c r="U333" s="207"/>
      <c r="V333" s="207"/>
      <c r="W333" s="207"/>
      <c r="X333" s="100"/>
      <c r="Y333" s="201"/>
      <c r="Z333" s="101"/>
      <c r="AA333" s="201"/>
      <c r="AB333" s="41"/>
      <c r="AC333" s="44"/>
      <c r="AD333" s="22"/>
    </row>
    <row r="334" spans="1:30" s="23" customFormat="1" x14ac:dyDescent="0.3">
      <c r="A334" s="48"/>
      <c r="B334" s="45" t="s">
        <v>139</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213">
        <f>X332+X320+X308</f>
        <v>4145</v>
      </c>
      <c r="Y334" s="201"/>
      <c r="Z334" s="214">
        <f>+Z332+Z320+Z308</f>
        <v>701280</v>
      </c>
      <c r="AA334" s="201"/>
      <c r="AB334" s="41"/>
      <c r="AC334" s="44"/>
      <c r="AD334" s="22"/>
    </row>
    <row r="335" spans="1:30" s="23" customFormat="1" x14ac:dyDescent="0.3">
      <c r="A335" s="48"/>
      <c r="B335" s="45" t="s">
        <v>259</v>
      </c>
      <c r="C335" s="45"/>
      <c r="D335" s="215"/>
      <c r="E335" s="215"/>
      <c r="F335" s="215"/>
      <c r="G335" s="215"/>
      <c r="H335" s="215"/>
      <c r="I335" s="215"/>
      <c r="J335" s="215"/>
      <c r="K335" s="215"/>
      <c r="L335" s="215"/>
      <c r="M335" s="215"/>
      <c r="N335" s="215"/>
      <c r="O335" s="215"/>
      <c r="P335" s="215"/>
      <c r="Q335" s="215"/>
      <c r="R335" s="215"/>
      <c r="S335" s="215"/>
      <c r="T335" s="215"/>
      <c r="U335" s="215"/>
      <c r="V335" s="215"/>
      <c r="W335" s="215"/>
      <c r="X335" s="213"/>
      <c r="Y335" s="216"/>
      <c r="Z335" s="214">
        <f>+AB63+AB64</f>
        <v>4568</v>
      </c>
      <c r="AA335" s="201"/>
      <c r="AB335" s="41"/>
      <c r="AC335" s="44"/>
      <c r="AD335" s="22"/>
    </row>
    <row r="336" spans="1:30" s="23" customFormat="1" x14ac:dyDescent="0.3">
      <c r="A336" s="48"/>
      <c r="B336" s="45" t="s">
        <v>107</v>
      </c>
      <c r="C336" s="45"/>
      <c r="D336" s="215"/>
      <c r="E336" s="215"/>
      <c r="F336" s="215"/>
      <c r="G336" s="215"/>
      <c r="H336" s="215"/>
      <c r="I336" s="215"/>
      <c r="J336" s="215"/>
      <c r="K336" s="215"/>
      <c r="L336" s="215"/>
      <c r="M336" s="215"/>
      <c r="N336" s="215"/>
      <c r="O336" s="215"/>
      <c r="P336" s="215"/>
      <c r="Q336" s="215"/>
      <c r="R336" s="215"/>
      <c r="S336" s="215"/>
      <c r="T336" s="215"/>
      <c r="U336" s="215"/>
      <c r="V336" s="215"/>
      <c r="W336" s="215"/>
      <c r="X336" s="213"/>
      <c r="Y336" s="216"/>
      <c r="Z336" s="214">
        <f>+Z334+Z335</f>
        <v>705848</v>
      </c>
      <c r="AA336" s="201"/>
      <c r="AB336" s="41"/>
      <c r="AC336" s="44"/>
      <c r="AD336" s="22"/>
    </row>
    <row r="337" spans="1:30" s="23" customFormat="1" x14ac:dyDescent="0.3">
      <c r="A337" s="48"/>
      <c r="B337" s="45" t="s">
        <v>275</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14">
        <f>+AB66</f>
        <v>705848</v>
      </c>
      <c r="AA337" s="201"/>
      <c r="AB337" s="41"/>
      <c r="AC337" s="44"/>
      <c r="AD337" s="22"/>
    </row>
    <row r="338" spans="1:30" s="23" customFormat="1" x14ac:dyDescent="0.3">
      <c r="A338" s="48"/>
      <c r="B338" s="45"/>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213"/>
      <c r="Y338" s="201"/>
      <c r="Z338" s="214"/>
      <c r="AA338" s="201"/>
      <c r="AB338" s="41"/>
      <c r="AC338" s="44"/>
      <c r="AD338" s="22"/>
    </row>
    <row r="339" spans="1:30" s="23" customFormat="1" x14ac:dyDescent="0.3">
      <c r="A339" s="48"/>
      <c r="B339" s="45" t="s">
        <v>318</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213"/>
      <c r="Y339" s="201"/>
      <c r="Z339" s="239">
        <f>(D30*0.375+F30*0.05+H30*0.05+J30+L30)/AB30</f>
        <v>0.38325956863234012</v>
      </c>
      <c r="AA339" s="201"/>
      <c r="AB339" s="41"/>
      <c r="AC339" s="44"/>
      <c r="AD339" s="22"/>
    </row>
    <row r="340" spans="1:30" s="23" customFormat="1" x14ac:dyDescent="0.3">
      <c r="A340" s="18"/>
      <c r="B340" s="20"/>
      <c r="C340" s="20"/>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8"/>
      <c r="AA340" s="217"/>
      <c r="AB340" s="20"/>
      <c r="AC340" s="21"/>
      <c r="AD340" s="22"/>
    </row>
    <row r="341" spans="1:30" s="23" customFormat="1" x14ac:dyDescent="0.3">
      <c r="A341" s="18"/>
      <c r="B341" s="19" t="s">
        <v>62</v>
      </c>
      <c r="C341" s="20"/>
      <c r="D341" s="219"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20" t="s">
        <v>122</v>
      </c>
      <c r="E343" s="19"/>
      <c r="F343" s="19" t="s">
        <v>170</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20" t="s">
        <v>98</v>
      </c>
      <c r="E344" s="19"/>
      <c r="F344" s="19" t="s">
        <v>171</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x14ac:dyDescent="0.3">
      <c r="A345" s="221"/>
      <c r="B345" s="222"/>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4"/>
      <c r="AD345" s="5"/>
    </row>
    <row r="346" spans="1:30" x14ac:dyDescent="0.3">
      <c r="A346" s="221"/>
      <c r="B346" s="222"/>
      <c r="C346" s="222"/>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4"/>
      <c r="AD346" s="5"/>
    </row>
    <row r="347" spans="1:30" ht="18.600000000000001" thickBot="1" x14ac:dyDescent="0.4">
      <c r="A347" s="221"/>
      <c r="B347" s="225" t="str">
        <f>B244</f>
        <v>PM25 INVESTOR REPORT QUARTER ENDING JANUARY 2019</v>
      </c>
      <c r="C347" s="222"/>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6"/>
      <c r="AD347" s="5"/>
    </row>
    <row r="348" spans="1:30"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row>
  </sheetData>
  <hyperlinks>
    <hyperlink ref="X284" r:id="rId1" display="http://www.paragon-group.co.uk" xr:uid="{00000000-0004-0000-0200-000000000000}"/>
    <hyperlink ref="K9" r:id="rId2" display="http://www.paragon-group.co.uk" xr:uid="{00000000-0004-0000-0200-000001000000}"/>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5" max="18" man="1"/>
    <brk id="244" max="18" man="1"/>
  </rowBreaks>
  <colBreaks count="1" manualBreakCount="1">
    <brk id="29" max="299"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2926"/>
  </sheetPr>
  <dimension ref="A1:JB34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43606</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600000</v>
      </c>
      <c r="E29" s="55"/>
      <c r="F29" s="55">
        <f t="shared" ref="F29:N29" si="0">F28*F32</f>
        <v>33500</v>
      </c>
      <c r="G29" s="55"/>
      <c r="H29" s="55">
        <f t="shared" si="0"/>
        <v>30000</v>
      </c>
      <c r="I29" s="55"/>
      <c r="J29" s="55">
        <f t="shared" si="0"/>
        <v>24700</v>
      </c>
      <c r="K29" s="55"/>
      <c r="L29" s="55">
        <f t="shared" si="0"/>
        <v>17648</v>
      </c>
      <c r="M29" s="55"/>
      <c r="N29" s="55">
        <f t="shared" si="0"/>
        <v>10323.108840000001</v>
      </c>
      <c r="O29" s="55"/>
      <c r="P29" s="55">
        <f>+'Jan 19'!P30</f>
        <v>352</v>
      </c>
      <c r="Q29" s="55"/>
      <c r="R29" s="55" t="s">
        <v>83</v>
      </c>
      <c r="S29" s="55"/>
      <c r="T29" s="55" t="s">
        <v>83</v>
      </c>
      <c r="U29" s="55"/>
      <c r="V29" s="55" t="s">
        <v>83</v>
      </c>
      <c r="W29" s="51"/>
      <c r="X29" s="55" t="s">
        <v>83</v>
      </c>
      <c r="Y29" s="51"/>
      <c r="Z29" s="51"/>
      <c r="AA29" s="50"/>
      <c r="AB29" s="51">
        <f>SUM(D29:L29)</f>
        <v>705848</v>
      </c>
      <c r="AC29" s="52"/>
      <c r="AD29" s="22"/>
    </row>
    <row r="30" spans="1:33" s="23" customFormat="1" x14ac:dyDescent="0.3">
      <c r="A30" s="48"/>
      <c r="B30" s="45" t="s">
        <v>92</v>
      </c>
      <c r="C30" s="50"/>
      <c r="D30" s="58">
        <f>D28*D31</f>
        <v>600000</v>
      </c>
      <c r="E30" s="58"/>
      <c r="F30" s="58">
        <f>F28</f>
        <v>33500</v>
      </c>
      <c r="G30" s="58"/>
      <c r="H30" s="58">
        <f>H28</f>
        <v>30000</v>
      </c>
      <c r="I30" s="58"/>
      <c r="J30" s="58">
        <f>J28</f>
        <v>24700</v>
      </c>
      <c r="K30" s="58"/>
      <c r="L30" s="58">
        <f>L28</f>
        <v>17648</v>
      </c>
      <c r="M30" s="58"/>
      <c r="N30" s="58">
        <f>N28*N31</f>
        <v>10323.108840000001</v>
      </c>
      <c r="O30" s="58"/>
      <c r="P30" s="58">
        <v>0</v>
      </c>
      <c r="Q30" s="58"/>
      <c r="R30" s="58" t="s">
        <v>83</v>
      </c>
      <c r="S30" s="58"/>
      <c r="T30" s="58" t="s">
        <v>83</v>
      </c>
      <c r="U30" s="58"/>
      <c r="V30" s="58" t="s">
        <v>83</v>
      </c>
      <c r="W30" s="57"/>
      <c r="X30" s="58" t="s">
        <v>83</v>
      </c>
      <c r="Y30" s="51"/>
      <c r="Z30" s="51"/>
      <c r="AA30" s="50"/>
      <c r="AB30" s="57">
        <f>SUM(D30:L30)</f>
        <v>705848</v>
      </c>
      <c r="AC30" s="52"/>
      <c r="AD30" s="22"/>
      <c r="AE30" s="238"/>
    </row>
    <row r="31" spans="1:33" s="67" customFormat="1" x14ac:dyDescent="0.3">
      <c r="A31" s="59"/>
      <c r="B31" s="169" t="s">
        <v>88</v>
      </c>
      <c r="C31" s="63"/>
      <c r="D31" s="61">
        <v>1</v>
      </c>
      <c r="E31" s="61"/>
      <c r="F31" s="61">
        <v>1</v>
      </c>
      <c r="G31" s="61"/>
      <c r="H31" s="61">
        <v>1</v>
      </c>
      <c r="I31" s="61"/>
      <c r="J31" s="61">
        <v>1</v>
      </c>
      <c r="K31" s="61"/>
      <c r="L31" s="61">
        <v>1</v>
      </c>
      <c r="M31" s="61"/>
      <c r="N31" s="61">
        <v>0.94508000000000003</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1</v>
      </c>
      <c r="E32" s="61"/>
      <c r="F32" s="61">
        <v>1</v>
      </c>
      <c r="G32" s="61"/>
      <c r="H32" s="61">
        <v>1</v>
      </c>
      <c r="I32" s="61"/>
      <c r="J32" s="61">
        <v>1</v>
      </c>
      <c r="K32" s="61"/>
      <c r="L32" s="61">
        <v>1</v>
      </c>
      <c r="M32" s="61"/>
      <c r="N32" s="61">
        <v>0.94508000000000003</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1.51988E-2</v>
      </c>
      <c r="E34" s="71"/>
      <c r="F34" s="71">
        <v>1.8198800000000001E-2</v>
      </c>
      <c r="G34" s="71"/>
      <c r="H34" s="71">
        <v>2.1698800000000001E-2</v>
      </c>
      <c r="I34" s="71"/>
      <c r="J34" s="71">
        <v>2.46988E-2</v>
      </c>
      <c r="K34" s="71"/>
      <c r="L34" s="71">
        <v>3.4698800000000002E-2</v>
      </c>
      <c r="M34" s="71"/>
      <c r="N34" s="71">
        <v>4.86988E-2</v>
      </c>
      <c r="O34" s="71"/>
      <c r="P34" s="71">
        <v>4.86988E-2</v>
      </c>
      <c r="Q34" s="71"/>
      <c r="R34" s="71" t="s">
        <v>83</v>
      </c>
      <c r="S34" s="71"/>
      <c r="T34" s="71" t="s">
        <v>83</v>
      </c>
      <c r="U34" s="71"/>
      <c r="V34" s="71" t="s">
        <v>83</v>
      </c>
      <c r="W34" s="70"/>
      <c r="X34" s="71" t="s">
        <v>83</v>
      </c>
      <c r="Y34" s="49"/>
      <c r="Z34" s="49"/>
      <c r="AA34" s="41"/>
      <c r="AB34" s="70">
        <f>SUMPRODUCT(D34:L34,D29:L29)/AB29</f>
        <v>1.6437432113429521E-2</v>
      </c>
      <c r="AC34" s="44"/>
      <c r="AD34" s="22"/>
    </row>
    <row r="35" spans="1:30" s="23" customFormat="1" x14ac:dyDescent="0.3">
      <c r="A35" s="48"/>
      <c r="B35" s="41" t="s">
        <v>10</v>
      </c>
      <c r="C35" s="72"/>
      <c r="D35" s="71">
        <v>1.5365E-2</v>
      </c>
      <c r="E35" s="71"/>
      <c r="F35" s="71">
        <v>1.8364999999999999E-2</v>
      </c>
      <c r="G35" s="71"/>
      <c r="H35" s="71">
        <v>2.1864999999999999E-2</v>
      </c>
      <c r="I35" s="71"/>
      <c r="J35" s="71">
        <v>2.4865000000000002E-2</v>
      </c>
      <c r="K35" s="71"/>
      <c r="L35" s="71">
        <v>3.4865E-2</v>
      </c>
      <c r="M35" s="71"/>
      <c r="N35" s="71">
        <v>4.8864999999999999E-2</v>
      </c>
      <c r="O35" s="71"/>
      <c r="P35" s="71">
        <v>4.8864999999999999E-2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0.17641333333333334</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43600</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43419</v>
      </c>
      <c r="AA47" s="80"/>
      <c r="AB47" s="79">
        <v>43510</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89</v>
      </c>
      <c r="Y48" s="41"/>
      <c r="Z48" s="79">
        <v>43511</v>
      </c>
      <c r="AA48" s="80"/>
      <c r="AB48" s="79">
        <v>43599</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43599</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319</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701280</v>
      </c>
      <c r="S57" s="241"/>
      <c r="T57" s="240">
        <f>425+133</f>
        <v>558</v>
      </c>
      <c r="U57" s="241"/>
      <c r="V57" s="241">
        <v>17955</v>
      </c>
      <c r="W57" s="241"/>
      <c r="X57" s="241">
        <f>22288+35</f>
        <v>22323</v>
      </c>
      <c r="Y57" s="241"/>
      <c r="Z57" s="241">
        <v>0</v>
      </c>
      <c r="AA57" s="241"/>
      <c r="AB57" s="240">
        <f>R57-T57-V57+X57-Z57</f>
        <v>705090</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701280</v>
      </c>
      <c r="S60" s="241"/>
      <c r="T60" s="241">
        <f>T57+T58</f>
        <v>558</v>
      </c>
      <c r="U60" s="241"/>
      <c r="V60" s="241">
        <f>SUM(V57:V59)</f>
        <v>17955</v>
      </c>
      <c r="W60" s="241"/>
      <c r="X60" s="241">
        <f>SUM(X57:X59)</f>
        <v>22323</v>
      </c>
      <c r="Y60" s="241"/>
      <c r="Z60" s="241">
        <f>SUM(Z57:Z59)</f>
        <v>0</v>
      </c>
      <c r="AA60" s="241"/>
      <c r="AB60" s="241">
        <f>SUM(AB57:AB59)</f>
        <v>705090</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4060</v>
      </c>
      <c r="S63" s="241"/>
      <c r="T63" s="241">
        <v>0</v>
      </c>
      <c r="U63" s="241"/>
      <c r="V63" s="241">
        <v>-3775</v>
      </c>
      <c r="W63" s="241"/>
      <c r="X63" s="241"/>
      <c r="Y63" s="241"/>
      <c r="Z63" s="241"/>
      <c r="AA63" s="241"/>
      <c r="AB63" s="241">
        <f>+R63+V63</f>
        <v>285</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508</v>
      </c>
      <c r="S64" s="241"/>
      <c r="T64" s="241"/>
      <c r="U64" s="241"/>
      <c r="V64" s="241"/>
      <c r="W64" s="241"/>
      <c r="X64" s="241">
        <v>-35</v>
      </c>
      <c r="Y64" s="241"/>
      <c r="Z64" s="241"/>
      <c r="AA64" s="241"/>
      <c r="AB64" s="241">
        <f>+R64+X64</f>
        <v>473</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705848</v>
      </c>
      <c r="S66" s="241"/>
      <c r="T66" s="241"/>
      <c r="U66" s="241"/>
      <c r="V66" s="241"/>
      <c r="W66" s="241"/>
      <c r="X66" s="241"/>
      <c r="Y66" s="241"/>
      <c r="Z66" s="241"/>
      <c r="AA66" s="241"/>
      <c r="AB66" s="241">
        <f>SUM(AB60:AB65)</f>
        <v>705848</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43585</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4060</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35</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f>-Z73</f>
        <v>-35</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18513</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1953+5865-430-631</f>
        <v>6757</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93+108</f>
        <v>201</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34</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17</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207</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22573</v>
      </c>
      <c r="AA85" s="41"/>
      <c r="AB85" s="100">
        <f>SUM(AB70:AB84)</f>
        <v>7216</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22573</v>
      </c>
      <c r="AA88" s="41"/>
      <c r="AB88" s="100">
        <f>AB85+AB86+AB87</f>
        <v>7216</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-72</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-342-36-3</f>
        <v>-381</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-29</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-2226</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-149</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-159</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-149</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0</v>
      </c>
      <c r="AA101" s="115"/>
      <c r="AB101" s="101">
        <v>0</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-34</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-900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-15</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-149</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-123</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-6</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-609</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-116-497</f>
        <v>-613</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0</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-1599</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-22288</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-285</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0</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-22573</v>
      </c>
      <c r="AA131" s="100"/>
      <c r="AB131" s="100">
        <f>SUM(AB89:AB129)</f>
        <v>-7216</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APRIL 2019</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+'Jan 19'!AB147</f>
        <v>9502.5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9502.5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+'Jan 19'!AB160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+'Jan 19'!AB166</f>
        <v>508</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X64</f>
        <v>-35</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f>
        <v>473</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0</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0</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0</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+'Jan 19'!AB182</f>
        <v>4060</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-4060</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285</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285</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+'Jan 19'!AB190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34</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17</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17</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+'Jan 19'!AB198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34</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34</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+'Jan 19'!AB206</f>
        <v>819</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325</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207</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937</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+'Jan 19'!AB214</f>
        <v>452</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325</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900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1027</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+'Jan 19'!Y221</f>
        <v>0</v>
      </c>
      <c r="Z219" s="101">
        <f>+'Jan 19'!Z221</f>
        <v>67</v>
      </c>
      <c r="AA219" s="41"/>
      <c r="AB219" s="101">
        <f>Y219+Z219</f>
        <v>67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35</v>
      </c>
      <c r="AA220" s="41"/>
      <c r="AB220" s="101">
        <f>Y220+Z220</f>
        <v>35</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102</v>
      </c>
      <c r="AA221" s="41"/>
      <c r="AB221" s="101">
        <f>Y221+Z221</f>
        <v>102</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112833.68000000001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603000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606968</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-3968</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3.0242587601078168</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2.82</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4">
        <f>(AB88+AB90+AB91+AB92+AB93+AB94)/-(AB95)</f>
        <v>30.241610738255034</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27.18</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4">
        <f>(AB88+AB90+AB91+AB92+AB93+AB94+AB95)/-(AB97)</f>
        <v>27.40251572327044</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24.43</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4">
        <f>(AB88+AB90+AB91+AB92+AB93+AB94+AB95+AB97)/-(AB98)</f>
        <v>28.174496644295303</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24.95</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4">
        <f>(AB88+AB90+AB91+AB92+AB93+AB94+AB95+AB97+AB98)/-(AB107)</f>
        <v>27.174496644295303</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23.8</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APRIL 2019</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43585</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3.8190000000000002E-2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1.6437432113429521E-2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2.1752567886570481E-2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1.0121159229749181E-2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17.670000000000002</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2.6246916380752546E-2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8.9200000000000002E-2</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510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+X332</f>
        <v>0</v>
      </c>
      <c r="Z269" s="165">
        <f>+Z332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22288</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0</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'Jan 19'!Z274+Z273</f>
        <v>0</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+X299+X311+X323</f>
        <v>4155</v>
      </c>
      <c r="Y287" s="195">
        <f>X287/$X$296</f>
        <v>0.99831811629024503</v>
      </c>
      <c r="Z287" s="110">
        <f>+Z299+Z311+Z323</f>
        <v>703773</v>
      </c>
      <c r="AA287" s="195">
        <f t="shared" ref="AA287:AA294" si="1">Z287/$Z$296</f>
        <v>0.99813215334212657</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+X300+X312+X324</f>
        <v>4</v>
      </c>
      <c r="Y288" s="199">
        <f t="shared" ref="Y288:Y294" si="2">X288/$X$296</f>
        <v>9.6107640557424319E-4</v>
      </c>
      <c r="Z288" s="200">
        <f>+Z300+Z312+Z324</f>
        <v>547</v>
      </c>
      <c r="AA288" s="201">
        <f t="shared" si="1"/>
        <v>7.7578748812208366E-4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ref="X289:X293" si="3">+X301+X313+X325</f>
        <v>1</v>
      </c>
      <c r="Y289" s="203">
        <f t="shared" si="2"/>
        <v>2.402691013935608E-4</v>
      </c>
      <c r="Z289" s="134">
        <f t="shared" ref="Z289:Z293" si="4">+Z301+Z313+Z325</f>
        <v>77</v>
      </c>
      <c r="AA289" s="201">
        <f t="shared" si="1"/>
        <v>1.0920591697513792E-4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3"/>
        <v>2</v>
      </c>
      <c r="Y290" s="203">
        <f t="shared" si="2"/>
        <v>4.8053820278712159E-4</v>
      </c>
      <c r="Z290" s="134">
        <f t="shared" si="4"/>
        <v>693</v>
      </c>
      <c r="AA290" s="201">
        <f t="shared" si="1"/>
        <v>9.8285325277624124E-4</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3"/>
        <v>0</v>
      </c>
      <c r="Y291" s="203">
        <f t="shared" si="2"/>
        <v>0</v>
      </c>
      <c r="Z291" s="134">
        <f t="shared" si="4"/>
        <v>0</v>
      </c>
      <c r="AA291" s="201">
        <f t="shared" si="1"/>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+X304+X316+X328</f>
        <v>0</v>
      </c>
      <c r="Y292" s="203">
        <f t="shared" si="2"/>
        <v>0</v>
      </c>
      <c r="Z292" s="134">
        <f t="shared" si="4"/>
        <v>0</v>
      </c>
      <c r="AA292" s="201">
        <f t="shared" si="1"/>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3"/>
        <v>0</v>
      </c>
      <c r="Y293" s="205">
        <f t="shared" si="2"/>
        <v>0</v>
      </c>
      <c r="Z293" s="206">
        <f t="shared" si="4"/>
        <v>0</v>
      </c>
      <c r="AA293" s="201">
        <f t="shared" si="1"/>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+X306+X318+X330</f>
        <v>0</v>
      </c>
      <c r="Y294" s="201">
        <f t="shared" si="2"/>
        <v>0</v>
      </c>
      <c r="Z294" s="110">
        <f>+Z306+Z318+Z330</f>
        <v>0</v>
      </c>
      <c r="AA294" s="201">
        <f t="shared" si="1"/>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4162</v>
      </c>
      <c r="Y296" s="201">
        <f>SUM(Y287:Y295)</f>
        <v>0.99999999999999989</v>
      </c>
      <c r="Z296" s="101">
        <f>SUM(Z287:Z295)</f>
        <v>705090</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4155</v>
      </c>
      <c r="Y299" s="195">
        <f>X299/$X$308</f>
        <v>0.99855803893294881</v>
      </c>
      <c r="Z299" s="110">
        <v>703773</v>
      </c>
      <c r="AA299" s="195">
        <f>Z299/$Z$308</f>
        <v>0.99885463680490505</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4</v>
      </c>
      <c r="Y300" s="201">
        <f t="shared" ref="Y300:Y306" si="5">X300/$X$308</f>
        <v>9.6130737803412636E-4</v>
      </c>
      <c r="Z300" s="101">
        <v>547</v>
      </c>
      <c r="AA300" s="201">
        <f t="shared" ref="AA300:AA306" si="6">Z300/$Z$308</f>
        <v>7.7634903062817563E-4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1</v>
      </c>
      <c r="Y301" s="201">
        <f t="shared" si="5"/>
        <v>2.4032684450853159E-4</v>
      </c>
      <c r="Z301" s="101">
        <v>77</v>
      </c>
      <c r="AA301" s="201">
        <f t="shared" si="6"/>
        <v>1.0928496409208323E-4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1</v>
      </c>
      <c r="Y302" s="201">
        <f t="shared" si="5"/>
        <v>2.4032684450853159E-4</v>
      </c>
      <c r="Z302" s="101">
        <v>183</v>
      </c>
      <c r="AA302" s="201">
        <f t="shared" si="6"/>
        <v>2.5972920037469128E-4</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4161</v>
      </c>
      <c r="Y308" s="201">
        <f>SUM(Y299:Y307)</f>
        <v>1</v>
      </c>
      <c r="Z308" s="101">
        <f>SUM(Z299:Z307)</f>
        <v>704580</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1</v>
      </c>
      <c r="Y314" s="201">
        <f>X314/X320</f>
        <v>1</v>
      </c>
      <c r="Z314" s="101">
        <v>510</v>
      </c>
      <c r="AA314" s="201">
        <f>Z314/Z320</f>
        <v>1</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510</v>
      </c>
      <c r="AA320" s="201">
        <f>SUM(AA311:AA319)</f>
        <v>1</v>
      </c>
      <c r="AB320" s="41"/>
      <c r="AC320" s="44"/>
      <c r="AD320" s="22"/>
    </row>
    <row r="321" spans="1:30" x14ac:dyDescent="0.3">
      <c r="A321" s="7"/>
      <c r="B321" s="102"/>
      <c r="C321" s="102"/>
      <c r="D321" s="208"/>
      <c r="E321" s="208"/>
      <c r="F321" s="208"/>
      <c r="G321" s="208"/>
      <c r="H321" s="208"/>
      <c r="I321" s="208"/>
      <c r="J321" s="208"/>
      <c r="K321" s="208"/>
      <c r="L321" s="208"/>
      <c r="M321" s="208"/>
      <c r="N321" s="208"/>
      <c r="O321" s="208"/>
      <c r="P321" s="208"/>
      <c r="Q321" s="208"/>
      <c r="R321" s="208"/>
      <c r="S321" s="208"/>
      <c r="T321" s="208"/>
      <c r="U321" s="208"/>
      <c r="V321" s="208"/>
      <c r="W321" s="208"/>
      <c r="X321" s="103"/>
      <c r="Y321" s="209"/>
      <c r="Z321" s="210"/>
      <c r="AA321" s="209"/>
      <c r="AB321" s="102"/>
      <c r="AC321" s="10"/>
      <c r="AD321" s="5"/>
    </row>
    <row r="322" spans="1:30" x14ac:dyDescent="0.3">
      <c r="A322" s="33"/>
      <c r="B322" s="105" t="s">
        <v>106</v>
      </c>
      <c r="C322" s="34"/>
      <c r="D322" s="211"/>
      <c r="E322" s="211"/>
      <c r="F322" s="211"/>
      <c r="G322" s="211"/>
      <c r="H322" s="211"/>
      <c r="I322" s="211"/>
      <c r="J322" s="211"/>
      <c r="K322" s="211"/>
      <c r="L322" s="211"/>
      <c r="M322" s="211"/>
      <c r="N322" s="211"/>
      <c r="O322" s="211"/>
      <c r="P322" s="211"/>
      <c r="Q322" s="211"/>
      <c r="R322" s="211"/>
      <c r="S322" s="211"/>
      <c r="T322" s="211"/>
      <c r="U322" s="211"/>
      <c r="V322" s="211"/>
      <c r="W322" s="211"/>
      <c r="X322" s="157" t="s">
        <v>69</v>
      </c>
      <c r="Y322" s="106" t="s">
        <v>70</v>
      </c>
      <c r="Z322" s="157" t="s">
        <v>75</v>
      </c>
      <c r="AA322" s="106" t="s">
        <v>70</v>
      </c>
      <c r="AB322" s="34"/>
      <c r="AC322" s="37"/>
      <c r="AD322" s="5"/>
    </row>
    <row r="323" spans="1:30" s="23" customFormat="1" x14ac:dyDescent="0.3">
      <c r="A323" s="18"/>
      <c r="B323" s="109" t="s">
        <v>59</v>
      </c>
      <c r="C323" s="38"/>
      <c r="D323" s="212"/>
      <c r="E323" s="212"/>
      <c r="F323" s="212"/>
      <c r="G323" s="212"/>
      <c r="H323" s="212"/>
      <c r="I323" s="212"/>
      <c r="J323" s="212"/>
      <c r="K323" s="212"/>
      <c r="L323" s="212"/>
      <c r="M323" s="212"/>
      <c r="N323" s="212"/>
      <c r="O323" s="212"/>
      <c r="P323" s="212"/>
      <c r="Q323" s="212"/>
      <c r="R323" s="212"/>
      <c r="S323" s="212"/>
      <c r="T323" s="212"/>
      <c r="U323" s="212"/>
      <c r="V323" s="212"/>
      <c r="W323" s="212"/>
      <c r="X323" s="109">
        <v>0</v>
      </c>
      <c r="Y323" s="195">
        <v>0</v>
      </c>
      <c r="Z323" s="110">
        <v>0</v>
      </c>
      <c r="AA323" s="195">
        <v>0</v>
      </c>
      <c r="AB323" s="38"/>
      <c r="AC323" s="21"/>
      <c r="AD323" s="22"/>
    </row>
    <row r="324" spans="1:30" s="23" customFormat="1" x14ac:dyDescent="0.3">
      <c r="A324" s="48"/>
      <c r="B324" s="100" t="s">
        <v>60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61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100</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101</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102</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t="s">
        <v>103</v>
      </c>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v>0</v>
      </c>
      <c r="Y329" s="201">
        <v>0</v>
      </c>
      <c r="Z329" s="101">
        <v>0</v>
      </c>
      <c r="AA329" s="201">
        <v>0</v>
      </c>
      <c r="AB329" s="41"/>
      <c r="AC329" s="44"/>
      <c r="AD329" s="22"/>
    </row>
    <row r="330" spans="1:30" s="23" customFormat="1" x14ac:dyDescent="0.3">
      <c r="A330" s="48"/>
      <c r="B330" s="100" t="s">
        <v>104</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v>0</v>
      </c>
      <c r="Y330" s="201">
        <v>0</v>
      </c>
      <c r="Z330" s="101">
        <v>0</v>
      </c>
      <c r="AA330" s="201">
        <v>0</v>
      </c>
      <c r="AB330" s="41"/>
      <c r="AC330" s="44"/>
      <c r="AD330" s="22"/>
    </row>
    <row r="331" spans="1:30" s="23" customFormat="1" x14ac:dyDescent="0.3">
      <c r="A331" s="48"/>
      <c r="B331" s="100"/>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1" t="s">
        <v>80</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100">
        <f>SUM(X323:X330)</f>
        <v>0</v>
      </c>
      <c r="Y332" s="201">
        <f>SUM(Y323:Y330)</f>
        <v>0</v>
      </c>
      <c r="Z332" s="101">
        <f>SUM(Z323:Z330)</f>
        <v>0</v>
      </c>
      <c r="AA332" s="201">
        <f>SUM(AA323:AA330)</f>
        <v>0</v>
      </c>
      <c r="AB332" s="41"/>
      <c r="AC332" s="44"/>
      <c r="AD332" s="22"/>
    </row>
    <row r="333" spans="1:30" s="23" customFormat="1" x14ac:dyDescent="0.3">
      <c r="A333" s="48"/>
      <c r="B333" s="41"/>
      <c r="C333" s="41"/>
      <c r="D333" s="207"/>
      <c r="E333" s="207"/>
      <c r="F333" s="207"/>
      <c r="G333" s="207"/>
      <c r="H333" s="207"/>
      <c r="I333" s="207"/>
      <c r="J333" s="207"/>
      <c r="K333" s="207"/>
      <c r="L333" s="207"/>
      <c r="M333" s="207"/>
      <c r="N333" s="207"/>
      <c r="O333" s="207"/>
      <c r="P333" s="207"/>
      <c r="Q333" s="207"/>
      <c r="R333" s="207"/>
      <c r="S333" s="207"/>
      <c r="T333" s="207"/>
      <c r="U333" s="207"/>
      <c r="V333" s="207"/>
      <c r="W333" s="207"/>
      <c r="X333" s="100"/>
      <c r="Y333" s="201"/>
      <c r="Z333" s="101"/>
      <c r="AA333" s="201"/>
      <c r="AB333" s="41"/>
      <c r="AC333" s="44"/>
      <c r="AD333" s="22"/>
    </row>
    <row r="334" spans="1:30" s="23" customFormat="1" x14ac:dyDescent="0.3">
      <c r="A334" s="48"/>
      <c r="B334" s="45" t="s">
        <v>139</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213">
        <f>X332+X320+X308</f>
        <v>4162</v>
      </c>
      <c r="Y334" s="201"/>
      <c r="Z334" s="214">
        <f>+Z332+Z320+Z308</f>
        <v>705090</v>
      </c>
      <c r="AA334" s="201"/>
      <c r="AB334" s="41"/>
      <c r="AC334" s="44"/>
      <c r="AD334" s="22"/>
    </row>
    <row r="335" spans="1:30" s="23" customFormat="1" x14ac:dyDescent="0.3">
      <c r="A335" s="48"/>
      <c r="B335" s="45" t="s">
        <v>259</v>
      </c>
      <c r="C335" s="45"/>
      <c r="D335" s="215"/>
      <c r="E335" s="215"/>
      <c r="F335" s="215"/>
      <c r="G335" s="215"/>
      <c r="H335" s="215"/>
      <c r="I335" s="215"/>
      <c r="J335" s="215"/>
      <c r="K335" s="215"/>
      <c r="L335" s="215"/>
      <c r="M335" s="215"/>
      <c r="N335" s="215"/>
      <c r="O335" s="215"/>
      <c r="P335" s="215"/>
      <c r="Q335" s="215"/>
      <c r="R335" s="215"/>
      <c r="S335" s="215"/>
      <c r="T335" s="215"/>
      <c r="U335" s="215"/>
      <c r="V335" s="215"/>
      <c r="W335" s="215"/>
      <c r="X335" s="213"/>
      <c r="Y335" s="216"/>
      <c r="Z335" s="214">
        <f>+AB63+AB64</f>
        <v>758</v>
      </c>
      <c r="AA335" s="201"/>
      <c r="AB335" s="41"/>
      <c r="AC335" s="44"/>
      <c r="AD335" s="22"/>
    </row>
    <row r="336" spans="1:30" s="23" customFormat="1" x14ac:dyDescent="0.3">
      <c r="A336" s="48"/>
      <c r="B336" s="45" t="s">
        <v>107</v>
      </c>
      <c r="C336" s="45"/>
      <c r="D336" s="215"/>
      <c r="E336" s="215"/>
      <c r="F336" s="215"/>
      <c r="G336" s="215"/>
      <c r="H336" s="215"/>
      <c r="I336" s="215"/>
      <c r="J336" s="215"/>
      <c r="K336" s="215"/>
      <c r="L336" s="215"/>
      <c r="M336" s="215"/>
      <c r="N336" s="215"/>
      <c r="O336" s="215"/>
      <c r="P336" s="215"/>
      <c r="Q336" s="215"/>
      <c r="R336" s="215"/>
      <c r="S336" s="215"/>
      <c r="T336" s="215"/>
      <c r="U336" s="215"/>
      <c r="V336" s="215"/>
      <c r="W336" s="215"/>
      <c r="X336" s="213"/>
      <c r="Y336" s="216"/>
      <c r="Z336" s="214">
        <f>+Z334+Z335</f>
        <v>705848</v>
      </c>
      <c r="AA336" s="201"/>
      <c r="AB336" s="41"/>
      <c r="AC336" s="44"/>
      <c r="AD336" s="22"/>
    </row>
    <row r="337" spans="1:30" s="23" customFormat="1" x14ac:dyDescent="0.3">
      <c r="A337" s="48"/>
      <c r="B337" s="45" t="s">
        <v>275</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14">
        <f>+AB66</f>
        <v>705848</v>
      </c>
      <c r="AA337" s="201"/>
      <c r="AB337" s="41"/>
      <c r="AC337" s="44"/>
      <c r="AD337" s="22"/>
    </row>
    <row r="338" spans="1:30" s="23" customFormat="1" x14ac:dyDescent="0.3">
      <c r="A338" s="48"/>
      <c r="B338" s="45"/>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213"/>
      <c r="Y338" s="201"/>
      <c r="Z338" s="214"/>
      <c r="AA338" s="201"/>
      <c r="AB338" s="41"/>
      <c r="AC338" s="44"/>
      <c r="AD338" s="22"/>
    </row>
    <row r="339" spans="1:30" s="23" customFormat="1" x14ac:dyDescent="0.3">
      <c r="A339" s="48"/>
      <c r="B339" s="45" t="s">
        <v>318</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213"/>
      <c r="Y339" s="201"/>
      <c r="Z339" s="239">
        <f>(D30*0.375+F30*0.05+H30*0.05+J30+L30)/AB30</f>
        <v>0.38325956863234012</v>
      </c>
      <c r="AA339" s="201"/>
      <c r="AB339" s="41"/>
      <c r="AC339" s="44"/>
      <c r="AD339" s="22"/>
    </row>
    <row r="340" spans="1:30" s="23" customFormat="1" x14ac:dyDescent="0.3">
      <c r="A340" s="18"/>
      <c r="B340" s="20"/>
      <c r="C340" s="20"/>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8"/>
      <c r="AA340" s="217"/>
      <c r="AB340" s="20"/>
      <c r="AC340" s="21"/>
      <c r="AD340" s="22"/>
    </row>
    <row r="341" spans="1:30" s="23" customFormat="1" x14ac:dyDescent="0.3">
      <c r="A341" s="18"/>
      <c r="B341" s="19" t="s">
        <v>62</v>
      </c>
      <c r="C341" s="20"/>
      <c r="D341" s="219"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20" t="s">
        <v>122</v>
      </c>
      <c r="E343" s="19"/>
      <c r="F343" s="19" t="s">
        <v>170</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20" t="s">
        <v>98</v>
      </c>
      <c r="E344" s="19"/>
      <c r="F344" s="19" t="s">
        <v>171</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x14ac:dyDescent="0.3">
      <c r="A345" s="221"/>
      <c r="B345" s="222"/>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4"/>
      <c r="AD345" s="5"/>
    </row>
    <row r="346" spans="1:30" x14ac:dyDescent="0.3">
      <c r="A346" s="221"/>
      <c r="B346" s="222"/>
      <c r="C346" s="222"/>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4"/>
      <c r="AD346" s="5"/>
    </row>
    <row r="347" spans="1:30" ht="18.600000000000001" thickBot="1" x14ac:dyDescent="0.4">
      <c r="A347" s="221"/>
      <c r="B347" s="225" t="str">
        <f>B244</f>
        <v>PM25 INVESTOR REPORT QUARTER ENDING APRIL 2019</v>
      </c>
      <c r="C347" s="222"/>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6"/>
      <c r="AD347" s="5"/>
    </row>
    <row r="348" spans="1:30"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row>
  </sheetData>
  <hyperlinks>
    <hyperlink ref="X284" r:id="rId1" display="http://www.paragon-group.co.uk" xr:uid="{00000000-0004-0000-0300-000000000000}"/>
    <hyperlink ref="K9" r:id="rId2" display="http://www.paragon-group.co.uk" xr:uid="{00000000-0004-0000-0300-000001000000}"/>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5" max="18" man="1"/>
    <brk id="244" max="18" man="1"/>
  </rowBreaks>
  <colBreaks count="1" manualBreakCount="1">
    <brk id="29" max="299"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22F6-872C-4133-86C8-6413D3A6CA82}">
  <sheetPr>
    <tabColor rgb="FF89CB31"/>
  </sheetPr>
  <dimension ref="A1:JB34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43692</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600000</v>
      </c>
      <c r="E29" s="55"/>
      <c r="F29" s="55">
        <f t="shared" ref="F29:N29" si="0">F28*F32</f>
        <v>33500</v>
      </c>
      <c r="G29" s="55"/>
      <c r="H29" s="55">
        <f t="shared" si="0"/>
        <v>30000</v>
      </c>
      <c r="I29" s="55"/>
      <c r="J29" s="55">
        <f t="shared" si="0"/>
        <v>24700</v>
      </c>
      <c r="K29" s="55"/>
      <c r="L29" s="55">
        <f t="shared" si="0"/>
        <v>17648</v>
      </c>
      <c r="M29" s="55"/>
      <c r="N29" s="55">
        <f t="shared" si="0"/>
        <v>10323.108840000001</v>
      </c>
      <c r="O29" s="55"/>
      <c r="P29" s="55">
        <f>+'Jan 19'!P30</f>
        <v>352</v>
      </c>
      <c r="Q29" s="55"/>
      <c r="R29" s="55" t="s">
        <v>83</v>
      </c>
      <c r="S29" s="55"/>
      <c r="T29" s="55" t="s">
        <v>83</v>
      </c>
      <c r="U29" s="55"/>
      <c r="V29" s="55" t="s">
        <v>83</v>
      </c>
      <c r="W29" s="51"/>
      <c r="X29" s="55" t="s">
        <v>83</v>
      </c>
      <c r="Y29" s="51"/>
      <c r="Z29" s="51"/>
      <c r="AA29" s="50"/>
      <c r="AB29" s="51">
        <f>SUM(D29:L29)</f>
        <v>705848</v>
      </c>
      <c r="AC29" s="52"/>
      <c r="AD29" s="22"/>
    </row>
    <row r="30" spans="1:33" s="23" customFormat="1" x14ac:dyDescent="0.3">
      <c r="A30" s="48"/>
      <c r="B30" s="45" t="s">
        <v>92</v>
      </c>
      <c r="C30" s="50"/>
      <c r="D30" s="58">
        <f>D28*D31</f>
        <v>581208</v>
      </c>
      <c r="E30" s="58"/>
      <c r="F30" s="58">
        <f>F28</f>
        <v>33500</v>
      </c>
      <c r="G30" s="58"/>
      <c r="H30" s="58">
        <f>H28</f>
        <v>30000</v>
      </c>
      <c r="I30" s="58"/>
      <c r="J30" s="58">
        <f>J28</f>
        <v>24700</v>
      </c>
      <c r="K30" s="58"/>
      <c r="L30" s="58">
        <f>L28</f>
        <v>17648</v>
      </c>
      <c r="M30" s="58"/>
      <c r="N30" s="58">
        <f>N28*N31</f>
        <v>10323.108840000001</v>
      </c>
      <c r="O30" s="58"/>
      <c r="P30" s="58">
        <v>0</v>
      </c>
      <c r="Q30" s="58"/>
      <c r="R30" s="58" t="s">
        <v>83</v>
      </c>
      <c r="S30" s="58"/>
      <c r="T30" s="58" t="s">
        <v>83</v>
      </c>
      <c r="U30" s="58"/>
      <c r="V30" s="58" t="s">
        <v>83</v>
      </c>
      <c r="W30" s="57"/>
      <c r="X30" s="58" t="s">
        <v>83</v>
      </c>
      <c r="Y30" s="51"/>
      <c r="Z30" s="51"/>
      <c r="AA30" s="50"/>
      <c r="AB30" s="57">
        <f>SUM(D30:L30)</f>
        <v>687056</v>
      </c>
      <c r="AC30" s="52"/>
      <c r="AD30" s="22"/>
      <c r="AE30" s="238"/>
    </row>
    <row r="31" spans="1:33" s="67" customFormat="1" x14ac:dyDescent="0.3">
      <c r="A31" s="59"/>
      <c r="B31" s="169" t="s">
        <v>88</v>
      </c>
      <c r="C31" s="63"/>
      <c r="D31" s="61">
        <v>0.96867999999999999</v>
      </c>
      <c r="E31" s="61"/>
      <c r="F31" s="61">
        <v>1</v>
      </c>
      <c r="G31" s="61"/>
      <c r="H31" s="61">
        <v>1</v>
      </c>
      <c r="I31" s="61"/>
      <c r="J31" s="61">
        <v>1</v>
      </c>
      <c r="K31" s="61"/>
      <c r="L31" s="61">
        <v>1</v>
      </c>
      <c r="M31" s="61"/>
      <c r="N31" s="61">
        <v>0.94508000000000003</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1</v>
      </c>
      <c r="E32" s="61"/>
      <c r="F32" s="61">
        <v>1</v>
      </c>
      <c r="G32" s="61"/>
      <c r="H32" s="61">
        <v>1</v>
      </c>
      <c r="I32" s="61"/>
      <c r="J32" s="61">
        <v>1</v>
      </c>
      <c r="K32" s="61"/>
      <c r="L32" s="61">
        <v>1</v>
      </c>
      <c r="M32" s="61"/>
      <c r="N32" s="61">
        <v>0.94508000000000003</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1.45638E-2</v>
      </c>
      <c r="E34" s="71"/>
      <c r="F34" s="71">
        <v>1.7563800000000001E-2</v>
      </c>
      <c r="G34" s="71"/>
      <c r="H34" s="71">
        <v>2.1063800000000001E-2</v>
      </c>
      <c r="I34" s="71"/>
      <c r="J34" s="71">
        <v>2.40638E-2</v>
      </c>
      <c r="K34" s="71"/>
      <c r="L34" s="71">
        <v>3.4063799999999998E-2</v>
      </c>
      <c r="M34" s="71"/>
      <c r="N34" s="71">
        <v>4.8063799999999997E-2</v>
      </c>
      <c r="O34" s="71"/>
      <c r="P34" s="71">
        <v>4.8063799999999997E-2</v>
      </c>
      <c r="Q34" s="71"/>
      <c r="R34" s="71" t="s">
        <v>83</v>
      </c>
      <c r="S34" s="71"/>
      <c r="T34" s="71" t="s">
        <v>83</v>
      </c>
      <c r="U34" s="71"/>
      <c r="V34" s="71" t="s">
        <v>83</v>
      </c>
      <c r="W34" s="70"/>
      <c r="X34" s="71" t="s">
        <v>83</v>
      </c>
      <c r="Y34" s="49"/>
      <c r="Z34" s="49"/>
      <c r="AA34" s="41"/>
      <c r="AB34" s="70">
        <f>SUMPRODUCT(D34:L34,D29:L29)/AB29</f>
        <v>1.5802432113429521E-2</v>
      </c>
      <c r="AC34" s="44"/>
      <c r="AD34" s="22"/>
    </row>
    <row r="35" spans="1:30" s="23" customFormat="1" x14ac:dyDescent="0.3">
      <c r="A35" s="48"/>
      <c r="B35" s="41" t="s">
        <v>10</v>
      </c>
      <c r="C35" s="72"/>
      <c r="D35" s="71">
        <v>1.51988E-2</v>
      </c>
      <c r="E35" s="71"/>
      <c r="F35" s="71">
        <v>1.8198800000000001E-2</v>
      </c>
      <c r="G35" s="71"/>
      <c r="H35" s="71">
        <v>2.1698800000000001E-2</v>
      </c>
      <c r="I35" s="71"/>
      <c r="J35" s="71">
        <v>2.46988E-2</v>
      </c>
      <c r="K35" s="71"/>
      <c r="L35" s="71">
        <v>3.4698800000000002E-2</v>
      </c>
      <c r="M35" s="71"/>
      <c r="N35" s="71">
        <v>4.86988E-2</v>
      </c>
      <c r="O35" s="71"/>
      <c r="P35" s="71">
        <v>4.86988E-2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0.18211724546117741</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43692</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89</v>
      </c>
      <c r="Y47" s="41"/>
      <c r="Z47" s="79">
        <v>43511</v>
      </c>
      <c r="AA47" s="80"/>
      <c r="AB47" s="79">
        <v>43599</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43600</v>
      </c>
      <c r="AA48" s="80"/>
      <c r="AB48" s="79">
        <v>43691</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43691</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320</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705090</v>
      </c>
      <c r="S57" s="241"/>
      <c r="T57" s="240">
        <f>422+137</f>
        <v>559</v>
      </c>
      <c r="U57" s="241"/>
      <c r="V57" s="241">
        <v>31954</v>
      </c>
      <c r="W57" s="241"/>
      <c r="X57" s="241">
        <f>8236+5</f>
        <v>8241</v>
      </c>
      <c r="Y57" s="241"/>
      <c r="Z57" s="241">
        <v>0</v>
      </c>
      <c r="AA57" s="241"/>
      <c r="AB57" s="240">
        <f>R57-T57-V57+X57-Z57</f>
        <v>680818</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705090</v>
      </c>
      <c r="S60" s="241"/>
      <c r="T60" s="241">
        <f>T57+T58</f>
        <v>559</v>
      </c>
      <c r="U60" s="241"/>
      <c r="V60" s="241">
        <f>SUM(V57:V59)</f>
        <v>31954</v>
      </c>
      <c r="W60" s="241"/>
      <c r="X60" s="241">
        <f>SUM(X57:X59)</f>
        <v>8241</v>
      </c>
      <c r="Y60" s="241"/>
      <c r="Z60" s="241">
        <f>SUM(Z57:Z59)</f>
        <v>0</v>
      </c>
      <c r="AA60" s="241"/>
      <c r="AB60" s="241">
        <f>SUM(AB57:AB59)</f>
        <v>680818</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285</v>
      </c>
      <c r="S63" s="241"/>
      <c r="T63" s="241">
        <v>0</v>
      </c>
      <c r="U63" s="241"/>
      <c r="V63" s="241">
        <v>5485</v>
      </c>
      <c r="W63" s="241"/>
      <c r="X63" s="241"/>
      <c r="Y63" s="241"/>
      <c r="Z63" s="241"/>
      <c r="AA63" s="241"/>
      <c r="AB63" s="241">
        <f>+R63+V63</f>
        <v>5770</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473</v>
      </c>
      <c r="S64" s="241"/>
      <c r="T64" s="241"/>
      <c r="U64" s="241"/>
      <c r="V64" s="241"/>
      <c r="W64" s="241"/>
      <c r="X64" s="241">
        <v>-5</v>
      </c>
      <c r="Y64" s="241"/>
      <c r="Z64" s="241"/>
      <c r="AA64" s="241"/>
      <c r="AB64" s="241">
        <f>+R64+X64</f>
        <v>468</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705848</v>
      </c>
      <c r="S66" s="241"/>
      <c r="T66" s="241"/>
      <c r="U66" s="241"/>
      <c r="V66" s="241"/>
      <c r="W66" s="241"/>
      <c r="X66" s="241"/>
      <c r="Y66" s="241"/>
      <c r="Z66" s="241"/>
      <c r="AA66" s="241"/>
      <c r="AB66" s="241">
        <f>SUM(AB60:AB65)</f>
        <v>687056</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43677</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285</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5</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f>-Z73</f>
        <v>-5</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32513</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1619+6305-193-1032</f>
        <v>6699</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210+44</f>
        <v>254</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42</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46</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366</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32798</v>
      </c>
      <c r="AA85" s="41"/>
      <c r="AB85" s="100">
        <f>SUM(AB70:AB84)</f>
        <v>7407</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32798</v>
      </c>
      <c r="AA88" s="41"/>
      <c r="AB88" s="100">
        <f>AB85+AB86+AB87</f>
        <v>7407</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-24</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-355-43-8</f>
        <v>-406</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-165</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-2202</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-148</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-159</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-150</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0</v>
      </c>
      <c r="AA101" s="115"/>
      <c r="AB101" s="101">
        <v>0</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-29</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-1000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-17</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-152</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-125</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-128</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-28-142</f>
        <v>-170</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-10</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-2519</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-8236</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-5770</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-18792</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-32798</v>
      </c>
      <c r="AA131" s="100"/>
      <c r="AB131" s="100">
        <f>SUM(AB89:AB129)</f>
        <v>-7407</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JULY 2019</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+'April 19'!AB147</f>
        <v>9502.5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9502.5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+'April 19'!AB160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+'April 19'!AB166</f>
        <v>473</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X64</f>
        <v>-5</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f>
        <v>468</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0</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0</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0</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+'April 19'!AB182</f>
        <v>285</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-285</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5770</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5770</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+'April 19'!AB190</f>
        <v>17</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29</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46</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+'April 19'!AB198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29</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29</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+'April 19'!AB206</f>
        <v>937</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1003</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366</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1574</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+'April 19'!AB214</f>
        <v>1027</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1003</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1000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1024</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+'April 19'!Y219</f>
        <v>0</v>
      </c>
      <c r="Z219" s="101">
        <f>+'April 19'!Z221</f>
        <v>102</v>
      </c>
      <c r="AA219" s="41"/>
      <c r="AB219" s="101">
        <f>Y219+Z219</f>
        <v>102</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5</v>
      </c>
      <c r="AA220" s="41"/>
      <c r="AB220" s="101">
        <f>Y220+Z220</f>
        <v>5</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107</v>
      </c>
      <c r="AA221" s="41"/>
      <c r="AB221" s="101">
        <f>Y221+Z221</f>
        <v>107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112828.68000000001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575500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585270</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-9770</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3.092643051771117</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2.88</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4">
        <f>(AB88+AB90+AB91+AB92+AB93+AB94)/-(AB95)</f>
        <v>31.135135135135137</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27.94</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4">
        <f>(AB88+AB90+AB91+AB92+AB93+AB94+AB95)/-(AB97)</f>
        <v>28.050314465408807</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25.12</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4">
        <f>(AB88+AB90+AB91+AB92+AB93+AB94+AB95+AB97)/-(AB98)</f>
        <v>28.673333333333332</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25.66</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4">
        <f>(AB88+AB90+AB91+AB92+AB93+AB94+AB95+AB97+AB98)/-(AB107)</f>
        <v>27.309210526315791</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24.48</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JULY 2019</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43677</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3.8300000000000001E-2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1.5802432113429521E-2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2.249756788657048E-2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1.0459759041606691E-2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17.41</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4.6093212830054936E-2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0.1057</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510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+X332</f>
        <v>0</v>
      </c>
      <c r="Z269" s="165">
        <f>+Z332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8236</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0</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'April 19'!Z273+Z273</f>
        <v>0</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+X299+X311+X323</f>
        <v>4039</v>
      </c>
      <c r="Y287" s="195">
        <f>X287/$X$296</f>
        <v>0.99851668726823239</v>
      </c>
      <c r="Z287" s="110">
        <f>+Z299+Z311+Z323</f>
        <v>679221</v>
      </c>
      <c r="AA287" s="195">
        <f t="shared" ref="AA287:AA294" si="1">Z287/$Z$296</f>
        <v>0.99765429233657155</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+X300+X312+X324</f>
        <v>3</v>
      </c>
      <c r="Y288" s="199">
        <f t="shared" ref="Y288:Y294" si="2">X288/$X$296</f>
        <v>7.4165636588380713E-4</v>
      </c>
      <c r="Z288" s="200">
        <f>+Z300+Z312+Z324</f>
        <v>637</v>
      </c>
      <c r="AA288" s="201">
        <f t="shared" si="1"/>
        <v>9.3563918697801764E-4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ref="X289:X293" si="3">+X301+X313+X325</f>
        <v>2</v>
      </c>
      <c r="Y289" s="203">
        <f t="shared" si="2"/>
        <v>4.9443757725587149E-4</v>
      </c>
      <c r="Z289" s="134">
        <f t="shared" ref="Z289:Z293" si="4">+Z301+Z313+Z325</f>
        <v>450</v>
      </c>
      <c r="AA289" s="201">
        <f t="shared" si="1"/>
        <v>6.6096959833611922E-4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3"/>
        <v>1</v>
      </c>
      <c r="Y290" s="203">
        <f t="shared" si="2"/>
        <v>2.4721878862793575E-4</v>
      </c>
      <c r="Z290" s="134">
        <f t="shared" si="4"/>
        <v>510</v>
      </c>
      <c r="AA290" s="201">
        <f t="shared" si="1"/>
        <v>7.4909887811426838E-4</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3"/>
        <v>0</v>
      </c>
      <c r="Y291" s="203">
        <f t="shared" si="2"/>
        <v>0</v>
      </c>
      <c r="Z291" s="134">
        <f t="shared" si="4"/>
        <v>0</v>
      </c>
      <c r="AA291" s="201">
        <f t="shared" si="1"/>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+X304+X316+X328</f>
        <v>0</v>
      </c>
      <c r="Y292" s="203">
        <f t="shared" si="2"/>
        <v>0</v>
      </c>
      <c r="Z292" s="134">
        <f t="shared" si="4"/>
        <v>0</v>
      </c>
      <c r="AA292" s="201">
        <f t="shared" si="1"/>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3"/>
        <v>0</v>
      </c>
      <c r="Y293" s="205">
        <f t="shared" si="2"/>
        <v>0</v>
      </c>
      <c r="Z293" s="206">
        <f t="shared" si="4"/>
        <v>0</v>
      </c>
      <c r="AA293" s="201">
        <f t="shared" si="1"/>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+X306+X318+X330</f>
        <v>0</v>
      </c>
      <c r="Y294" s="201">
        <f t="shared" si="2"/>
        <v>0</v>
      </c>
      <c r="Z294" s="110">
        <f>+Z306+Z318+Z330</f>
        <v>0</v>
      </c>
      <c r="AA294" s="201">
        <f t="shared" si="1"/>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4045</v>
      </c>
      <c r="Y296" s="201">
        <f>SUM(Y287:Y295)</f>
        <v>1</v>
      </c>
      <c r="Z296" s="101">
        <f>SUM(Z287:Z295)</f>
        <v>680818</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4039</v>
      </c>
      <c r="Y299" s="195">
        <f>X299/$X$308</f>
        <v>0.99876360039564782</v>
      </c>
      <c r="Z299" s="110">
        <v>679221</v>
      </c>
      <c r="AA299" s="195">
        <f>Z299/$Z$308</f>
        <v>0.9984021943002287</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3</v>
      </c>
      <c r="Y300" s="201">
        <f t="shared" ref="Y300:Y306" si="5">X300/$X$308</f>
        <v>7.4183976261127599E-4</v>
      </c>
      <c r="Z300" s="101">
        <v>637</v>
      </c>
      <c r="AA300" s="201">
        <f t="shared" ref="AA300:AA306" si="6">Z300/$Z$308</f>
        <v>9.3634059867001419E-4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2</v>
      </c>
      <c r="Y301" s="201">
        <f t="shared" si="5"/>
        <v>4.9455984174085062E-4</v>
      </c>
      <c r="Z301" s="101">
        <v>450</v>
      </c>
      <c r="AA301" s="201">
        <f t="shared" si="6"/>
        <v>6.6146510110126589E-4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 t="shared" si="5"/>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4044</v>
      </c>
      <c r="Y308" s="201">
        <f>SUM(Y299:Y307)</f>
        <v>1</v>
      </c>
      <c r="Z308" s="101">
        <f>SUM(Z299:Z307)</f>
        <v>680308</v>
      </c>
      <c r="AA308" s="201">
        <f>SUM(AA299:AA307)</f>
        <v>0.99999999999999989</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1</v>
      </c>
      <c r="Y314" s="201">
        <f>X314/X320</f>
        <v>1</v>
      </c>
      <c r="Z314" s="101">
        <v>510</v>
      </c>
      <c r="AA314" s="201">
        <f>Z314/Z320</f>
        <v>1</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510</v>
      </c>
      <c r="AA320" s="201">
        <f>SUM(AA311:AA319)</f>
        <v>1</v>
      </c>
      <c r="AB320" s="41"/>
      <c r="AC320" s="44"/>
      <c r="AD320" s="22"/>
    </row>
    <row r="321" spans="1:30" x14ac:dyDescent="0.3">
      <c r="A321" s="7"/>
      <c r="B321" s="102"/>
      <c r="C321" s="102"/>
      <c r="D321" s="208"/>
      <c r="E321" s="208"/>
      <c r="F321" s="208"/>
      <c r="G321" s="208"/>
      <c r="H321" s="208"/>
      <c r="I321" s="208"/>
      <c r="J321" s="208"/>
      <c r="K321" s="208"/>
      <c r="L321" s="208"/>
      <c r="M321" s="208"/>
      <c r="N321" s="208"/>
      <c r="O321" s="208"/>
      <c r="P321" s="208"/>
      <c r="Q321" s="208"/>
      <c r="R321" s="208"/>
      <c r="S321" s="208"/>
      <c r="T321" s="208"/>
      <c r="U321" s="208"/>
      <c r="V321" s="208"/>
      <c r="W321" s="208"/>
      <c r="X321" s="103"/>
      <c r="Y321" s="209"/>
      <c r="Z321" s="210"/>
      <c r="AA321" s="209"/>
      <c r="AB321" s="102"/>
      <c r="AC321" s="10"/>
      <c r="AD321" s="5"/>
    </row>
    <row r="322" spans="1:30" x14ac:dyDescent="0.3">
      <c r="A322" s="33"/>
      <c r="B322" s="105" t="s">
        <v>106</v>
      </c>
      <c r="C322" s="34"/>
      <c r="D322" s="211"/>
      <c r="E322" s="211"/>
      <c r="F322" s="211"/>
      <c r="G322" s="211"/>
      <c r="H322" s="211"/>
      <c r="I322" s="211"/>
      <c r="J322" s="211"/>
      <c r="K322" s="211"/>
      <c r="L322" s="211"/>
      <c r="M322" s="211"/>
      <c r="N322" s="211"/>
      <c r="O322" s="211"/>
      <c r="P322" s="211"/>
      <c r="Q322" s="211"/>
      <c r="R322" s="211"/>
      <c r="S322" s="211"/>
      <c r="T322" s="211"/>
      <c r="U322" s="211"/>
      <c r="V322" s="211"/>
      <c r="W322" s="211"/>
      <c r="X322" s="157" t="s">
        <v>69</v>
      </c>
      <c r="Y322" s="106" t="s">
        <v>70</v>
      </c>
      <c r="Z322" s="157" t="s">
        <v>75</v>
      </c>
      <c r="AA322" s="106" t="s">
        <v>70</v>
      </c>
      <c r="AB322" s="34"/>
      <c r="AC322" s="37"/>
      <c r="AD322" s="5"/>
    </row>
    <row r="323" spans="1:30" s="23" customFormat="1" x14ac:dyDescent="0.3">
      <c r="A323" s="18"/>
      <c r="B323" s="109" t="s">
        <v>59</v>
      </c>
      <c r="C323" s="38"/>
      <c r="D323" s="212"/>
      <c r="E323" s="212"/>
      <c r="F323" s="212"/>
      <c r="G323" s="212"/>
      <c r="H323" s="212"/>
      <c r="I323" s="212"/>
      <c r="J323" s="212"/>
      <c r="K323" s="212"/>
      <c r="L323" s="212"/>
      <c r="M323" s="212"/>
      <c r="N323" s="212"/>
      <c r="O323" s="212"/>
      <c r="P323" s="212"/>
      <c r="Q323" s="212"/>
      <c r="R323" s="212"/>
      <c r="S323" s="212"/>
      <c r="T323" s="212"/>
      <c r="U323" s="212"/>
      <c r="V323" s="212"/>
      <c r="W323" s="212"/>
      <c r="X323" s="109">
        <v>0</v>
      </c>
      <c r="Y323" s="195">
        <v>0</v>
      </c>
      <c r="Z323" s="110">
        <v>0</v>
      </c>
      <c r="AA323" s="195">
        <v>0</v>
      </c>
      <c r="AB323" s="38"/>
      <c r="AC323" s="21"/>
      <c r="AD323" s="22"/>
    </row>
    <row r="324" spans="1:30" s="23" customFormat="1" x14ac:dyDescent="0.3">
      <c r="A324" s="48"/>
      <c r="B324" s="100" t="s">
        <v>60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61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100</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101</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102</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t="s">
        <v>103</v>
      </c>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v>0</v>
      </c>
      <c r="Y329" s="201">
        <v>0</v>
      </c>
      <c r="Z329" s="101">
        <v>0</v>
      </c>
      <c r="AA329" s="201">
        <v>0</v>
      </c>
      <c r="AB329" s="41"/>
      <c r="AC329" s="44"/>
      <c r="AD329" s="22"/>
    </row>
    <row r="330" spans="1:30" s="23" customFormat="1" x14ac:dyDescent="0.3">
      <c r="A330" s="48"/>
      <c r="B330" s="100" t="s">
        <v>104</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v>0</v>
      </c>
      <c r="Y330" s="201">
        <v>0</v>
      </c>
      <c r="Z330" s="101">
        <v>0</v>
      </c>
      <c r="AA330" s="201">
        <v>0</v>
      </c>
      <c r="AB330" s="41"/>
      <c r="AC330" s="44"/>
      <c r="AD330" s="22"/>
    </row>
    <row r="331" spans="1:30" s="23" customFormat="1" x14ac:dyDescent="0.3">
      <c r="A331" s="48"/>
      <c r="B331" s="100"/>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1" t="s">
        <v>80</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100">
        <f>SUM(X323:X330)</f>
        <v>0</v>
      </c>
      <c r="Y332" s="201">
        <f>SUM(Y323:Y330)</f>
        <v>0</v>
      </c>
      <c r="Z332" s="101">
        <f>SUM(Z323:Z330)</f>
        <v>0</v>
      </c>
      <c r="AA332" s="201">
        <f>SUM(AA323:AA330)</f>
        <v>0</v>
      </c>
      <c r="AB332" s="41"/>
      <c r="AC332" s="44"/>
      <c r="AD332" s="22"/>
    </row>
    <row r="333" spans="1:30" s="23" customFormat="1" x14ac:dyDescent="0.3">
      <c r="A333" s="48"/>
      <c r="B333" s="41"/>
      <c r="C333" s="41"/>
      <c r="D333" s="207"/>
      <c r="E333" s="207"/>
      <c r="F333" s="207"/>
      <c r="G333" s="207"/>
      <c r="H333" s="207"/>
      <c r="I333" s="207"/>
      <c r="J333" s="207"/>
      <c r="K333" s="207"/>
      <c r="L333" s="207"/>
      <c r="M333" s="207"/>
      <c r="N333" s="207"/>
      <c r="O333" s="207"/>
      <c r="P333" s="207"/>
      <c r="Q333" s="207"/>
      <c r="R333" s="207"/>
      <c r="S333" s="207"/>
      <c r="T333" s="207"/>
      <c r="U333" s="207"/>
      <c r="V333" s="207"/>
      <c r="W333" s="207"/>
      <c r="X333" s="100"/>
      <c r="Y333" s="201"/>
      <c r="Z333" s="101"/>
      <c r="AA333" s="201"/>
      <c r="AB333" s="41"/>
      <c r="AC333" s="44"/>
      <c r="AD333" s="22"/>
    </row>
    <row r="334" spans="1:30" s="23" customFormat="1" x14ac:dyDescent="0.3">
      <c r="A334" s="48"/>
      <c r="B334" s="45" t="s">
        <v>139</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213">
        <f>X332+X320+X308</f>
        <v>4045</v>
      </c>
      <c r="Y334" s="201"/>
      <c r="Z334" s="214">
        <f>+Z332+Z320+Z308</f>
        <v>680818</v>
      </c>
      <c r="AA334" s="201"/>
      <c r="AB334" s="41"/>
      <c r="AC334" s="44"/>
      <c r="AD334" s="22"/>
    </row>
    <row r="335" spans="1:30" s="23" customFormat="1" x14ac:dyDescent="0.3">
      <c r="A335" s="48"/>
      <c r="B335" s="45" t="s">
        <v>259</v>
      </c>
      <c r="C335" s="45"/>
      <c r="D335" s="215"/>
      <c r="E335" s="215"/>
      <c r="F335" s="215"/>
      <c r="G335" s="215"/>
      <c r="H335" s="215"/>
      <c r="I335" s="215"/>
      <c r="J335" s="215"/>
      <c r="K335" s="215"/>
      <c r="L335" s="215"/>
      <c r="M335" s="215"/>
      <c r="N335" s="215"/>
      <c r="O335" s="215"/>
      <c r="P335" s="215"/>
      <c r="Q335" s="215"/>
      <c r="R335" s="215"/>
      <c r="S335" s="215"/>
      <c r="T335" s="215"/>
      <c r="U335" s="215"/>
      <c r="V335" s="215"/>
      <c r="W335" s="215"/>
      <c r="X335" s="213"/>
      <c r="Y335" s="216"/>
      <c r="Z335" s="214">
        <f>+AB63+AB64</f>
        <v>6238</v>
      </c>
      <c r="AA335" s="201"/>
      <c r="AB335" s="41"/>
      <c r="AC335" s="44"/>
      <c r="AD335" s="22"/>
    </row>
    <row r="336" spans="1:30" s="23" customFormat="1" x14ac:dyDescent="0.3">
      <c r="A336" s="48"/>
      <c r="B336" s="45" t="s">
        <v>107</v>
      </c>
      <c r="C336" s="45"/>
      <c r="D336" s="215"/>
      <c r="E336" s="215"/>
      <c r="F336" s="215"/>
      <c r="G336" s="215"/>
      <c r="H336" s="215"/>
      <c r="I336" s="215"/>
      <c r="J336" s="215"/>
      <c r="K336" s="215"/>
      <c r="L336" s="215"/>
      <c r="M336" s="215"/>
      <c r="N336" s="215"/>
      <c r="O336" s="215"/>
      <c r="P336" s="215"/>
      <c r="Q336" s="215"/>
      <c r="R336" s="215"/>
      <c r="S336" s="215"/>
      <c r="T336" s="215"/>
      <c r="U336" s="215"/>
      <c r="V336" s="215"/>
      <c r="W336" s="215"/>
      <c r="X336" s="213"/>
      <c r="Y336" s="216"/>
      <c r="Z336" s="214">
        <f>+Z334+Z335</f>
        <v>687056</v>
      </c>
      <c r="AA336" s="201"/>
      <c r="AB336" s="41"/>
      <c r="AC336" s="44"/>
      <c r="AD336" s="22"/>
    </row>
    <row r="337" spans="1:30" s="23" customFormat="1" x14ac:dyDescent="0.3">
      <c r="A337" s="48"/>
      <c r="B337" s="45" t="s">
        <v>275</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14">
        <f>+AB66</f>
        <v>687056</v>
      </c>
      <c r="AA337" s="201"/>
      <c r="AB337" s="41"/>
      <c r="AC337" s="44"/>
      <c r="AD337" s="22"/>
    </row>
    <row r="338" spans="1:30" s="23" customFormat="1" x14ac:dyDescent="0.3">
      <c r="A338" s="48"/>
      <c r="B338" s="45"/>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213"/>
      <c r="Y338" s="201"/>
      <c r="Z338" s="214"/>
      <c r="AA338" s="201"/>
      <c r="AB338" s="41"/>
      <c r="AC338" s="44"/>
      <c r="AD338" s="22"/>
    </row>
    <row r="339" spans="1:30" s="23" customFormat="1" x14ac:dyDescent="0.3">
      <c r="A339" s="48"/>
      <c r="B339" s="45" t="s">
        <v>318</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213"/>
      <c r="Y339" s="201"/>
      <c r="Z339" s="239">
        <f>(D30*0.375+F30*0.05+H30*0.05+J30+L30)/AB30</f>
        <v>0.38348548007731537</v>
      </c>
      <c r="AA339" s="201"/>
      <c r="AB339" s="41"/>
      <c r="AC339" s="44"/>
      <c r="AD339" s="22"/>
    </row>
    <row r="340" spans="1:30" s="23" customFormat="1" x14ac:dyDescent="0.3">
      <c r="A340" s="18"/>
      <c r="B340" s="20"/>
      <c r="C340" s="20"/>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8"/>
      <c r="AA340" s="217"/>
      <c r="AB340" s="20"/>
      <c r="AC340" s="21"/>
      <c r="AD340" s="22"/>
    </row>
    <row r="341" spans="1:30" s="23" customFormat="1" x14ac:dyDescent="0.3">
      <c r="A341" s="18"/>
      <c r="B341" s="19" t="s">
        <v>62</v>
      </c>
      <c r="C341" s="20"/>
      <c r="D341" s="219"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20" t="s">
        <v>122</v>
      </c>
      <c r="E343" s="19"/>
      <c r="F343" s="19" t="s">
        <v>170</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20" t="s">
        <v>98</v>
      </c>
      <c r="E344" s="19"/>
      <c r="F344" s="19" t="s">
        <v>171</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x14ac:dyDescent="0.3">
      <c r="A345" s="221"/>
      <c r="B345" s="222"/>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4"/>
      <c r="AD345" s="5"/>
    </row>
    <row r="346" spans="1:30" x14ac:dyDescent="0.3">
      <c r="A346" s="221"/>
      <c r="B346" s="222"/>
      <c r="C346" s="222"/>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4"/>
      <c r="AD346" s="5"/>
    </row>
    <row r="347" spans="1:30" ht="18.600000000000001" thickBot="1" x14ac:dyDescent="0.4">
      <c r="A347" s="221"/>
      <c r="B347" s="225" t="str">
        <f>B244</f>
        <v>PM25 INVESTOR REPORT QUARTER ENDING JULY 2019</v>
      </c>
      <c r="C347" s="222"/>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6"/>
      <c r="AD347" s="5"/>
    </row>
    <row r="348" spans="1:30"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row>
  </sheetData>
  <hyperlinks>
    <hyperlink ref="X284" r:id="rId1" display="http://www.paragon-group.co.uk" xr:uid="{C93790DF-EF32-4CF5-883E-5689D7EEE500}"/>
    <hyperlink ref="K9" r:id="rId2" display="http://www.paragon-group.co.uk" xr:uid="{920CE654-F80D-4A59-8162-183C7D1B8E17}"/>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5" max="18" man="1"/>
    <brk id="244" max="18" man="1"/>
  </rowBreaks>
  <colBreaks count="1" manualBreakCount="1">
    <brk id="29" max="299"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9D8EC-6E56-4836-987E-E03BFCFDE422}">
  <sheetPr>
    <tabColor rgb="FF2D2926"/>
  </sheetPr>
  <dimension ref="A1:JB34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43791</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581208</v>
      </c>
      <c r="E29" s="55"/>
      <c r="F29" s="55">
        <f t="shared" ref="F29:N29" si="0">F28*F32</f>
        <v>33500</v>
      </c>
      <c r="G29" s="55"/>
      <c r="H29" s="55">
        <f t="shared" si="0"/>
        <v>30000</v>
      </c>
      <c r="I29" s="55"/>
      <c r="J29" s="55">
        <f t="shared" si="0"/>
        <v>24700</v>
      </c>
      <c r="K29" s="55"/>
      <c r="L29" s="55">
        <f t="shared" si="0"/>
        <v>17648</v>
      </c>
      <c r="M29" s="55"/>
      <c r="N29" s="55">
        <f t="shared" si="0"/>
        <v>10323.108840000001</v>
      </c>
      <c r="O29" s="55"/>
      <c r="P29" s="55">
        <v>0</v>
      </c>
      <c r="Q29" s="55"/>
      <c r="R29" s="55" t="s">
        <v>83</v>
      </c>
      <c r="S29" s="55"/>
      <c r="T29" s="55" t="s">
        <v>83</v>
      </c>
      <c r="U29" s="55"/>
      <c r="V29" s="55" t="s">
        <v>83</v>
      </c>
      <c r="W29" s="51"/>
      <c r="X29" s="55" t="s">
        <v>83</v>
      </c>
      <c r="Y29" s="51"/>
      <c r="Z29" s="51"/>
      <c r="AA29" s="50"/>
      <c r="AB29" s="51">
        <f>SUM(D29:L29)</f>
        <v>687056</v>
      </c>
      <c r="AC29" s="52"/>
      <c r="AD29" s="22"/>
    </row>
    <row r="30" spans="1:33" s="23" customFormat="1" x14ac:dyDescent="0.3">
      <c r="A30" s="48"/>
      <c r="B30" s="45" t="s">
        <v>92</v>
      </c>
      <c r="C30" s="50"/>
      <c r="D30" s="58">
        <f>D28*D31</f>
        <v>562914</v>
      </c>
      <c r="E30" s="58"/>
      <c r="F30" s="58">
        <f>F28</f>
        <v>33500</v>
      </c>
      <c r="G30" s="58"/>
      <c r="H30" s="58">
        <f>H28</f>
        <v>30000</v>
      </c>
      <c r="I30" s="58"/>
      <c r="J30" s="58">
        <f>J28</f>
        <v>24700</v>
      </c>
      <c r="K30" s="58"/>
      <c r="L30" s="58">
        <f>L28</f>
        <v>17648</v>
      </c>
      <c r="M30" s="58"/>
      <c r="N30" s="58">
        <f>N28*N31</f>
        <v>10041.29544</v>
      </c>
      <c r="O30" s="58"/>
      <c r="P30" s="58">
        <v>0</v>
      </c>
      <c r="Q30" s="58"/>
      <c r="R30" s="58" t="s">
        <v>83</v>
      </c>
      <c r="S30" s="58"/>
      <c r="T30" s="58" t="s">
        <v>83</v>
      </c>
      <c r="U30" s="58"/>
      <c r="V30" s="58" t="s">
        <v>83</v>
      </c>
      <c r="W30" s="57"/>
      <c r="X30" s="58" t="s">
        <v>83</v>
      </c>
      <c r="Y30" s="51"/>
      <c r="Z30" s="51"/>
      <c r="AA30" s="50"/>
      <c r="AB30" s="57">
        <f>SUM(D30:L30)</f>
        <v>668762</v>
      </c>
      <c r="AC30" s="52"/>
      <c r="AD30" s="22"/>
      <c r="AE30" s="238"/>
    </row>
    <row r="31" spans="1:33" s="67" customFormat="1" x14ac:dyDescent="0.3">
      <c r="A31" s="59"/>
      <c r="B31" s="169" t="s">
        <v>88</v>
      </c>
      <c r="C31" s="63"/>
      <c r="D31" s="61">
        <v>0.93818999999999997</v>
      </c>
      <c r="E31" s="61"/>
      <c r="F31" s="61">
        <v>1</v>
      </c>
      <c r="G31" s="61"/>
      <c r="H31" s="61">
        <v>1</v>
      </c>
      <c r="I31" s="61"/>
      <c r="J31" s="61">
        <v>1</v>
      </c>
      <c r="K31" s="61"/>
      <c r="L31" s="61">
        <v>1</v>
      </c>
      <c r="M31" s="61"/>
      <c r="N31" s="61">
        <v>0.91927999999999999</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0.96867999999999999</v>
      </c>
      <c r="E32" s="61"/>
      <c r="F32" s="61">
        <v>1</v>
      </c>
      <c r="G32" s="61"/>
      <c r="H32" s="61">
        <v>1</v>
      </c>
      <c r="I32" s="61"/>
      <c r="J32" s="61">
        <v>1</v>
      </c>
      <c r="K32" s="61"/>
      <c r="L32" s="61">
        <v>1</v>
      </c>
      <c r="M32" s="61"/>
      <c r="N32" s="61">
        <v>0.94508000000000003</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1.4181300000000001E-2</v>
      </c>
      <c r="E34" s="71"/>
      <c r="F34" s="71">
        <v>1.71813E-2</v>
      </c>
      <c r="G34" s="71"/>
      <c r="H34" s="71">
        <v>2.06813E-2</v>
      </c>
      <c r="I34" s="71"/>
      <c r="J34" s="71">
        <v>2.3681299999999999E-2</v>
      </c>
      <c r="K34" s="71"/>
      <c r="L34" s="71">
        <v>3.3681299999999997E-2</v>
      </c>
      <c r="M34" s="71"/>
      <c r="N34" s="71">
        <v>4.7681300000000003E-2</v>
      </c>
      <c r="O34" s="71"/>
      <c r="P34" s="71">
        <v>4.7681300000000003E-2</v>
      </c>
      <c r="Q34" s="71"/>
      <c r="R34" s="71" t="s">
        <v>83</v>
      </c>
      <c r="S34" s="71"/>
      <c r="T34" s="71" t="s">
        <v>83</v>
      </c>
      <c r="U34" s="71"/>
      <c r="V34" s="71" t="s">
        <v>83</v>
      </c>
      <c r="W34" s="70"/>
      <c r="X34" s="71" t="s">
        <v>83</v>
      </c>
      <c r="Y34" s="49"/>
      <c r="Z34" s="49"/>
      <c r="AA34" s="41"/>
      <c r="AB34" s="70">
        <f>SUMPRODUCT(D34:L34,D29:L29)/AB29</f>
        <v>1.545381053771454E-2</v>
      </c>
      <c r="AC34" s="44"/>
      <c r="AD34" s="22"/>
    </row>
    <row r="35" spans="1:30" s="23" customFormat="1" x14ac:dyDescent="0.3">
      <c r="A35" s="48"/>
      <c r="B35" s="41" t="s">
        <v>10</v>
      </c>
      <c r="C35" s="72"/>
      <c r="D35" s="71">
        <v>1.45638E-2</v>
      </c>
      <c r="E35" s="71"/>
      <c r="F35" s="71">
        <v>1.7563800000000001E-2</v>
      </c>
      <c r="G35" s="71"/>
      <c r="H35" s="71">
        <v>2.1063800000000001E-2</v>
      </c>
      <c r="I35" s="71"/>
      <c r="J35" s="71">
        <v>2.40638E-2</v>
      </c>
      <c r="K35" s="71"/>
      <c r="L35" s="71">
        <v>3.4063799999999998E-2</v>
      </c>
      <c r="M35" s="71"/>
      <c r="N35" s="71">
        <v>4.8063799999999997E-2</v>
      </c>
      <c r="O35" s="71"/>
      <c r="P35" s="71">
        <v>4.8063799999999997E-2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0.18803582785292247</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43784</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43600</v>
      </c>
      <c r="AA47" s="80"/>
      <c r="AB47" s="79">
        <v>43691</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92</v>
      </c>
      <c r="Y48" s="41"/>
      <c r="Z48" s="79">
        <v>43692</v>
      </c>
      <c r="AA48" s="80"/>
      <c r="AB48" s="79">
        <v>43783</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43783</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321</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680818</v>
      </c>
      <c r="S57" s="241"/>
      <c r="T57" s="240">
        <f>422+135</f>
        <v>557</v>
      </c>
      <c r="U57" s="241"/>
      <c r="V57" s="241">
        <f>33774</f>
        <v>33774</v>
      </c>
      <c r="W57" s="241"/>
      <c r="X57" s="241">
        <f>17545+10</f>
        <v>17555</v>
      </c>
      <c r="Y57" s="241"/>
      <c r="Z57" s="241">
        <v>0</v>
      </c>
      <c r="AA57" s="241"/>
      <c r="AB57" s="240">
        <f>R57-T57-V57+X57-Z57</f>
        <v>664042</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680818</v>
      </c>
      <c r="S60" s="241"/>
      <c r="T60" s="241">
        <f>T57+T58</f>
        <v>557</v>
      </c>
      <c r="U60" s="241"/>
      <c r="V60" s="241">
        <f>SUM(V57:V59)</f>
        <v>33774</v>
      </c>
      <c r="W60" s="241"/>
      <c r="X60" s="241">
        <f>SUM(X57:X59)</f>
        <v>17555</v>
      </c>
      <c r="Y60" s="241"/>
      <c r="Z60" s="241">
        <f>SUM(Z57:Z59)</f>
        <v>0</v>
      </c>
      <c r="AA60" s="241"/>
      <c r="AB60" s="241">
        <f>SUM(AB57:AB59)</f>
        <v>664042</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5770</v>
      </c>
      <c r="S63" s="241"/>
      <c r="T63" s="241">
        <v>0</v>
      </c>
      <c r="U63" s="241"/>
      <c r="V63" s="241">
        <f>-1050</f>
        <v>-1050</v>
      </c>
      <c r="W63" s="241"/>
      <c r="X63" s="241"/>
      <c r="Y63" s="241"/>
      <c r="Z63" s="241"/>
      <c r="AA63" s="241"/>
      <c r="AB63" s="241">
        <f>+R63+V63</f>
        <v>4720</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468</v>
      </c>
      <c r="S64" s="241"/>
      <c r="T64" s="241"/>
      <c r="U64" s="241"/>
      <c r="V64" s="241"/>
      <c r="W64" s="241"/>
      <c r="X64" s="241">
        <f>-10-458</f>
        <v>-468</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687056</v>
      </c>
      <c r="S66" s="241"/>
      <c r="T66" s="241"/>
      <c r="U66" s="241"/>
      <c r="V66" s="241"/>
      <c r="W66" s="241"/>
      <c r="X66" s="241"/>
      <c r="Y66" s="241"/>
      <c r="Z66" s="241"/>
      <c r="AA66" s="241"/>
      <c r="AB66" s="241">
        <f>SUM(AB60:AB65)</f>
        <v>668762</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43769</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5770</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468</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-10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34331</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1628+5952-257-866-1</f>
        <v>6456</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40+197</f>
        <v>237</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59</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282</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25</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570</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40559</v>
      </c>
      <c r="AA85" s="41"/>
      <c r="AB85" s="100">
        <f>SUM(AB70:AB84)</f>
        <v>7629</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40559</v>
      </c>
      <c r="AA88" s="41"/>
      <c r="AB88" s="100">
        <f>AB85+AB86+AB87</f>
        <v>7629</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-43</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-343-44-7</f>
        <v>-394</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-219</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-2076</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-145</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-156</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-147</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0</v>
      </c>
      <c r="AA101" s="115"/>
      <c r="AB101" s="101">
        <v>0</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-25</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-1400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-150</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-124</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-282</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-1</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-398</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-26-142</f>
        <v>-168</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-1875</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-17545</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-4720</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-18294</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-40559</v>
      </c>
      <c r="AA131" s="100"/>
      <c r="AB131" s="100">
        <f>SUM(AB89:AB129)</f>
        <v>-7629</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OCTOBER 2019</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+'July 19'!AB147</f>
        <v>9502.5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-282</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9220.5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+'July 19'!AB160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+'July 19'!AB166</f>
        <v>468</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-10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-458</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0</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0</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0</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+'July 19'!AB182</f>
        <v>5770</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-5770</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4720</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4720</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+'July 19'!AB190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25</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25</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+'July 19'!AB198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25</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25</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+'July 19'!AB206</f>
        <v>1574</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1023</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570</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2027</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+'July 19'!AB214</f>
        <v>1024</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1023</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1400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1401</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+'July 19'!Y221</f>
        <v>0</v>
      </c>
      <c r="Z219" s="101">
        <f>+'July 19'!Z221</f>
        <v>107</v>
      </c>
      <c r="AA219" s="41"/>
      <c r="AB219" s="101">
        <f>Y219+Z219</f>
        <v>107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10</v>
      </c>
      <c r="AA220" s="41"/>
      <c r="AB220" s="101">
        <f>Y220+Z220</f>
        <v>10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560300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564313</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-4013</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3.3578998073217727</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2.95</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33.758620689655174</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28.85</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30.448717948717949</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25.96</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31.251700680272108</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26.55</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29.646666666666668</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25.3</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OCTOBER 2019</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43769</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3.8991042642036906E-2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1.545381053771454E-2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2.3537232104322368E-2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1.1041312498544514E-2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17.12</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5.0002330364061126E-2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0.1193</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510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+X332</f>
        <v>0</v>
      </c>
      <c r="Z269" s="165">
        <f>+Z332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17545</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0</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'July 19'!Z274+Z273</f>
        <v>0</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+X299+X311+X323</f>
        <v>3964</v>
      </c>
      <c r="Y287" s="195">
        <f>X287/$X$296</f>
        <v>0.99823721984386804</v>
      </c>
      <c r="Z287" s="110">
        <f>+Z299+Z311+Z323</f>
        <v>662239</v>
      </c>
      <c r="AA287" s="195">
        <f t="shared" ref="AA287:AA294" si="1">Z287/$Z$296</f>
        <v>0.99728481029814375</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+X300+X312+X324</f>
        <v>4</v>
      </c>
      <c r="Y288" s="199">
        <f t="shared" ref="Y288:Y294" si="2">X288/$X$296</f>
        <v>1.007302946361118E-3</v>
      </c>
      <c r="Z288" s="200">
        <f>+Z300+Z312+Z324</f>
        <v>843</v>
      </c>
      <c r="AA288" s="201">
        <f t="shared" si="1"/>
        <v>1.2694980136798576E-3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ref="X289:X293" si="3">+X301+X313+X325</f>
        <v>1</v>
      </c>
      <c r="Y289" s="203">
        <f t="shared" si="2"/>
        <v>2.518257365902795E-4</v>
      </c>
      <c r="Z289" s="134">
        <f t="shared" ref="Z289:Z293" si="4">+Z301+Z313+Z325</f>
        <v>77</v>
      </c>
      <c r="AA289" s="201">
        <f t="shared" si="1"/>
        <v>1.1595652082247809E-4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3"/>
        <v>1</v>
      </c>
      <c r="Y290" s="203">
        <f t="shared" si="2"/>
        <v>2.518257365902795E-4</v>
      </c>
      <c r="Z290" s="134">
        <f t="shared" si="4"/>
        <v>373</v>
      </c>
      <c r="AA290" s="201">
        <f t="shared" si="1"/>
        <v>5.617114580101861E-4</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3"/>
        <v>0</v>
      </c>
      <c r="Y291" s="203">
        <f t="shared" si="2"/>
        <v>0</v>
      </c>
      <c r="Z291" s="134">
        <f t="shared" si="4"/>
        <v>0</v>
      </c>
      <c r="AA291" s="201">
        <f t="shared" si="1"/>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+X304+X316+X328</f>
        <v>1</v>
      </c>
      <c r="Y292" s="203">
        <f t="shared" si="2"/>
        <v>2.518257365902795E-4</v>
      </c>
      <c r="Z292" s="134">
        <f t="shared" si="4"/>
        <v>510</v>
      </c>
      <c r="AA292" s="201">
        <f t="shared" si="1"/>
        <v>7.6802370934368606E-4</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3"/>
        <v>0</v>
      </c>
      <c r="Y293" s="205">
        <f t="shared" si="2"/>
        <v>0</v>
      </c>
      <c r="Z293" s="206">
        <f t="shared" si="4"/>
        <v>0</v>
      </c>
      <c r="AA293" s="201">
        <f t="shared" si="1"/>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+X306+X318+X330</f>
        <v>0</v>
      </c>
      <c r="Y294" s="201">
        <f t="shared" si="2"/>
        <v>0</v>
      </c>
      <c r="Z294" s="110">
        <f>+Z306+Z318+Z330</f>
        <v>0</v>
      </c>
      <c r="AA294" s="201">
        <f t="shared" si="1"/>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3971</v>
      </c>
      <c r="Y296" s="201">
        <f>SUM(Y287:Y295)</f>
        <v>1</v>
      </c>
      <c r="Z296" s="101">
        <f>SUM(Z287:Z295)</f>
        <v>664042</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3964</v>
      </c>
      <c r="Y299" s="195">
        <f>X299/$X$308</f>
        <v>0.99848866498740552</v>
      </c>
      <c r="Z299" s="110">
        <v>662239</v>
      </c>
      <c r="AA299" s="195">
        <f>Z299/$Z$308</f>
        <v>0.99805133738840024</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4</v>
      </c>
      <c r="Y300" s="201">
        <f t="shared" ref="Y300:Y306" si="5">X300/$X$308</f>
        <v>1.0075566750629723E-3</v>
      </c>
      <c r="Z300" s="101">
        <v>843</v>
      </c>
      <c r="AA300" s="201">
        <f t="shared" ref="AA300:AA306" si="6">Z300/$Z$308</f>
        <v>1.2704737676555162E-3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1</v>
      </c>
      <c r="Y301" s="201">
        <f t="shared" si="5"/>
        <v>2.5188916876574307E-4</v>
      </c>
      <c r="Z301" s="101">
        <v>77</v>
      </c>
      <c r="AA301" s="201">
        <f t="shared" si="6"/>
        <v>1.1604564663045641E-4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1</v>
      </c>
      <c r="Y302" s="201">
        <f>X302/$X$308</f>
        <v>2.5188916876574307E-4</v>
      </c>
      <c r="Z302" s="101">
        <v>373</v>
      </c>
      <c r="AA302" s="201">
        <f t="shared" si="6"/>
        <v>5.6214319731376936E-4</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3970</v>
      </c>
      <c r="Y308" s="201">
        <f>SUM(Y299:Y307)</f>
        <v>1</v>
      </c>
      <c r="Z308" s="101">
        <f>SUM(Z299:Z307)</f>
        <v>663532</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1</v>
      </c>
      <c r="Y316" s="201">
        <f>+X316/X320</f>
        <v>1</v>
      </c>
      <c r="Z316" s="101">
        <v>510</v>
      </c>
      <c r="AA316" s="201">
        <f>+Z316/Z320</f>
        <v>1</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510</v>
      </c>
      <c r="AA320" s="201">
        <f>SUM(AA311:AA319)</f>
        <v>1</v>
      </c>
      <c r="AB320" s="41"/>
      <c r="AC320" s="44"/>
      <c r="AD320" s="22"/>
    </row>
    <row r="321" spans="1:30" x14ac:dyDescent="0.3">
      <c r="A321" s="7"/>
      <c r="B321" s="102"/>
      <c r="C321" s="102"/>
      <c r="D321" s="208"/>
      <c r="E321" s="208"/>
      <c r="F321" s="208"/>
      <c r="G321" s="208"/>
      <c r="H321" s="208"/>
      <c r="I321" s="208"/>
      <c r="J321" s="208"/>
      <c r="K321" s="208"/>
      <c r="L321" s="208"/>
      <c r="M321" s="208"/>
      <c r="N321" s="208"/>
      <c r="O321" s="208"/>
      <c r="P321" s="208"/>
      <c r="Q321" s="208"/>
      <c r="R321" s="208"/>
      <c r="S321" s="208"/>
      <c r="T321" s="208"/>
      <c r="U321" s="208"/>
      <c r="V321" s="208"/>
      <c r="W321" s="208"/>
      <c r="X321" s="103"/>
      <c r="Y321" s="209"/>
      <c r="Z321" s="210"/>
      <c r="AA321" s="209"/>
      <c r="AB321" s="102"/>
      <c r="AC321" s="10"/>
      <c r="AD321" s="5"/>
    </row>
    <row r="322" spans="1:30" x14ac:dyDescent="0.3">
      <c r="A322" s="33"/>
      <c r="B322" s="105" t="s">
        <v>106</v>
      </c>
      <c r="C322" s="34"/>
      <c r="D322" s="211"/>
      <c r="E322" s="211"/>
      <c r="F322" s="211"/>
      <c r="G322" s="211"/>
      <c r="H322" s="211"/>
      <c r="I322" s="211"/>
      <c r="J322" s="211"/>
      <c r="K322" s="211"/>
      <c r="L322" s="211"/>
      <c r="M322" s="211"/>
      <c r="N322" s="211"/>
      <c r="O322" s="211"/>
      <c r="P322" s="211"/>
      <c r="Q322" s="211"/>
      <c r="R322" s="211"/>
      <c r="S322" s="211"/>
      <c r="T322" s="211"/>
      <c r="U322" s="211"/>
      <c r="V322" s="211"/>
      <c r="W322" s="211"/>
      <c r="X322" s="157" t="s">
        <v>69</v>
      </c>
      <c r="Y322" s="106" t="s">
        <v>70</v>
      </c>
      <c r="Z322" s="157" t="s">
        <v>75</v>
      </c>
      <c r="AA322" s="106" t="s">
        <v>70</v>
      </c>
      <c r="AB322" s="34"/>
      <c r="AC322" s="37"/>
      <c r="AD322" s="5"/>
    </row>
    <row r="323" spans="1:30" s="23" customFormat="1" x14ac:dyDescent="0.3">
      <c r="A323" s="18"/>
      <c r="B323" s="109" t="s">
        <v>59</v>
      </c>
      <c r="C323" s="38"/>
      <c r="D323" s="212"/>
      <c r="E323" s="212"/>
      <c r="F323" s="212"/>
      <c r="G323" s="212"/>
      <c r="H323" s="212"/>
      <c r="I323" s="212"/>
      <c r="J323" s="212"/>
      <c r="K323" s="212"/>
      <c r="L323" s="212"/>
      <c r="M323" s="212"/>
      <c r="N323" s="212"/>
      <c r="O323" s="212"/>
      <c r="P323" s="212"/>
      <c r="Q323" s="212"/>
      <c r="R323" s="212"/>
      <c r="S323" s="212"/>
      <c r="T323" s="212"/>
      <c r="U323" s="212"/>
      <c r="V323" s="212"/>
      <c r="W323" s="212"/>
      <c r="X323" s="109">
        <v>0</v>
      </c>
      <c r="Y323" s="195">
        <v>0</v>
      </c>
      <c r="Z323" s="110">
        <v>0</v>
      </c>
      <c r="AA323" s="195">
        <v>0</v>
      </c>
      <c r="AB323" s="38"/>
      <c r="AC323" s="21"/>
      <c r="AD323" s="22"/>
    </row>
    <row r="324" spans="1:30" s="23" customFormat="1" x14ac:dyDescent="0.3">
      <c r="A324" s="48"/>
      <c r="B324" s="100" t="s">
        <v>60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61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100</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101</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102</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t="s">
        <v>103</v>
      </c>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v>0</v>
      </c>
      <c r="Y329" s="201">
        <v>0</v>
      </c>
      <c r="Z329" s="101">
        <v>0</v>
      </c>
      <c r="AA329" s="201">
        <v>0</v>
      </c>
      <c r="AB329" s="41"/>
      <c r="AC329" s="44"/>
      <c r="AD329" s="22"/>
    </row>
    <row r="330" spans="1:30" s="23" customFormat="1" x14ac:dyDescent="0.3">
      <c r="A330" s="48"/>
      <c r="B330" s="100" t="s">
        <v>104</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v>0</v>
      </c>
      <c r="Y330" s="201">
        <v>0</v>
      </c>
      <c r="Z330" s="101">
        <v>0</v>
      </c>
      <c r="AA330" s="201">
        <v>0</v>
      </c>
      <c r="AB330" s="41"/>
      <c r="AC330" s="44"/>
      <c r="AD330" s="22"/>
    </row>
    <row r="331" spans="1:30" s="23" customFormat="1" x14ac:dyDescent="0.3">
      <c r="A331" s="48"/>
      <c r="B331" s="100"/>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1" t="s">
        <v>80</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100">
        <f>SUM(X323:X330)</f>
        <v>0</v>
      </c>
      <c r="Y332" s="201">
        <f>SUM(Y323:Y330)</f>
        <v>0</v>
      </c>
      <c r="Z332" s="101">
        <f>SUM(Z323:Z330)</f>
        <v>0</v>
      </c>
      <c r="AA332" s="201">
        <f>SUM(AA323:AA330)</f>
        <v>0</v>
      </c>
      <c r="AB332" s="41"/>
      <c r="AC332" s="44"/>
      <c r="AD332" s="22"/>
    </row>
    <row r="333" spans="1:30" s="23" customFormat="1" x14ac:dyDescent="0.3">
      <c r="A333" s="48"/>
      <c r="B333" s="41"/>
      <c r="C333" s="41"/>
      <c r="D333" s="207"/>
      <c r="E333" s="207"/>
      <c r="F333" s="207"/>
      <c r="G333" s="207"/>
      <c r="H333" s="207"/>
      <c r="I333" s="207"/>
      <c r="J333" s="207"/>
      <c r="K333" s="207"/>
      <c r="L333" s="207"/>
      <c r="M333" s="207"/>
      <c r="N333" s="207"/>
      <c r="O333" s="207"/>
      <c r="P333" s="207"/>
      <c r="Q333" s="207"/>
      <c r="R333" s="207"/>
      <c r="S333" s="207"/>
      <c r="T333" s="207"/>
      <c r="U333" s="207"/>
      <c r="V333" s="207"/>
      <c r="W333" s="207"/>
      <c r="X333" s="100"/>
      <c r="Y333" s="201"/>
      <c r="Z333" s="101"/>
      <c r="AA333" s="201"/>
      <c r="AB333" s="41"/>
      <c r="AC333" s="44"/>
      <c r="AD333" s="22"/>
    </row>
    <row r="334" spans="1:30" s="23" customFormat="1" x14ac:dyDescent="0.3">
      <c r="A334" s="48"/>
      <c r="B334" s="45" t="s">
        <v>139</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213">
        <f>X332+X320+X308</f>
        <v>3971</v>
      </c>
      <c r="Y334" s="201"/>
      <c r="Z334" s="214">
        <f>+Z332+Z320+Z308</f>
        <v>664042</v>
      </c>
      <c r="AA334" s="201"/>
      <c r="AB334" s="41"/>
      <c r="AC334" s="44"/>
      <c r="AD334" s="22"/>
    </row>
    <row r="335" spans="1:30" s="23" customFormat="1" x14ac:dyDescent="0.3">
      <c r="A335" s="48"/>
      <c r="B335" s="45" t="s">
        <v>253</v>
      </c>
      <c r="C335" s="45"/>
      <c r="D335" s="215"/>
      <c r="E335" s="215"/>
      <c r="F335" s="215"/>
      <c r="G335" s="215"/>
      <c r="H335" s="215"/>
      <c r="I335" s="215"/>
      <c r="J335" s="215"/>
      <c r="K335" s="215"/>
      <c r="L335" s="215"/>
      <c r="M335" s="215"/>
      <c r="N335" s="215"/>
      <c r="O335" s="215"/>
      <c r="P335" s="215"/>
      <c r="Q335" s="215"/>
      <c r="R335" s="215"/>
      <c r="S335" s="215"/>
      <c r="T335" s="215"/>
      <c r="U335" s="215"/>
      <c r="V335" s="215"/>
      <c r="W335" s="215"/>
      <c r="X335" s="213"/>
      <c r="Y335" s="216"/>
      <c r="Z335" s="214">
        <f>+AB63+AB64</f>
        <v>4720</v>
      </c>
      <c r="AA335" s="201"/>
      <c r="AB335" s="41"/>
      <c r="AC335" s="44"/>
      <c r="AD335" s="22"/>
    </row>
    <row r="336" spans="1:30" s="23" customFormat="1" x14ac:dyDescent="0.3">
      <c r="A336" s="48"/>
      <c r="B336" s="45" t="s">
        <v>107</v>
      </c>
      <c r="C336" s="45"/>
      <c r="D336" s="215"/>
      <c r="E336" s="215"/>
      <c r="F336" s="215"/>
      <c r="G336" s="215"/>
      <c r="H336" s="215"/>
      <c r="I336" s="215"/>
      <c r="J336" s="215"/>
      <c r="K336" s="215"/>
      <c r="L336" s="215"/>
      <c r="M336" s="215"/>
      <c r="N336" s="215"/>
      <c r="O336" s="215"/>
      <c r="P336" s="215"/>
      <c r="Q336" s="215"/>
      <c r="R336" s="215"/>
      <c r="S336" s="215"/>
      <c r="T336" s="215"/>
      <c r="U336" s="215"/>
      <c r="V336" s="215"/>
      <c r="W336" s="215"/>
      <c r="X336" s="213"/>
      <c r="Y336" s="216"/>
      <c r="Z336" s="214">
        <f>+Z334+Z335</f>
        <v>668762</v>
      </c>
      <c r="AA336" s="201"/>
      <c r="AB336" s="41"/>
      <c r="AC336" s="44"/>
      <c r="AD336" s="22"/>
    </row>
    <row r="337" spans="1:30" s="23" customFormat="1" x14ac:dyDescent="0.3">
      <c r="A337" s="48"/>
      <c r="B337" s="45" t="s">
        <v>275</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14">
        <f>+AB66</f>
        <v>668762</v>
      </c>
      <c r="AA337" s="201"/>
      <c r="AB337" s="41"/>
      <c r="AC337" s="44"/>
      <c r="AD337" s="22"/>
    </row>
    <row r="338" spans="1:30" s="23" customFormat="1" x14ac:dyDescent="0.3">
      <c r="A338" s="48"/>
      <c r="B338" s="45"/>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213"/>
      <c r="Y338" s="201"/>
      <c r="Z338" s="214"/>
      <c r="AA338" s="201"/>
      <c r="AB338" s="41"/>
      <c r="AC338" s="44"/>
      <c r="AD338" s="22"/>
    </row>
    <row r="339" spans="1:30" s="23" customFormat="1" x14ac:dyDescent="0.3">
      <c r="A339" s="48"/>
      <c r="B339" s="45" t="s">
        <v>318</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213"/>
      <c r="Y339" s="201"/>
      <c r="Z339" s="239">
        <f>(D30*0.375+F30*0.05+H30*0.05+J30+L30)/AB30</f>
        <v>0.38371760058137272</v>
      </c>
      <c r="AA339" s="201"/>
      <c r="AB339" s="41"/>
      <c r="AC339" s="44"/>
      <c r="AD339" s="22"/>
    </row>
    <row r="340" spans="1:30" s="23" customFormat="1" x14ac:dyDescent="0.3">
      <c r="A340" s="18"/>
      <c r="B340" s="20"/>
      <c r="C340" s="20"/>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8"/>
      <c r="AA340" s="217"/>
      <c r="AB340" s="20"/>
      <c r="AC340" s="21"/>
      <c r="AD340" s="22"/>
    </row>
    <row r="341" spans="1:30" s="23" customFormat="1" x14ac:dyDescent="0.3">
      <c r="A341" s="18"/>
      <c r="B341" s="19" t="s">
        <v>62</v>
      </c>
      <c r="C341" s="20"/>
      <c r="D341" s="219"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20" t="s">
        <v>122</v>
      </c>
      <c r="E343" s="19"/>
      <c r="F343" s="19" t="s">
        <v>170</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20" t="s">
        <v>98</v>
      </c>
      <c r="E344" s="19"/>
      <c r="F344" s="19" t="s">
        <v>171</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x14ac:dyDescent="0.3">
      <c r="A345" s="221"/>
      <c r="B345" s="222"/>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4"/>
      <c r="AD345" s="5"/>
    </row>
    <row r="346" spans="1:30" x14ac:dyDescent="0.3">
      <c r="A346" s="221"/>
      <c r="B346" s="222"/>
      <c r="C346" s="222"/>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4"/>
      <c r="AD346" s="5"/>
    </row>
    <row r="347" spans="1:30" ht="18.600000000000001" thickBot="1" x14ac:dyDescent="0.4">
      <c r="A347" s="221"/>
      <c r="B347" s="225" t="str">
        <f>B244</f>
        <v>PM25 INVESTOR REPORT QUARTER ENDING OCTOBER 2019</v>
      </c>
      <c r="C347" s="222"/>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6"/>
      <c r="AD347" s="5"/>
    </row>
    <row r="348" spans="1:30"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row>
  </sheetData>
  <hyperlinks>
    <hyperlink ref="X284" r:id="rId1" display="http://www.paragon-group.co.uk" xr:uid="{78DD86E2-B7EB-4A6B-A11A-A8D954A15F46}"/>
    <hyperlink ref="K9" r:id="rId2" display="http://www.paragon-group.co.uk" xr:uid="{CF795E84-B9C5-4177-B5B8-88D8F97EAC3E}"/>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5" max="18" man="1"/>
    <brk id="244" max="18" man="1"/>
  </rowBreaks>
  <colBreaks count="1" manualBreakCount="1">
    <brk id="29" max="299" man="1"/>
  </col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2823-ADC8-4EF3-A372-EF303FC7D016}">
  <sheetPr>
    <tabColor rgb="FF89CB31"/>
  </sheetPr>
  <dimension ref="A1:JB348"/>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43879</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562914</v>
      </c>
      <c r="E29" s="55"/>
      <c r="F29" s="55">
        <f t="shared" ref="F29:N29" si="0">F28*F32</f>
        <v>33500</v>
      </c>
      <c r="G29" s="55"/>
      <c r="H29" s="55">
        <f t="shared" si="0"/>
        <v>30000</v>
      </c>
      <c r="I29" s="55"/>
      <c r="J29" s="55">
        <f t="shared" si="0"/>
        <v>24700</v>
      </c>
      <c r="K29" s="55"/>
      <c r="L29" s="55">
        <f t="shared" si="0"/>
        <v>17648</v>
      </c>
      <c r="M29" s="55"/>
      <c r="N29" s="55">
        <f t="shared" si="0"/>
        <v>10041.29544</v>
      </c>
      <c r="O29" s="55"/>
      <c r="P29" s="55">
        <v>0</v>
      </c>
      <c r="Q29" s="55"/>
      <c r="R29" s="55" t="s">
        <v>83</v>
      </c>
      <c r="S29" s="55"/>
      <c r="T29" s="55" t="s">
        <v>83</v>
      </c>
      <c r="U29" s="55"/>
      <c r="V29" s="55" t="s">
        <v>83</v>
      </c>
      <c r="W29" s="51"/>
      <c r="X29" s="55" t="s">
        <v>83</v>
      </c>
      <c r="Y29" s="51"/>
      <c r="Z29" s="51"/>
      <c r="AA29" s="50"/>
      <c r="AB29" s="51">
        <f>SUM(D29:L29)</f>
        <v>668762</v>
      </c>
      <c r="AC29" s="52"/>
      <c r="AD29" s="22"/>
    </row>
    <row r="30" spans="1:33" s="23" customFormat="1" x14ac:dyDescent="0.3">
      <c r="A30" s="48"/>
      <c r="B30" s="45" t="s">
        <v>92</v>
      </c>
      <c r="C30" s="50"/>
      <c r="D30" s="58">
        <f>D28*D31</f>
        <v>544968</v>
      </c>
      <c r="E30" s="58"/>
      <c r="F30" s="58">
        <f>F28</f>
        <v>33500</v>
      </c>
      <c r="G30" s="58"/>
      <c r="H30" s="58">
        <f>H28</f>
        <v>30000</v>
      </c>
      <c r="I30" s="58"/>
      <c r="J30" s="58">
        <f>J28</f>
        <v>24700</v>
      </c>
      <c r="K30" s="58"/>
      <c r="L30" s="58">
        <f>L28</f>
        <v>17648</v>
      </c>
      <c r="M30" s="58"/>
      <c r="N30" s="58">
        <f>N28*N31</f>
        <v>9766.9096799999988</v>
      </c>
      <c r="O30" s="58"/>
      <c r="P30" s="58">
        <v>0</v>
      </c>
      <c r="Q30" s="58"/>
      <c r="R30" s="58" t="s">
        <v>83</v>
      </c>
      <c r="S30" s="58"/>
      <c r="T30" s="58" t="s">
        <v>83</v>
      </c>
      <c r="U30" s="58"/>
      <c r="V30" s="58" t="s">
        <v>83</v>
      </c>
      <c r="W30" s="57"/>
      <c r="X30" s="58" t="s">
        <v>83</v>
      </c>
      <c r="Y30" s="51"/>
      <c r="Z30" s="51"/>
      <c r="AA30" s="50"/>
      <c r="AB30" s="57">
        <f>SUM(D30:L30)</f>
        <v>650816</v>
      </c>
      <c r="AC30" s="52"/>
      <c r="AD30" s="22"/>
      <c r="AE30" s="238"/>
    </row>
    <row r="31" spans="1:33" s="67" customFormat="1" x14ac:dyDescent="0.3">
      <c r="A31" s="59"/>
      <c r="B31" s="169" t="s">
        <v>88</v>
      </c>
      <c r="C31" s="63"/>
      <c r="D31" s="61">
        <v>0.90827999999999998</v>
      </c>
      <c r="E31" s="61"/>
      <c r="F31" s="61">
        <v>1</v>
      </c>
      <c r="G31" s="61"/>
      <c r="H31" s="61">
        <v>1</v>
      </c>
      <c r="I31" s="61"/>
      <c r="J31" s="61">
        <v>1</v>
      </c>
      <c r="K31" s="61"/>
      <c r="L31" s="61">
        <v>1</v>
      </c>
      <c r="M31" s="61"/>
      <c r="N31" s="61">
        <v>0.89415999999999995</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0.93818999999999997</v>
      </c>
      <c r="E32" s="61"/>
      <c r="F32" s="61">
        <v>1</v>
      </c>
      <c r="G32" s="61"/>
      <c r="H32" s="61">
        <v>1</v>
      </c>
      <c r="I32" s="61"/>
      <c r="J32" s="61">
        <v>1</v>
      </c>
      <c r="K32" s="61"/>
      <c r="L32" s="61">
        <v>1</v>
      </c>
      <c r="M32" s="61"/>
      <c r="N32" s="61">
        <v>0.91927999999999999</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1.43713E-2</v>
      </c>
      <c r="E34" s="71"/>
      <c r="F34" s="71">
        <v>1.7371299999999999E-2</v>
      </c>
      <c r="G34" s="71"/>
      <c r="H34" s="71">
        <v>2.0871299999999999E-2</v>
      </c>
      <c r="I34" s="71"/>
      <c r="J34" s="71">
        <v>2.3871300000000002E-2</v>
      </c>
      <c r="K34" s="71"/>
      <c r="L34" s="71">
        <v>3.38713E-2</v>
      </c>
      <c r="M34" s="71"/>
      <c r="N34" s="71">
        <v>4.7871299999999999E-2</v>
      </c>
      <c r="O34" s="71"/>
      <c r="P34" s="71">
        <v>4.7871299999999999E-2</v>
      </c>
      <c r="Q34" s="71"/>
      <c r="R34" s="71" t="s">
        <v>83</v>
      </c>
      <c r="S34" s="71"/>
      <c r="T34" s="71" t="s">
        <v>83</v>
      </c>
      <c r="U34" s="71"/>
      <c r="V34" s="71" t="s">
        <v>83</v>
      </c>
      <c r="W34" s="70"/>
      <c r="X34" s="71" t="s">
        <v>83</v>
      </c>
      <c r="Y34" s="49"/>
      <c r="Z34" s="49"/>
      <c r="AA34" s="41"/>
      <c r="AB34" s="70">
        <f>SUMPRODUCT(D34:L34,D29:L29)/AB29</f>
        <v>1.5678620092947865E-2</v>
      </c>
      <c r="AC34" s="44"/>
      <c r="AD34" s="22"/>
    </row>
    <row r="35" spans="1:30" s="23" customFormat="1" x14ac:dyDescent="0.3">
      <c r="A35" s="48"/>
      <c r="B35" s="41" t="s">
        <v>10</v>
      </c>
      <c r="C35" s="72"/>
      <c r="D35" s="71">
        <v>1.4181300000000001E-2</v>
      </c>
      <c r="E35" s="71"/>
      <c r="F35" s="71">
        <v>1.71813E-2</v>
      </c>
      <c r="G35" s="71"/>
      <c r="H35" s="71">
        <v>2.06813E-2</v>
      </c>
      <c r="I35" s="71"/>
      <c r="J35" s="71">
        <v>2.3681299999999999E-2</v>
      </c>
      <c r="K35" s="71"/>
      <c r="L35" s="71">
        <v>3.3681299999999997E-2</v>
      </c>
      <c r="M35" s="71"/>
      <c r="N35" s="71">
        <v>4.7681300000000003E-2</v>
      </c>
      <c r="O35" s="71"/>
      <c r="P35" s="71">
        <v>4.7681300000000003E-2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0.19422791796949546</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43878</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92</v>
      </c>
      <c r="Y47" s="41"/>
      <c r="Z47" s="79">
        <v>43692</v>
      </c>
      <c r="AA47" s="80"/>
      <c r="AB47" s="79">
        <v>43783</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94</v>
      </c>
      <c r="Y48" s="41"/>
      <c r="Z48" s="79">
        <v>43784</v>
      </c>
      <c r="AA48" s="80"/>
      <c r="AB48" s="79">
        <v>43877</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43875</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322</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664042</v>
      </c>
      <c r="S57" s="241"/>
      <c r="T57" s="240">
        <f>426+141</f>
        <v>567</v>
      </c>
      <c r="U57" s="241"/>
      <c r="V57" s="241">
        <v>31060</v>
      </c>
      <c r="W57" s="241"/>
      <c r="X57" s="241">
        <v>15017</v>
      </c>
      <c r="Y57" s="241"/>
      <c r="Z57" s="241">
        <v>0</v>
      </c>
      <c r="AA57" s="241"/>
      <c r="AB57" s="240">
        <f>R57-T57-V57+X57-Z57</f>
        <v>647432</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664042</v>
      </c>
      <c r="S60" s="241"/>
      <c r="T60" s="241">
        <f>T57+T58</f>
        <v>567</v>
      </c>
      <c r="U60" s="241"/>
      <c r="V60" s="241">
        <f>SUM(V57:V59)</f>
        <v>31060</v>
      </c>
      <c r="W60" s="241"/>
      <c r="X60" s="241">
        <f>SUM(X57:X59)</f>
        <v>15017</v>
      </c>
      <c r="Y60" s="241"/>
      <c r="Z60" s="241">
        <f>SUM(Z57:Z59)</f>
        <v>0</v>
      </c>
      <c r="AA60" s="241"/>
      <c r="AB60" s="241">
        <f>SUM(AB57:AB59)</f>
        <v>647432</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4720</v>
      </c>
      <c r="S63" s="241"/>
      <c r="T63" s="241">
        <v>0</v>
      </c>
      <c r="U63" s="241"/>
      <c r="V63" s="241">
        <v>-1336</v>
      </c>
      <c r="W63" s="241"/>
      <c r="X63" s="241"/>
      <c r="Y63" s="241"/>
      <c r="Z63" s="241"/>
      <c r="AA63" s="241"/>
      <c r="AB63" s="241">
        <f>+R63+V63</f>
        <v>3384</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668762</v>
      </c>
      <c r="S66" s="241"/>
      <c r="T66" s="241"/>
      <c r="U66" s="241"/>
      <c r="V66" s="241"/>
      <c r="W66" s="241"/>
      <c r="X66" s="241"/>
      <c r="Y66" s="241"/>
      <c r="Z66" s="241"/>
      <c r="AA66" s="241"/>
      <c r="AB66" s="241">
        <f>SUM(AB60:AB65)</f>
        <v>650816</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43861</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4720</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31627</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2073+6161-736-911</f>
        <v>6587</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26+179</f>
        <v>205</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79</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274</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928</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36347</v>
      </c>
      <c r="AA85" s="41"/>
      <c r="AB85" s="100">
        <f>SUM(AB70:AB84)</f>
        <v>8073</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36347</v>
      </c>
      <c r="AA88" s="41"/>
      <c r="AB88" s="100">
        <f>AB85+AB86+AB87</f>
        <v>8073</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-67</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-335-44-7</f>
        <v>-386</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-190</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-2082</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-150</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-161</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-152</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-1</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1</v>
      </c>
      <c r="AA101" s="115"/>
      <c r="AB101" s="101">
        <v>-1</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-1500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-154</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-124</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-274</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-1</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-348</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-25-142</f>
        <v>-167</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-2290</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-15018</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-3384</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-17946</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-36348</v>
      </c>
      <c r="AA131" s="100"/>
      <c r="AB131" s="100">
        <f>SUM(AB89:AB129)</f>
        <v>-8073</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JANUARY 2020</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+'Oct 19'!AB147</f>
        <v>9220.5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-274</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8946.5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+'Oct 19'!AB160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+'Oct 19'!AB166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1</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1</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-1</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+'Oct 19'!AB182</f>
        <v>4720</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-4720</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3384</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3384</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+'Oct 19'!AB190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+'Oct 19'!AB198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+'Oct 19'!AB206</f>
        <v>2027</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1377</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928</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2476</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+'Oct 19'!AB214</f>
        <v>1401</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1377</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1500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1524</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+'Oct 19'!Y221</f>
        <v>0</v>
      </c>
      <c r="Z219" s="101">
        <f>+'Oct 19'!Z221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533100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537166</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-4066</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3.5677233429394812</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3.03</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35.64</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29.8</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32.273291925465841</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26.85</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33.125</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27.47</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31.707792207792206</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26.21</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JANUARY 2020</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43861</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3.9988349816465735E-2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1.5678620092947865E-2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2.4309729723517869E-2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1.1971373971607238E-2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16.84</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4.7291861678743712E-2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0.1275</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510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+X332</f>
        <v>0</v>
      </c>
      <c r="Z269" s="165">
        <f>+Z332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15018</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1</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'Oct 19'!Z274+Z273</f>
        <v>1</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+X299+X311+X323</f>
        <v>3881</v>
      </c>
      <c r="Y287" s="195">
        <f>X287/$X$296</f>
        <v>0.99768637532133675</v>
      </c>
      <c r="Z287" s="110">
        <f>+Z299+Z311+Z323</f>
        <v>645273</v>
      </c>
      <c r="AA287" s="195">
        <f t="shared" ref="AA287:AA294" si="1">Z287/$Z$296</f>
        <v>0.99666528685638034</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+X300+X312+X324</f>
        <v>3</v>
      </c>
      <c r="Y288" s="199">
        <f t="shared" ref="Y288:Y294" si="2">X288/$X$296</f>
        <v>7.7120822622107974E-4</v>
      </c>
      <c r="Z288" s="200">
        <f>+Z300+Z312+Z324</f>
        <v>574</v>
      </c>
      <c r="AA288" s="201">
        <f t="shared" si="1"/>
        <v>8.8657959445934088E-4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ref="X289:X293" si="3">+X301+X313+X325</f>
        <v>4</v>
      </c>
      <c r="Y289" s="203">
        <f t="shared" si="2"/>
        <v>1.0282776349614395E-3</v>
      </c>
      <c r="Z289" s="134">
        <f t="shared" ref="Z289:Z293" si="4">+Z301+Z313+Z325</f>
        <v>702</v>
      </c>
      <c r="AA289" s="201">
        <f t="shared" si="1"/>
        <v>1.0842837548962671E-3</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3"/>
        <v>1</v>
      </c>
      <c r="Y290" s="203">
        <f t="shared" si="2"/>
        <v>2.5706940874035988E-4</v>
      </c>
      <c r="Z290" s="134">
        <f t="shared" si="4"/>
        <v>373</v>
      </c>
      <c r="AA290" s="201">
        <f t="shared" si="1"/>
        <v>5.7612228002323028E-4</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3"/>
        <v>0</v>
      </c>
      <c r="Y291" s="203">
        <f t="shared" si="2"/>
        <v>0</v>
      </c>
      <c r="Z291" s="134">
        <f t="shared" si="4"/>
        <v>0</v>
      </c>
      <c r="AA291" s="201">
        <f t="shared" si="1"/>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+X304+X316+X328</f>
        <v>0</v>
      </c>
      <c r="Y292" s="203">
        <f t="shared" si="2"/>
        <v>0</v>
      </c>
      <c r="Z292" s="134">
        <f t="shared" si="4"/>
        <v>0</v>
      </c>
      <c r="AA292" s="201">
        <f t="shared" si="1"/>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3"/>
        <v>1</v>
      </c>
      <c r="Y293" s="205">
        <f t="shared" si="2"/>
        <v>2.5706940874035988E-4</v>
      </c>
      <c r="Z293" s="206">
        <f t="shared" si="4"/>
        <v>510</v>
      </c>
      <c r="AA293" s="201">
        <f t="shared" si="1"/>
        <v>7.8772751424087786E-4</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+X306+X318+X330</f>
        <v>0</v>
      </c>
      <c r="Y294" s="201">
        <f t="shared" si="2"/>
        <v>0</v>
      </c>
      <c r="Z294" s="110">
        <f>+Z306+Z318+Z330</f>
        <v>0</v>
      </c>
      <c r="AA294" s="201">
        <f t="shared" si="1"/>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3890</v>
      </c>
      <c r="Y296" s="201">
        <f>SUM(Y287:Y295)</f>
        <v>1</v>
      </c>
      <c r="Z296" s="101">
        <f>SUM(Z287:Z295)</f>
        <v>647432</v>
      </c>
      <c r="AA296" s="201">
        <f>SUM(AA287:AA295)</f>
        <v>1</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3881</v>
      </c>
      <c r="Y299" s="195">
        <f>X299/$X$308</f>
        <v>0.99794291591668804</v>
      </c>
      <c r="Z299" s="110">
        <v>645273</v>
      </c>
      <c r="AA299" s="195">
        <f>Z299/$Z$308</f>
        <v>0.99745100645827467</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3</v>
      </c>
      <c r="Y300" s="201">
        <f t="shared" ref="Y300:Y306" si="5">X300/$X$308</f>
        <v>7.7140653124196457E-4</v>
      </c>
      <c r="Z300" s="101">
        <v>574</v>
      </c>
      <c r="AA300" s="201">
        <f t="shared" ref="AA300:AA306" si="6">Z300/$Z$308</f>
        <v>8.8727852816877458E-4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4</v>
      </c>
      <c r="Y301" s="201">
        <f t="shared" si="5"/>
        <v>1.0285420416559527E-3</v>
      </c>
      <c r="Z301" s="101">
        <v>702</v>
      </c>
      <c r="AA301" s="201">
        <f t="shared" si="6"/>
        <v>1.0851385483875953E-3</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1</v>
      </c>
      <c r="Y302" s="201">
        <f>X302/$X$308</f>
        <v>2.5713551041398817E-4</v>
      </c>
      <c r="Z302" s="101">
        <v>373</v>
      </c>
      <c r="AA302" s="201">
        <f t="shared" si="6"/>
        <v>5.7657646516890749E-4</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3889</v>
      </c>
      <c r="Y308" s="201">
        <f>SUM(Y299:Y307)</f>
        <v>0.99999999999999989</v>
      </c>
      <c r="Z308" s="101">
        <f>SUM(Z299:Z307)</f>
        <v>646922</v>
      </c>
      <c r="AA308" s="201">
        <f>SUM(AA299:AA307)</f>
        <v>0.99999999999999989</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f>+X316/X320</f>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1</v>
      </c>
      <c r="Y317" s="201">
        <v>1</v>
      </c>
      <c r="Z317" s="101">
        <v>510</v>
      </c>
      <c r="AA317" s="201">
        <v>1</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510</v>
      </c>
      <c r="AA320" s="201">
        <f>SUM(AA311:AA319)</f>
        <v>1</v>
      </c>
      <c r="AB320" s="41"/>
      <c r="AC320" s="44"/>
      <c r="AD320" s="22"/>
    </row>
    <row r="321" spans="1:30" x14ac:dyDescent="0.3">
      <c r="A321" s="7"/>
      <c r="B321" s="102"/>
      <c r="C321" s="102"/>
      <c r="D321" s="208"/>
      <c r="E321" s="208"/>
      <c r="F321" s="208"/>
      <c r="G321" s="208"/>
      <c r="H321" s="208"/>
      <c r="I321" s="208"/>
      <c r="J321" s="208"/>
      <c r="K321" s="208"/>
      <c r="L321" s="208"/>
      <c r="M321" s="208"/>
      <c r="N321" s="208"/>
      <c r="O321" s="208"/>
      <c r="P321" s="208"/>
      <c r="Q321" s="208"/>
      <c r="R321" s="208"/>
      <c r="S321" s="208"/>
      <c r="T321" s="208"/>
      <c r="U321" s="208"/>
      <c r="V321" s="208"/>
      <c r="W321" s="208"/>
      <c r="X321" s="103"/>
      <c r="Y321" s="209"/>
      <c r="Z321" s="210"/>
      <c r="AA321" s="209"/>
      <c r="AB321" s="102"/>
      <c r="AC321" s="10"/>
      <c r="AD321" s="5"/>
    </row>
    <row r="322" spans="1:30" x14ac:dyDescent="0.3">
      <c r="A322" s="33"/>
      <c r="B322" s="105" t="s">
        <v>106</v>
      </c>
      <c r="C322" s="34"/>
      <c r="D322" s="211"/>
      <c r="E322" s="211"/>
      <c r="F322" s="211"/>
      <c r="G322" s="211"/>
      <c r="H322" s="211"/>
      <c r="I322" s="211"/>
      <c r="J322" s="211"/>
      <c r="K322" s="211"/>
      <c r="L322" s="211"/>
      <c r="M322" s="211"/>
      <c r="N322" s="211"/>
      <c r="O322" s="211"/>
      <c r="P322" s="211"/>
      <c r="Q322" s="211"/>
      <c r="R322" s="211"/>
      <c r="S322" s="211"/>
      <c r="T322" s="211"/>
      <c r="U322" s="211"/>
      <c r="V322" s="211"/>
      <c r="W322" s="211"/>
      <c r="X322" s="157" t="s">
        <v>69</v>
      </c>
      <c r="Y322" s="106" t="s">
        <v>70</v>
      </c>
      <c r="Z322" s="157" t="s">
        <v>75</v>
      </c>
      <c r="AA322" s="106" t="s">
        <v>70</v>
      </c>
      <c r="AB322" s="34"/>
      <c r="AC322" s="37"/>
      <c r="AD322" s="5"/>
    </row>
    <row r="323" spans="1:30" s="23" customFormat="1" x14ac:dyDescent="0.3">
      <c r="A323" s="18"/>
      <c r="B323" s="109" t="s">
        <v>59</v>
      </c>
      <c r="C323" s="38"/>
      <c r="D323" s="212"/>
      <c r="E323" s="212"/>
      <c r="F323" s="212"/>
      <c r="G323" s="212"/>
      <c r="H323" s="212"/>
      <c r="I323" s="212"/>
      <c r="J323" s="212"/>
      <c r="K323" s="212"/>
      <c r="L323" s="212"/>
      <c r="M323" s="212"/>
      <c r="N323" s="212"/>
      <c r="O323" s="212"/>
      <c r="P323" s="212"/>
      <c r="Q323" s="212"/>
      <c r="R323" s="212"/>
      <c r="S323" s="212"/>
      <c r="T323" s="212"/>
      <c r="U323" s="212"/>
      <c r="V323" s="212"/>
      <c r="W323" s="212"/>
      <c r="X323" s="109">
        <v>0</v>
      </c>
      <c r="Y323" s="195">
        <v>0</v>
      </c>
      <c r="Z323" s="110">
        <v>0</v>
      </c>
      <c r="AA323" s="195">
        <v>0</v>
      </c>
      <c r="AB323" s="38"/>
      <c r="AC323" s="21"/>
      <c r="AD323" s="22"/>
    </row>
    <row r="324" spans="1:30" s="23" customFormat="1" x14ac:dyDescent="0.3">
      <c r="A324" s="48"/>
      <c r="B324" s="100" t="s">
        <v>60</v>
      </c>
      <c r="C324" s="41"/>
      <c r="D324" s="207"/>
      <c r="E324" s="207"/>
      <c r="F324" s="207"/>
      <c r="G324" s="207"/>
      <c r="H324" s="207"/>
      <c r="I324" s="207"/>
      <c r="J324" s="207"/>
      <c r="K324" s="207"/>
      <c r="L324" s="207"/>
      <c r="M324" s="207"/>
      <c r="N324" s="207"/>
      <c r="O324" s="207"/>
      <c r="P324" s="207"/>
      <c r="Q324" s="207"/>
      <c r="R324" s="207"/>
      <c r="S324" s="207"/>
      <c r="T324" s="207"/>
      <c r="U324" s="207"/>
      <c r="V324" s="207"/>
      <c r="W324" s="207"/>
      <c r="X324" s="100">
        <v>0</v>
      </c>
      <c r="Y324" s="201">
        <v>0</v>
      </c>
      <c r="Z324" s="101">
        <v>0</v>
      </c>
      <c r="AA324" s="201">
        <v>0</v>
      </c>
      <c r="AB324" s="41"/>
      <c r="AC324" s="44"/>
      <c r="AD324" s="22"/>
    </row>
    <row r="325" spans="1:30" s="23" customFormat="1" x14ac:dyDescent="0.3">
      <c r="A325" s="48"/>
      <c r="B325" s="100" t="s">
        <v>61</v>
      </c>
      <c r="C325" s="41"/>
      <c r="D325" s="207"/>
      <c r="E325" s="207"/>
      <c r="F325" s="207"/>
      <c r="G325" s="207"/>
      <c r="H325" s="207"/>
      <c r="I325" s="207"/>
      <c r="J325" s="207"/>
      <c r="K325" s="207"/>
      <c r="L325" s="207"/>
      <c r="M325" s="207"/>
      <c r="N325" s="207"/>
      <c r="O325" s="207"/>
      <c r="P325" s="207"/>
      <c r="Q325" s="207"/>
      <c r="R325" s="207"/>
      <c r="S325" s="207"/>
      <c r="T325" s="207"/>
      <c r="U325" s="207"/>
      <c r="V325" s="207"/>
      <c r="W325" s="207"/>
      <c r="X325" s="100">
        <v>0</v>
      </c>
      <c r="Y325" s="201">
        <v>0</v>
      </c>
      <c r="Z325" s="101">
        <v>0</v>
      </c>
      <c r="AA325" s="201">
        <v>0</v>
      </c>
      <c r="AB325" s="41"/>
      <c r="AC325" s="44"/>
      <c r="AD325" s="22"/>
    </row>
    <row r="326" spans="1:30" s="23" customFormat="1" x14ac:dyDescent="0.3">
      <c r="A326" s="48"/>
      <c r="B326" s="100" t="s">
        <v>100</v>
      </c>
      <c r="C326" s="41"/>
      <c r="D326" s="207"/>
      <c r="E326" s="207"/>
      <c r="F326" s="207"/>
      <c r="G326" s="207"/>
      <c r="H326" s="207"/>
      <c r="I326" s="207"/>
      <c r="J326" s="207"/>
      <c r="K326" s="207"/>
      <c r="L326" s="207"/>
      <c r="M326" s="207"/>
      <c r="N326" s="207"/>
      <c r="O326" s="207"/>
      <c r="P326" s="207"/>
      <c r="Q326" s="207"/>
      <c r="R326" s="207"/>
      <c r="S326" s="207"/>
      <c r="T326" s="207"/>
      <c r="U326" s="207"/>
      <c r="V326" s="207"/>
      <c r="W326" s="207"/>
      <c r="X326" s="100">
        <v>0</v>
      </c>
      <c r="Y326" s="201">
        <v>0</v>
      </c>
      <c r="Z326" s="101">
        <v>0</v>
      </c>
      <c r="AA326" s="201">
        <v>0</v>
      </c>
      <c r="AB326" s="41"/>
      <c r="AC326" s="44"/>
      <c r="AD326" s="22"/>
    </row>
    <row r="327" spans="1:30" s="23" customFormat="1" x14ac:dyDescent="0.3">
      <c r="A327" s="48"/>
      <c r="B327" s="100" t="s">
        <v>101</v>
      </c>
      <c r="C327" s="41"/>
      <c r="D327" s="207"/>
      <c r="E327" s="207"/>
      <c r="F327" s="207"/>
      <c r="G327" s="207"/>
      <c r="H327" s="207"/>
      <c r="I327" s="207"/>
      <c r="J327" s="207"/>
      <c r="K327" s="207"/>
      <c r="L327" s="207"/>
      <c r="M327" s="207"/>
      <c r="N327" s="207"/>
      <c r="O327" s="207"/>
      <c r="P327" s="207"/>
      <c r="Q327" s="207"/>
      <c r="R327" s="207"/>
      <c r="S327" s="207"/>
      <c r="T327" s="207"/>
      <c r="U327" s="207"/>
      <c r="V327" s="207"/>
      <c r="W327" s="207"/>
      <c r="X327" s="100">
        <v>0</v>
      </c>
      <c r="Y327" s="201">
        <v>0</v>
      </c>
      <c r="Z327" s="101">
        <v>0</v>
      </c>
      <c r="AA327" s="201">
        <v>0</v>
      </c>
      <c r="AB327" s="41"/>
      <c r="AC327" s="44"/>
      <c r="AD327" s="22"/>
    </row>
    <row r="328" spans="1:30" s="23" customFormat="1" x14ac:dyDescent="0.3">
      <c r="A328" s="48"/>
      <c r="B328" s="100" t="s">
        <v>102</v>
      </c>
      <c r="C328" s="41"/>
      <c r="D328" s="207"/>
      <c r="E328" s="207"/>
      <c r="F328" s="207"/>
      <c r="G328" s="207"/>
      <c r="H328" s="207"/>
      <c r="I328" s="207"/>
      <c r="J328" s="207"/>
      <c r="K328" s="207"/>
      <c r="L328" s="207"/>
      <c r="M328" s="207"/>
      <c r="N328" s="207"/>
      <c r="O328" s="207"/>
      <c r="P328" s="207"/>
      <c r="Q328" s="207"/>
      <c r="R328" s="207"/>
      <c r="S328" s="207"/>
      <c r="T328" s="207"/>
      <c r="U328" s="207"/>
      <c r="V328" s="207"/>
      <c r="W328" s="207"/>
      <c r="X328" s="100">
        <v>0</v>
      </c>
      <c r="Y328" s="201">
        <v>0</v>
      </c>
      <c r="Z328" s="101">
        <v>0</v>
      </c>
      <c r="AA328" s="201">
        <v>0</v>
      </c>
      <c r="AB328" s="41"/>
      <c r="AC328" s="44"/>
      <c r="AD328" s="22"/>
    </row>
    <row r="329" spans="1:30" s="23" customFormat="1" x14ac:dyDescent="0.3">
      <c r="A329" s="48"/>
      <c r="B329" s="100" t="s">
        <v>103</v>
      </c>
      <c r="C329" s="41"/>
      <c r="D329" s="207"/>
      <c r="E329" s="207"/>
      <c r="F329" s="207"/>
      <c r="G329" s="207"/>
      <c r="H329" s="207"/>
      <c r="I329" s="207"/>
      <c r="J329" s="207"/>
      <c r="K329" s="207"/>
      <c r="L329" s="207"/>
      <c r="M329" s="207"/>
      <c r="N329" s="207"/>
      <c r="O329" s="207"/>
      <c r="P329" s="207"/>
      <c r="Q329" s="207"/>
      <c r="R329" s="207"/>
      <c r="S329" s="207"/>
      <c r="T329" s="207"/>
      <c r="U329" s="207"/>
      <c r="V329" s="207"/>
      <c r="W329" s="207"/>
      <c r="X329" s="100">
        <v>0</v>
      </c>
      <c r="Y329" s="201">
        <v>0</v>
      </c>
      <c r="Z329" s="101">
        <v>0</v>
      </c>
      <c r="AA329" s="201">
        <v>0</v>
      </c>
      <c r="AB329" s="41"/>
      <c r="AC329" s="44"/>
      <c r="AD329" s="22"/>
    </row>
    <row r="330" spans="1:30" s="23" customFormat="1" x14ac:dyDescent="0.3">
      <c r="A330" s="48"/>
      <c r="B330" s="100" t="s">
        <v>104</v>
      </c>
      <c r="C330" s="41"/>
      <c r="D330" s="207"/>
      <c r="E330" s="207"/>
      <c r="F330" s="207"/>
      <c r="G330" s="207"/>
      <c r="H330" s="207"/>
      <c r="I330" s="207"/>
      <c r="J330" s="207"/>
      <c r="K330" s="207"/>
      <c r="L330" s="207"/>
      <c r="M330" s="207"/>
      <c r="N330" s="207"/>
      <c r="O330" s="207"/>
      <c r="P330" s="207"/>
      <c r="Q330" s="207"/>
      <c r="R330" s="207"/>
      <c r="S330" s="207"/>
      <c r="T330" s="207"/>
      <c r="U330" s="207"/>
      <c r="V330" s="207"/>
      <c r="W330" s="207"/>
      <c r="X330" s="100">
        <v>0</v>
      </c>
      <c r="Y330" s="201">
        <v>0</v>
      </c>
      <c r="Z330" s="101">
        <v>0</v>
      </c>
      <c r="AA330" s="201">
        <v>0</v>
      </c>
      <c r="AB330" s="41"/>
      <c r="AC330" s="44"/>
      <c r="AD330" s="22"/>
    </row>
    <row r="331" spans="1:30" s="23" customFormat="1" x14ac:dyDescent="0.3">
      <c r="A331" s="48"/>
      <c r="B331" s="100"/>
      <c r="C331" s="41"/>
      <c r="D331" s="207"/>
      <c r="E331" s="207"/>
      <c r="F331" s="207"/>
      <c r="G331" s="207"/>
      <c r="H331" s="207"/>
      <c r="I331" s="207"/>
      <c r="J331" s="207"/>
      <c r="K331" s="207"/>
      <c r="L331" s="207"/>
      <c r="M331" s="207"/>
      <c r="N331" s="207"/>
      <c r="O331" s="207"/>
      <c r="P331" s="207"/>
      <c r="Q331" s="207"/>
      <c r="R331" s="207"/>
      <c r="S331" s="207"/>
      <c r="T331" s="207"/>
      <c r="U331" s="207"/>
      <c r="V331" s="207"/>
      <c r="W331" s="207"/>
      <c r="X331" s="100"/>
      <c r="Y331" s="201"/>
      <c r="Z331" s="101"/>
      <c r="AA331" s="201"/>
      <c r="AB331" s="41"/>
      <c r="AC331" s="44"/>
      <c r="AD331" s="22"/>
    </row>
    <row r="332" spans="1:30" s="23" customFormat="1" x14ac:dyDescent="0.3">
      <c r="A332" s="48"/>
      <c r="B332" s="41" t="s">
        <v>80</v>
      </c>
      <c r="C332" s="41"/>
      <c r="D332" s="207"/>
      <c r="E332" s="207"/>
      <c r="F332" s="207"/>
      <c r="G332" s="207"/>
      <c r="H332" s="207"/>
      <c r="I332" s="207"/>
      <c r="J332" s="207"/>
      <c r="K332" s="207"/>
      <c r="L332" s="207"/>
      <c r="M332" s="207"/>
      <c r="N332" s="207"/>
      <c r="O332" s="207"/>
      <c r="P332" s="207"/>
      <c r="Q332" s="207"/>
      <c r="R332" s="207"/>
      <c r="S332" s="207"/>
      <c r="T332" s="207"/>
      <c r="U332" s="207"/>
      <c r="V332" s="207"/>
      <c r="W332" s="207"/>
      <c r="X332" s="100">
        <f>SUM(X323:X330)</f>
        <v>0</v>
      </c>
      <c r="Y332" s="201">
        <f>SUM(Y323:Y330)</f>
        <v>0</v>
      </c>
      <c r="Z332" s="101">
        <f>SUM(Z323:Z330)</f>
        <v>0</v>
      </c>
      <c r="AA332" s="201">
        <f>SUM(AA323:AA330)</f>
        <v>0</v>
      </c>
      <c r="AB332" s="41"/>
      <c r="AC332" s="44"/>
      <c r="AD332" s="22"/>
    </row>
    <row r="333" spans="1:30" s="23" customFormat="1" x14ac:dyDescent="0.3">
      <c r="A333" s="48"/>
      <c r="B333" s="41"/>
      <c r="C333" s="41"/>
      <c r="D333" s="207"/>
      <c r="E333" s="207"/>
      <c r="F333" s="207"/>
      <c r="G333" s="207"/>
      <c r="H333" s="207"/>
      <c r="I333" s="207"/>
      <c r="J333" s="207"/>
      <c r="K333" s="207"/>
      <c r="L333" s="207"/>
      <c r="M333" s="207"/>
      <c r="N333" s="207"/>
      <c r="O333" s="207"/>
      <c r="P333" s="207"/>
      <c r="Q333" s="207"/>
      <c r="R333" s="207"/>
      <c r="S333" s="207"/>
      <c r="T333" s="207"/>
      <c r="U333" s="207"/>
      <c r="V333" s="207"/>
      <c r="W333" s="207"/>
      <c r="X333" s="100"/>
      <c r="Y333" s="201"/>
      <c r="Z333" s="101"/>
      <c r="AA333" s="201"/>
      <c r="AB333" s="41"/>
      <c r="AC333" s="44"/>
      <c r="AD333" s="22"/>
    </row>
    <row r="334" spans="1:30" s="23" customFormat="1" x14ac:dyDescent="0.3">
      <c r="A334" s="48"/>
      <c r="B334" s="45" t="s">
        <v>139</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213">
        <f>X332+X320+X308</f>
        <v>3890</v>
      </c>
      <c r="Y334" s="201"/>
      <c r="Z334" s="214">
        <f>+Z332+Z320+Z308</f>
        <v>647432</v>
      </c>
      <c r="AA334" s="201"/>
      <c r="AB334" s="41"/>
      <c r="AC334" s="44"/>
      <c r="AD334" s="22"/>
    </row>
    <row r="335" spans="1:30" s="23" customFormat="1" x14ac:dyDescent="0.3">
      <c r="A335" s="48"/>
      <c r="B335" s="45" t="s">
        <v>253</v>
      </c>
      <c r="C335" s="45"/>
      <c r="D335" s="215"/>
      <c r="E335" s="215"/>
      <c r="F335" s="215"/>
      <c r="G335" s="215"/>
      <c r="H335" s="215"/>
      <c r="I335" s="215"/>
      <c r="J335" s="215"/>
      <c r="K335" s="215"/>
      <c r="L335" s="215"/>
      <c r="M335" s="215"/>
      <c r="N335" s="215"/>
      <c r="O335" s="215"/>
      <c r="P335" s="215"/>
      <c r="Q335" s="215"/>
      <c r="R335" s="215"/>
      <c r="S335" s="215"/>
      <c r="T335" s="215"/>
      <c r="U335" s="215"/>
      <c r="V335" s="215"/>
      <c r="W335" s="215"/>
      <c r="X335" s="213"/>
      <c r="Y335" s="216"/>
      <c r="Z335" s="214">
        <f>+AB63+AB64</f>
        <v>3384</v>
      </c>
      <c r="AA335" s="201"/>
      <c r="AB335" s="41"/>
      <c r="AC335" s="44"/>
      <c r="AD335" s="22"/>
    </row>
    <row r="336" spans="1:30" s="23" customFormat="1" x14ac:dyDescent="0.3">
      <c r="A336" s="48"/>
      <c r="B336" s="45" t="s">
        <v>107</v>
      </c>
      <c r="C336" s="45"/>
      <c r="D336" s="215"/>
      <c r="E336" s="215"/>
      <c r="F336" s="215"/>
      <c r="G336" s="215"/>
      <c r="H336" s="215"/>
      <c r="I336" s="215"/>
      <c r="J336" s="215"/>
      <c r="K336" s="215"/>
      <c r="L336" s="215"/>
      <c r="M336" s="215"/>
      <c r="N336" s="215"/>
      <c r="O336" s="215"/>
      <c r="P336" s="215"/>
      <c r="Q336" s="215"/>
      <c r="R336" s="215"/>
      <c r="S336" s="215"/>
      <c r="T336" s="215"/>
      <c r="U336" s="215"/>
      <c r="V336" s="215"/>
      <c r="W336" s="215"/>
      <c r="X336" s="213"/>
      <c r="Y336" s="216"/>
      <c r="Z336" s="214">
        <f>+Z334+Z335</f>
        <v>650816</v>
      </c>
      <c r="AA336" s="201"/>
      <c r="AB336" s="41"/>
      <c r="AC336" s="44"/>
      <c r="AD336" s="22"/>
    </row>
    <row r="337" spans="1:30" s="23" customFormat="1" x14ac:dyDescent="0.3">
      <c r="A337" s="48"/>
      <c r="B337" s="45" t="s">
        <v>275</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213"/>
      <c r="Y337" s="201"/>
      <c r="Z337" s="214">
        <f>+AB66</f>
        <v>650816</v>
      </c>
      <c r="AA337" s="201"/>
      <c r="AB337" s="41"/>
      <c r="AC337" s="44"/>
      <c r="AD337" s="22"/>
    </row>
    <row r="338" spans="1:30" s="23" customFormat="1" x14ac:dyDescent="0.3">
      <c r="A338" s="48"/>
      <c r="B338" s="45"/>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213"/>
      <c r="Y338" s="201"/>
      <c r="Z338" s="214"/>
      <c r="AA338" s="201"/>
      <c r="AB338" s="41"/>
      <c r="AC338" s="44"/>
      <c r="AD338" s="22"/>
    </row>
    <row r="339" spans="1:30" s="23" customFormat="1" x14ac:dyDescent="0.3">
      <c r="A339" s="48"/>
      <c r="B339" s="45" t="s">
        <v>318</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213"/>
      <c r="Y339" s="201"/>
      <c r="Z339" s="239">
        <f>(D30*0.375+F30*0.05+H30*0.05+J30+L30)/AB30</f>
        <v>0.38395798505261086</v>
      </c>
      <c r="AA339" s="201"/>
      <c r="AB339" s="41"/>
      <c r="AC339" s="44"/>
      <c r="AD339" s="22"/>
    </row>
    <row r="340" spans="1:30" s="23" customFormat="1" x14ac:dyDescent="0.3">
      <c r="A340" s="18"/>
      <c r="B340" s="20"/>
      <c r="C340" s="20"/>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8"/>
      <c r="AA340" s="217"/>
      <c r="AB340" s="20"/>
      <c r="AC340" s="21"/>
      <c r="AD340" s="22"/>
    </row>
    <row r="341" spans="1:30" s="23" customFormat="1" x14ac:dyDescent="0.3">
      <c r="A341" s="18"/>
      <c r="B341" s="19" t="s">
        <v>62</v>
      </c>
      <c r="C341" s="20"/>
      <c r="D341" s="219"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20" t="s">
        <v>122</v>
      </c>
      <c r="E343" s="19"/>
      <c r="F343" s="19" t="s">
        <v>170</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20" t="s">
        <v>98</v>
      </c>
      <c r="E344" s="19"/>
      <c r="F344" s="19" t="s">
        <v>171</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x14ac:dyDescent="0.3">
      <c r="A345" s="221"/>
      <c r="B345" s="222"/>
      <c r="C345" s="222"/>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4"/>
      <c r="AD345" s="5"/>
    </row>
    <row r="346" spans="1:30" x14ac:dyDescent="0.3">
      <c r="A346" s="221"/>
      <c r="B346" s="222"/>
      <c r="C346" s="222"/>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4"/>
      <c r="AD346" s="5"/>
    </row>
    <row r="347" spans="1:30" ht="18.600000000000001" thickBot="1" x14ac:dyDescent="0.4">
      <c r="A347" s="221"/>
      <c r="B347" s="225" t="str">
        <f>B244</f>
        <v>PM25 INVESTOR REPORT QUARTER ENDING JANUARY 2020</v>
      </c>
      <c r="C347" s="222"/>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6"/>
      <c r="AD347" s="5"/>
    </row>
    <row r="348" spans="1:30"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row>
  </sheetData>
  <hyperlinks>
    <hyperlink ref="X284" r:id="rId1" display="http://www.paragon-group.co.uk" xr:uid="{A57280D2-BCA6-4D90-B451-7D84A795DBE4}"/>
    <hyperlink ref="K9" r:id="rId2" display="http://www.paragon-group.co.uk" xr:uid="{82CD48E2-D50C-48D0-BDEA-CF6561169B8F}"/>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3" max="18" man="1"/>
    <brk id="135" max="18" man="1"/>
    <brk id="244" max="18" man="1"/>
  </rowBreaks>
  <colBreaks count="1" manualBreakCount="1">
    <brk id="29" max="299"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A6258-6B86-4426-8752-32053658DFBD}">
  <sheetPr>
    <tabColor rgb="FF2D2926"/>
  </sheetPr>
  <dimension ref="A1:JB387"/>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43977</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544968</v>
      </c>
      <c r="E29" s="55"/>
      <c r="F29" s="55">
        <f t="shared" ref="F29:N29" si="0">F28*F32</f>
        <v>33500</v>
      </c>
      <c r="G29" s="55"/>
      <c r="H29" s="55">
        <f t="shared" si="0"/>
        <v>30000</v>
      </c>
      <c r="I29" s="55"/>
      <c r="J29" s="55">
        <f t="shared" si="0"/>
        <v>24700</v>
      </c>
      <c r="K29" s="55"/>
      <c r="L29" s="55">
        <f t="shared" si="0"/>
        <v>17648</v>
      </c>
      <c r="M29" s="55"/>
      <c r="N29" s="55">
        <f t="shared" si="0"/>
        <v>9766.9096799999988</v>
      </c>
      <c r="O29" s="55"/>
      <c r="P29" s="55">
        <v>0</v>
      </c>
      <c r="Q29" s="55"/>
      <c r="R29" s="55" t="s">
        <v>83</v>
      </c>
      <c r="S29" s="55"/>
      <c r="T29" s="55" t="s">
        <v>83</v>
      </c>
      <c r="U29" s="55"/>
      <c r="V29" s="55" t="s">
        <v>83</v>
      </c>
      <c r="W29" s="51"/>
      <c r="X29" s="55" t="s">
        <v>83</v>
      </c>
      <c r="Y29" s="51"/>
      <c r="Z29" s="51"/>
      <c r="AA29" s="50"/>
      <c r="AB29" s="51">
        <f>SUM(D29:L29)</f>
        <v>650816</v>
      </c>
      <c r="AC29" s="52"/>
      <c r="AD29" s="22"/>
    </row>
    <row r="30" spans="1:33" s="23" customFormat="1" x14ac:dyDescent="0.3">
      <c r="A30" s="48"/>
      <c r="B30" s="45" t="s">
        <v>92</v>
      </c>
      <c r="C30" s="50"/>
      <c r="D30" s="58">
        <f>D28*D31</f>
        <v>527628</v>
      </c>
      <c r="E30" s="58"/>
      <c r="F30" s="58">
        <f>F28</f>
        <v>33500</v>
      </c>
      <c r="G30" s="58"/>
      <c r="H30" s="58">
        <f>H28</f>
        <v>30000</v>
      </c>
      <c r="I30" s="58"/>
      <c r="J30" s="58">
        <f>J28</f>
        <v>24700</v>
      </c>
      <c r="K30" s="58"/>
      <c r="L30" s="58">
        <f>L28</f>
        <v>17648</v>
      </c>
      <c r="M30" s="58"/>
      <c r="N30" s="58">
        <f>N28*N31</f>
        <v>9497.766959999999</v>
      </c>
      <c r="O30" s="58"/>
      <c r="P30" s="58">
        <v>0</v>
      </c>
      <c r="Q30" s="58"/>
      <c r="R30" s="58" t="s">
        <v>83</v>
      </c>
      <c r="S30" s="58"/>
      <c r="T30" s="58" t="s">
        <v>83</v>
      </c>
      <c r="U30" s="58"/>
      <c r="V30" s="58" t="s">
        <v>83</v>
      </c>
      <c r="W30" s="57"/>
      <c r="X30" s="58" t="s">
        <v>83</v>
      </c>
      <c r="Y30" s="51"/>
      <c r="Z30" s="51"/>
      <c r="AA30" s="50"/>
      <c r="AB30" s="57">
        <f>SUM(D30:L30)</f>
        <v>633476</v>
      </c>
      <c r="AC30" s="52"/>
      <c r="AD30" s="22"/>
      <c r="AE30" s="238"/>
    </row>
    <row r="31" spans="1:33" s="67" customFormat="1" x14ac:dyDescent="0.3">
      <c r="A31" s="59"/>
      <c r="B31" s="169" t="s">
        <v>88</v>
      </c>
      <c r="C31" s="63"/>
      <c r="D31" s="61">
        <v>0.87938000000000005</v>
      </c>
      <c r="E31" s="61"/>
      <c r="F31" s="61">
        <v>1</v>
      </c>
      <c r="G31" s="61"/>
      <c r="H31" s="61">
        <v>1</v>
      </c>
      <c r="I31" s="61"/>
      <c r="J31" s="61">
        <v>1</v>
      </c>
      <c r="K31" s="61"/>
      <c r="L31" s="61">
        <v>1</v>
      </c>
      <c r="M31" s="61"/>
      <c r="N31" s="61">
        <v>0.86951999999999996</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0.90827999999999998</v>
      </c>
      <c r="E32" s="61"/>
      <c r="F32" s="61">
        <v>1</v>
      </c>
      <c r="G32" s="61"/>
      <c r="H32" s="61">
        <v>1</v>
      </c>
      <c r="I32" s="61"/>
      <c r="J32" s="61">
        <v>1</v>
      </c>
      <c r="K32" s="61"/>
      <c r="L32" s="61">
        <v>1</v>
      </c>
      <c r="M32" s="61"/>
      <c r="N32" s="61">
        <v>0.89415999999999995</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1.4085E-2</v>
      </c>
      <c r="E34" s="71"/>
      <c r="F34" s="71">
        <v>1.7084999999999999E-2</v>
      </c>
      <c r="G34" s="71"/>
      <c r="H34" s="71">
        <v>2.0584999999999999E-2</v>
      </c>
      <c r="I34" s="71"/>
      <c r="J34" s="71">
        <v>2.3584999999999998E-2</v>
      </c>
      <c r="K34" s="71"/>
      <c r="L34" s="71">
        <v>3.3584999999999997E-2</v>
      </c>
      <c r="M34" s="71"/>
      <c r="N34" s="71">
        <v>4.7585000000000002E-2</v>
      </c>
      <c r="O34" s="71"/>
      <c r="P34" s="71">
        <v>4.7585000000000002E-2</v>
      </c>
      <c r="Q34" s="71"/>
      <c r="R34" s="71" t="s">
        <v>83</v>
      </c>
      <c r="S34" s="71"/>
      <c r="T34" s="71" t="s">
        <v>83</v>
      </c>
      <c r="U34" s="71"/>
      <c r="V34" s="71" t="s">
        <v>83</v>
      </c>
      <c r="W34" s="70"/>
      <c r="X34" s="71" t="s">
        <v>83</v>
      </c>
      <c r="Y34" s="49"/>
      <c r="Z34" s="49"/>
      <c r="AA34" s="41"/>
      <c r="AB34" s="70">
        <f>SUMPRODUCT(D34:L34,D29:L29)/AB29</f>
        <v>1.5428368939915426E-2</v>
      </c>
      <c r="AC34" s="44"/>
      <c r="AD34" s="22"/>
    </row>
    <row r="35" spans="1:30" s="23" customFormat="1" x14ac:dyDescent="0.3">
      <c r="A35" s="48"/>
      <c r="B35" s="41" t="s">
        <v>10</v>
      </c>
      <c r="C35" s="72"/>
      <c r="D35" s="71">
        <v>1.43713E-2</v>
      </c>
      <c r="E35" s="71"/>
      <c r="F35" s="71">
        <v>1.7371299999999999E-2</v>
      </c>
      <c r="G35" s="71"/>
      <c r="H35" s="71">
        <v>2.0871299999999999E-2</v>
      </c>
      <c r="I35" s="71"/>
      <c r="J35" s="71">
        <v>2.3871300000000002E-2</v>
      </c>
      <c r="K35" s="71"/>
      <c r="L35" s="71">
        <v>3.38713E-2</v>
      </c>
      <c r="M35" s="71"/>
      <c r="N35" s="71">
        <v>4.7871299999999999E-2</v>
      </c>
      <c r="O35" s="71"/>
      <c r="P35" s="71">
        <v>4.7871299999999999E-2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0.20061103656363954</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43966</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94</v>
      </c>
      <c r="Y47" s="41"/>
      <c r="Z47" s="79">
        <v>43784</v>
      </c>
      <c r="AA47" s="80"/>
      <c r="AB47" s="79">
        <v>43877</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90</v>
      </c>
      <c r="Y48" s="41"/>
      <c r="Z48" s="79">
        <v>43876</v>
      </c>
      <c r="AA48" s="80"/>
      <c r="AB48" s="79">
        <v>43965</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43965</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323</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647432</v>
      </c>
      <c r="S57" s="241"/>
      <c r="T57" s="240">
        <f>125+400</f>
        <v>525</v>
      </c>
      <c r="U57" s="241"/>
      <c r="V57" s="241">
        <f>23562</f>
        <v>23562</v>
      </c>
      <c r="W57" s="241"/>
      <c r="X57" s="241">
        <v>7415</v>
      </c>
      <c r="Y57" s="241"/>
      <c r="Z57" s="241">
        <v>0</v>
      </c>
      <c r="AA57" s="241"/>
      <c r="AB57" s="240">
        <f>R57-T57-V57+X57-Z57</f>
        <v>630760</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647432</v>
      </c>
      <c r="S60" s="241"/>
      <c r="T60" s="241">
        <f>T57+T58</f>
        <v>525</v>
      </c>
      <c r="U60" s="241"/>
      <c r="V60" s="241">
        <f>SUM(V57:V59)</f>
        <v>23562</v>
      </c>
      <c r="W60" s="241"/>
      <c r="X60" s="241">
        <f>SUM(X57:X59)</f>
        <v>7415</v>
      </c>
      <c r="Y60" s="241"/>
      <c r="Z60" s="241">
        <f>SUM(Z57:Z59)</f>
        <v>0</v>
      </c>
      <c r="AA60" s="241"/>
      <c r="AB60" s="241">
        <f>SUM(AB57:AB59)</f>
        <v>630760</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3384</v>
      </c>
      <c r="S63" s="241"/>
      <c r="T63" s="241">
        <v>0</v>
      </c>
      <c r="U63" s="241"/>
      <c r="V63" s="241">
        <v>-668</v>
      </c>
      <c r="W63" s="241"/>
      <c r="X63" s="241"/>
      <c r="Y63" s="241"/>
      <c r="Z63" s="241"/>
      <c r="AA63" s="241"/>
      <c r="AB63" s="241">
        <f>+R63+V63</f>
        <v>2716</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650816</v>
      </c>
      <c r="S66" s="241"/>
      <c r="T66" s="241"/>
      <c r="U66" s="241"/>
      <c r="V66" s="241"/>
      <c r="W66" s="241"/>
      <c r="X66" s="241"/>
      <c r="Y66" s="241"/>
      <c r="Z66" s="241"/>
      <c r="AA66" s="241"/>
      <c r="AB66" s="241">
        <f>SUM(AB60:AB65)</f>
        <v>633476</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43951</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41" t="s">
        <v>314</v>
      </c>
      <c r="C71" s="41"/>
      <c r="D71" s="73"/>
      <c r="E71" s="73"/>
      <c r="F71" s="73"/>
      <c r="G71" s="111"/>
      <c r="H71" s="73"/>
      <c r="I71" s="41"/>
      <c r="J71" s="112"/>
      <c r="K71" s="41"/>
      <c r="L71" s="41"/>
      <c r="M71" s="41"/>
      <c r="N71" s="41"/>
      <c r="O71" s="41"/>
      <c r="P71" s="41"/>
      <c r="Q71" s="41"/>
      <c r="R71" s="41"/>
      <c r="S71" s="41"/>
      <c r="T71" s="41"/>
      <c r="U71" s="41"/>
      <c r="V71" s="41"/>
      <c r="W71" s="41"/>
      <c r="X71" s="41"/>
      <c r="Y71" s="41"/>
      <c r="Z71" s="241">
        <f>+R63</f>
        <v>3384</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f>
        <v>24087</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1963+5639-747-798-316</f>
        <v>5741</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140+39</f>
        <v>179</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32</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269</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1323</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27471</v>
      </c>
      <c r="AA85" s="41"/>
      <c r="AB85" s="100">
        <f>SUM(AB70:AB84)</f>
        <v>7544</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27471</v>
      </c>
      <c r="AA88" s="41"/>
      <c r="AB88" s="100">
        <f>AB85+AB86+AB87</f>
        <v>7544</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-30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-319-43-7</f>
        <v>-369</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-212</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-1848</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-138</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-149</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-141</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0</v>
      </c>
      <c r="AA101" s="115"/>
      <c r="AB101" s="101">
        <v>0</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-1500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-143</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-112</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-269</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-172</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-22-142</f>
        <v>-164</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-2272</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-7415</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-2716</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-17340</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-27471</v>
      </c>
      <c r="AA131" s="100"/>
      <c r="AB131" s="100">
        <f>SUM(AB89:AB129)</f>
        <v>-7544</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APRIL 2020</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+'Jan 20'!AB147</f>
        <v>8946.5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-269</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8677.5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+'Jan 20'!AB160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+'Jan 20'!AB166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0</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0</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0</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+'Jan 20'!AB182</f>
        <v>3384</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-3384</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2716</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2716</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+'Jan 20'!AB190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+'Jan 20'!AB198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+'Jan 20'!AB206</f>
        <v>2476</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1497</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1323</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2650</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+'Jan 20'!AB214</f>
        <v>1524</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1497</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1500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1527</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+'Jan 20'!Y221</f>
        <v>0</v>
      </c>
      <c r="Z219" s="101">
        <f>+'Jan 20'!Z221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523000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523635</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-635</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3.7505411255411256</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3.11</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36.833333333333336</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30.61</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33.187919463087248</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27.58</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34.01418439716312</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28.23</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32.552447552447553</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26.94</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APRIL 2020</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43951</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3.9708773715816062E-2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1.5428368939915426E-2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2.4280404775900634E-2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1.1545505949454223E-2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16.62</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3.7010460713934504E-2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0.1459</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510</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7415</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0</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'Jan 20'!Z274+Z273</f>
        <v>1</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3786</v>
      </c>
      <c r="Y287" s="195">
        <f>X287/$X$296</f>
        <v>0.99762845849802373</v>
      </c>
      <c r="Z287" s="110">
        <f t="shared" ref="Z287:Z294" si="2">+Z299+Z311+Z333</f>
        <v>628509</v>
      </c>
      <c r="AA287" s="195">
        <f t="shared" ref="AA287:AA294" si="3">Z287/$Z$296</f>
        <v>0.99643128923837909</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2</v>
      </c>
      <c r="Y288" s="199">
        <f t="shared" ref="Y288:Y294" si="4">X288/$X$296</f>
        <v>5.2700922266139653E-4</v>
      </c>
      <c r="Z288" s="200">
        <f t="shared" si="2"/>
        <v>752</v>
      </c>
      <c r="AA288" s="201">
        <f t="shared" si="3"/>
        <v>1.192212568964424E-3</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3</v>
      </c>
      <c r="Y289" s="203">
        <f t="shared" si="4"/>
        <v>7.9051383399209485E-4</v>
      </c>
      <c r="Z289" s="134">
        <f t="shared" si="2"/>
        <v>381</v>
      </c>
      <c r="AA289" s="201">
        <f t="shared" si="3"/>
        <v>6.0403322975458181E-4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0</v>
      </c>
      <c r="Y290" s="203">
        <f t="shared" si="4"/>
        <v>0</v>
      </c>
      <c r="Z290" s="134">
        <f t="shared" si="2"/>
        <v>0</v>
      </c>
      <c r="AA290" s="201">
        <f t="shared" si="3"/>
        <v>0</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1</v>
      </c>
      <c r="Y291" s="203">
        <f t="shared" si="4"/>
        <v>2.6350461133069827E-4</v>
      </c>
      <c r="Z291" s="134">
        <f t="shared" si="2"/>
        <v>231</v>
      </c>
      <c r="AA291" s="201">
        <f t="shared" si="3"/>
        <v>3.662248715834866E-4</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0</v>
      </c>
      <c r="Y292" s="203">
        <f t="shared" si="4"/>
        <v>0</v>
      </c>
      <c r="Z292" s="134">
        <f t="shared" si="2"/>
        <v>0</v>
      </c>
      <c r="AA292" s="201">
        <f t="shared" si="3"/>
        <v>0</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3</v>
      </c>
      <c r="Y293" s="205">
        <f t="shared" si="4"/>
        <v>7.9051383399209485E-4</v>
      </c>
      <c r="Z293" s="206">
        <f t="shared" si="2"/>
        <v>887</v>
      </c>
      <c r="AA293" s="201">
        <f t="shared" si="3"/>
        <v>1.4062400913184094E-3</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3795</v>
      </c>
      <c r="Y296" s="201">
        <f>SUM(Y287:Y295)</f>
        <v>1</v>
      </c>
      <c r="Z296" s="101">
        <f>SUM(Z287:Z295)</f>
        <v>630760</v>
      </c>
      <c r="AA296" s="201">
        <f>SUM(AA287:AA295)</f>
        <v>0.99999999999999989</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3786</v>
      </c>
      <c r="Y299" s="195">
        <f>X299/$X$308</f>
        <v>0.99789140748550342</v>
      </c>
      <c r="Z299" s="110">
        <v>628509</v>
      </c>
      <c r="AA299" s="195">
        <f>Z299/$Z$308</f>
        <v>0.99723760412534712</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2</v>
      </c>
      <c r="Y300" s="201">
        <f t="shared" ref="Y300:Y306" si="5">X300/$X$308</f>
        <v>5.2714812862414342E-4</v>
      </c>
      <c r="Z300" s="101">
        <v>752</v>
      </c>
      <c r="AA300" s="201">
        <f t="shared" ref="AA300:AA306" si="6">Z300/$Z$308</f>
        <v>1.1931773105910352E-3</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3</v>
      </c>
      <c r="Y301" s="201">
        <f t="shared" si="5"/>
        <v>7.9072219293621507E-4</v>
      </c>
      <c r="Z301" s="101">
        <v>381</v>
      </c>
      <c r="AA301" s="201">
        <f t="shared" si="6"/>
        <v>6.0452201507338354E-4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0</v>
      </c>
      <c r="Y302" s="201">
        <f>X302/$X$308</f>
        <v>0</v>
      </c>
      <c r="Z302" s="101">
        <v>0</v>
      </c>
      <c r="AA302" s="201">
        <f t="shared" si="6"/>
        <v>0</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1</v>
      </c>
      <c r="Y303" s="201">
        <f t="shared" si="5"/>
        <v>2.6357406431207171E-4</v>
      </c>
      <c r="Z303" s="101">
        <v>231</v>
      </c>
      <c r="AA303" s="201">
        <f t="shared" si="6"/>
        <v>3.665212217374058E-4</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0</v>
      </c>
      <c r="Y304" s="201">
        <f t="shared" si="5"/>
        <v>0</v>
      </c>
      <c r="Z304" s="101">
        <v>0</v>
      </c>
      <c r="AA304" s="201">
        <f t="shared" si="6"/>
        <v>0</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2</v>
      </c>
      <c r="Y305" s="201">
        <f>X305/$X$308</f>
        <v>5.2714812862414342E-4</v>
      </c>
      <c r="Z305" s="101">
        <v>377</v>
      </c>
      <c r="AA305" s="201">
        <f t="shared" si="6"/>
        <v>5.9817532725109086E-4</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3794</v>
      </c>
      <c r="Y308" s="201">
        <f>SUM(Y299:Y307)</f>
        <v>0.99999999999999989</v>
      </c>
      <c r="Z308" s="101">
        <f>SUM(Z299:Z307)</f>
        <v>630250</v>
      </c>
      <c r="AA308" s="201">
        <f>SUM(AA299:AA307)</f>
        <v>1</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0</v>
      </c>
      <c r="Y311" s="195">
        <v>0</v>
      </c>
      <c r="Z311" s="110">
        <v>0</v>
      </c>
      <c r="AA311" s="195">
        <v>0</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f>+X316/X320</f>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1</v>
      </c>
      <c r="Y317" s="201">
        <v>1</v>
      </c>
      <c r="Z317" s="101">
        <v>510</v>
      </c>
      <c r="AA317" s="201">
        <v>1</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510</v>
      </c>
      <c r="AA320" s="201">
        <f>SUM(AA311:AA319)</f>
        <v>1</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73">
        <v>1</v>
      </c>
      <c r="Y325" s="274">
        <f>X325/X330</f>
        <v>1</v>
      </c>
      <c r="Z325" s="275">
        <v>510</v>
      </c>
      <c r="AA325" s="274">
        <f>Z325/Z330</f>
        <v>1</v>
      </c>
      <c r="AB325" s="271"/>
      <c r="AC325" s="276"/>
      <c r="AD325" s="267"/>
    </row>
    <row r="326" spans="1:30" s="268" customFormat="1" x14ac:dyDescent="0.3">
      <c r="A326" s="269"/>
      <c r="B326" s="270" t="s">
        <v>342</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0</v>
      </c>
      <c r="Y327" s="274">
        <v>0</v>
      </c>
      <c r="Z327" s="275">
        <v>0</v>
      </c>
      <c r="AA327" s="274">
        <v>0</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74">
        <v>0</v>
      </c>
      <c r="Z328" s="275">
        <v>0</v>
      </c>
      <c r="AA328" s="274">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1</v>
      </c>
      <c r="Y330" s="274">
        <f>SUM(Y323:Y328)</f>
        <v>1</v>
      </c>
      <c r="Z330" s="275">
        <f>SUM(Z323:Z328)</f>
        <v>510</v>
      </c>
      <c r="AA330" s="274">
        <f>SUM(AA323:AA329)</f>
        <v>1</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243" t="s">
        <v>324</v>
      </c>
      <c r="B344" s="244" t="s">
        <v>325</v>
      </c>
      <c r="C344" s="245"/>
      <c r="D344" s="245"/>
      <c r="E344" s="245"/>
      <c r="F344" s="245"/>
      <c r="G344" s="245"/>
      <c r="H344" s="246"/>
      <c r="I344" s="246"/>
      <c r="J344" s="246"/>
      <c r="K344" s="246"/>
      <c r="L344" s="246"/>
      <c r="M344" s="246"/>
      <c r="N344" s="246"/>
      <c r="O344" s="246"/>
      <c r="P344" s="262"/>
      <c r="Q344" s="262"/>
      <c r="R344" s="262"/>
      <c r="S344" s="262"/>
      <c r="T344" s="262"/>
      <c r="U344" s="262"/>
      <c r="V344" s="262"/>
      <c r="W344" s="262"/>
      <c r="X344" s="157" t="s">
        <v>69</v>
      </c>
      <c r="Y344" s="106" t="s">
        <v>70</v>
      </c>
      <c r="Z344" s="157" t="s">
        <v>75</v>
      </c>
      <c r="AA344" s="106" t="s">
        <v>70</v>
      </c>
      <c r="AB344" s="34"/>
      <c r="AC344" s="37"/>
      <c r="AD344" s="22"/>
    </row>
    <row r="345" spans="1:30" s="23" customFormat="1" x14ac:dyDescent="0.3">
      <c r="A345" s="247"/>
      <c r="B345" s="248" t="s">
        <v>59</v>
      </c>
      <c r="C345" s="249"/>
      <c r="D345" s="249"/>
      <c r="E345" s="249"/>
      <c r="F345" s="249"/>
      <c r="G345" s="249"/>
      <c r="H345" s="250"/>
      <c r="I345" s="250"/>
      <c r="J345" s="250"/>
      <c r="K345" s="250"/>
      <c r="L345" s="250"/>
      <c r="M345" s="250"/>
      <c r="N345" s="250"/>
      <c r="O345" s="250"/>
      <c r="P345" s="261"/>
      <c r="Q345" s="261"/>
      <c r="R345" s="261"/>
      <c r="S345" s="261"/>
      <c r="T345" s="261"/>
      <c r="U345" s="261"/>
      <c r="V345" s="261"/>
      <c r="W345" s="261"/>
      <c r="X345" s="109">
        <v>748</v>
      </c>
      <c r="Y345" s="195">
        <f>+X345/X354</f>
        <v>0.99468085106382975</v>
      </c>
      <c r="Z345" s="110">
        <v>142014</v>
      </c>
      <c r="AA345" s="195">
        <f>+Z345/Z354</f>
        <v>0.99261899769343676</v>
      </c>
      <c r="AB345" s="38"/>
      <c r="AC345" s="44"/>
      <c r="AD345" s="22"/>
    </row>
    <row r="346" spans="1:30" s="23" customFormat="1" x14ac:dyDescent="0.3">
      <c r="A346" s="251"/>
      <c r="B346" s="252" t="s">
        <v>60</v>
      </c>
      <c r="C346" s="253"/>
      <c r="D346" s="253"/>
      <c r="E346" s="253"/>
      <c r="F346" s="253"/>
      <c r="G346" s="253"/>
      <c r="H346" s="254"/>
      <c r="I346" s="254"/>
      <c r="J346" s="254"/>
      <c r="K346" s="254"/>
      <c r="L346" s="254"/>
      <c r="M346" s="254"/>
      <c r="N346" s="254"/>
      <c r="O346" s="254"/>
      <c r="P346" s="207"/>
      <c r="Q346" s="207"/>
      <c r="R346" s="207"/>
      <c r="S346" s="207"/>
      <c r="T346" s="207"/>
      <c r="U346" s="207"/>
      <c r="V346" s="207"/>
      <c r="W346" s="207"/>
      <c r="X346" s="100">
        <v>2</v>
      </c>
      <c r="Y346" s="263">
        <f>+X346/X354</f>
        <v>2.6595744680851063E-3</v>
      </c>
      <c r="Z346" s="101">
        <v>752</v>
      </c>
      <c r="AA346" s="201">
        <f>+Z346/Z354</f>
        <v>5.2561683092192633E-3</v>
      </c>
      <c r="AB346" s="41"/>
      <c r="AC346" s="44"/>
      <c r="AD346" s="22"/>
    </row>
    <row r="347" spans="1:30" s="23" customFormat="1" x14ac:dyDescent="0.3">
      <c r="A347" s="251"/>
      <c r="B347" s="252" t="s">
        <v>61</v>
      </c>
      <c r="C347" s="253"/>
      <c r="D347" s="253"/>
      <c r="E347" s="253"/>
      <c r="F347" s="253"/>
      <c r="G347" s="253"/>
      <c r="H347" s="254"/>
      <c r="I347" s="254"/>
      <c r="J347" s="254"/>
      <c r="K347" s="254"/>
      <c r="L347" s="254"/>
      <c r="M347" s="254"/>
      <c r="N347" s="254"/>
      <c r="O347" s="254"/>
      <c r="P347" s="207"/>
      <c r="Q347" s="207"/>
      <c r="R347" s="207"/>
      <c r="S347" s="207"/>
      <c r="T347" s="207"/>
      <c r="U347" s="207"/>
      <c r="V347" s="207"/>
      <c r="W347" s="207"/>
      <c r="X347" s="100">
        <v>2</v>
      </c>
      <c r="Y347" s="263">
        <f>+X347/X354</f>
        <v>2.6595744680851063E-3</v>
      </c>
      <c r="Z347" s="101">
        <v>304</v>
      </c>
      <c r="AA347" s="201">
        <f>+Z347/Z354</f>
        <v>2.1248339973439574E-3</v>
      </c>
      <c r="AB347" s="41"/>
      <c r="AC347" s="44"/>
      <c r="AD347" s="22"/>
    </row>
    <row r="348" spans="1:30" s="23" customFormat="1" x14ac:dyDescent="0.3">
      <c r="A348" s="251"/>
      <c r="B348" s="252" t="s">
        <v>100</v>
      </c>
      <c r="C348" s="253"/>
      <c r="D348" s="253"/>
      <c r="E348" s="253"/>
      <c r="F348" s="253"/>
      <c r="G348" s="253"/>
      <c r="H348" s="254"/>
      <c r="I348" s="254"/>
      <c r="J348" s="254"/>
      <c r="K348" s="254"/>
      <c r="L348" s="254"/>
      <c r="M348" s="254"/>
      <c r="N348" s="254"/>
      <c r="O348" s="254"/>
      <c r="P348" s="207"/>
      <c r="Q348" s="207"/>
      <c r="R348" s="207"/>
      <c r="S348" s="207"/>
      <c r="T348" s="207"/>
      <c r="U348" s="207"/>
      <c r="V348" s="207"/>
      <c r="W348" s="207"/>
      <c r="X348" s="100">
        <v>0</v>
      </c>
      <c r="Y348" s="263">
        <f>+X348/X354</f>
        <v>0</v>
      </c>
      <c r="Z348" s="101">
        <v>0</v>
      </c>
      <c r="AA348" s="201">
        <f>+Z348/Z354</f>
        <v>0</v>
      </c>
      <c r="AB348" s="41"/>
      <c r="AC348" s="44"/>
      <c r="AD348" s="22"/>
    </row>
    <row r="349" spans="1:30" s="23" customFormat="1" x14ac:dyDescent="0.3">
      <c r="A349" s="251"/>
      <c r="B349" s="252" t="s">
        <v>101</v>
      </c>
      <c r="C349" s="253"/>
      <c r="D349" s="253"/>
      <c r="E349" s="253"/>
      <c r="F349" s="253"/>
      <c r="G349" s="253"/>
      <c r="H349" s="254"/>
      <c r="I349" s="254"/>
      <c r="J349" s="254"/>
      <c r="K349" s="254"/>
      <c r="L349" s="254"/>
      <c r="M349" s="254"/>
      <c r="N349" s="254"/>
      <c r="O349" s="254"/>
      <c r="P349" s="207"/>
      <c r="Q349" s="207"/>
      <c r="R349" s="207"/>
      <c r="S349" s="207"/>
      <c r="T349" s="207"/>
      <c r="U349" s="207"/>
      <c r="V349" s="207"/>
      <c r="W349" s="207"/>
      <c r="X349" s="100">
        <v>0</v>
      </c>
      <c r="Y349" s="263">
        <f>+X349/X354</f>
        <v>0</v>
      </c>
      <c r="Z349" s="101">
        <v>0</v>
      </c>
      <c r="AA349" s="201">
        <f>+Z349/Z354</f>
        <v>0</v>
      </c>
      <c r="AB349" s="41"/>
      <c r="AC349" s="44"/>
      <c r="AD349" s="22"/>
    </row>
    <row r="350" spans="1:30" s="23" customFormat="1" x14ac:dyDescent="0.3">
      <c r="A350" s="251"/>
      <c r="B350" s="252" t="s">
        <v>102</v>
      </c>
      <c r="C350" s="253"/>
      <c r="D350" s="253"/>
      <c r="E350" s="253"/>
      <c r="F350" s="253"/>
      <c r="G350" s="253"/>
      <c r="H350" s="254"/>
      <c r="I350" s="254"/>
      <c r="J350" s="254"/>
      <c r="K350" s="254"/>
      <c r="L350" s="254"/>
      <c r="M350" s="254"/>
      <c r="N350" s="254"/>
      <c r="O350" s="254"/>
      <c r="P350" s="207"/>
      <c r="Q350" s="207"/>
      <c r="R350" s="207"/>
      <c r="S350" s="207"/>
      <c r="T350" s="207"/>
      <c r="U350" s="207"/>
      <c r="V350" s="207"/>
      <c r="W350" s="207"/>
      <c r="X350" s="100">
        <v>0</v>
      </c>
      <c r="Y350" s="263">
        <f>+X350/X354</f>
        <v>0</v>
      </c>
      <c r="Z350" s="101">
        <v>0</v>
      </c>
      <c r="AA350" s="201">
        <f>+Z350/Z354</f>
        <v>0</v>
      </c>
      <c r="AB350" s="41"/>
      <c r="AC350" s="44"/>
      <c r="AD350" s="22"/>
    </row>
    <row r="351" spans="1:30" s="23" customFormat="1" x14ac:dyDescent="0.3">
      <c r="A351" s="251"/>
      <c r="B351" s="252" t="s">
        <v>103</v>
      </c>
      <c r="C351" s="253"/>
      <c r="D351" s="253"/>
      <c r="E351" s="253"/>
      <c r="F351" s="253"/>
      <c r="G351" s="253"/>
      <c r="H351" s="254"/>
      <c r="I351" s="254"/>
      <c r="J351" s="254"/>
      <c r="K351" s="254"/>
      <c r="L351" s="254"/>
      <c r="M351" s="254"/>
      <c r="N351" s="254"/>
      <c r="O351" s="254"/>
      <c r="P351" s="207"/>
      <c r="Q351" s="207"/>
      <c r="R351" s="207"/>
      <c r="S351" s="207"/>
      <c r="T351" s="207"/>
      <c r="U351" s="207"/>
      <c r="V351" s="207"/>
      <c r="W351" s="207"/>
      <c r="X351" s="100">
        <v>0</v>
      </c>
      <c r="Y351" s="263">
        <f>+X351/X354</f>
        <v>0</v>
      </c>
      <c r="Z351" s="101">
        <v>0</v>
      </c>
      <c r="AA351" s="201">
        <f>+Z351/Z354</f>
        <v>0</v>
      </c>
      <c r="AB351" s="41"/>
      <c r="AC351" s="44"/>
      <c r="AD351" s="22"/>
    </row>
    <row r="352" spans="1:30" s="23" customFormat="1" x14ac:dyDescent="0.3">
      <c r="A352" s="251"/>
      <c r="B352" s="252" t="s">
        <v>104</v>
      </c>
      <c r="C352" s="253"/>
      <c r="D352" s="253"/>
      <c r="E352" s="253"/>
      <c r="F352" s="253"/>
      <c r="G352" s="253"/>
      <c r="H352" s="254"/>
      <c r="I352" s="254"/>
      <c r="J352" s="254"/>
      <c r="K352" s="254"/>
      <c r="L352" s="254"/>
      <c r="M352" s="254"/>
      <c r="N352" s="254"/>
      <c r="O352" s="254"/>
      <c r="P352" s="207"/>
      <c r="Q352" s="207"/>
      <c r="R352" s="207"/>
      <c r="S352" s="207"/>
      <c r="T352" s="207"/>
      <c r="U352" s="207"/>
      <c r="V352" s="207"/>
      <c r="W352" s="207"/>
      <c r="X352" s="100">
        <v>0</v>
      </c>
      <c r="Y352" s="195">
        <f>+X352/X354</f>
        <v>0</v>
      </c>
      <c r="Z352" s="101">
        <v>0</v>
      </c>
      <c r="AA352" s="201">
        <f>+Z352/Z354</f>
        <v>0</v>
      </c>
      <c r="AB352" s="41"/>
      <c r="AC352" s="44"/>
      <c r="AD352" s="22"/>
    </row>
    <row r="353" spans="1:30" s="23" customFormat="1" x14ac:dyDescent="0.3">
      <c r="A353" s="251"/>
      <c r="B353" s="252"/>
      <c r="C353" s="253"/>
      <c r="D353" s="253"/>
      <c r="E353" s="253"/>
      <c r="F353" s="253"/>
      <c r="G353" s="253"/>
      <c r="H353" s="254"/>
      <c r="I353" s="254"/>
      <c r="J353" s="254"/>
      <c r="K353" s="254"/>
      <c r="L353" s="254"/>
      <c r="M353" s="254"/>
      <c r="N353" s="254"/>
      <c r="O353" s="254"/>
      <c r="P353" s="207"/>
      <c r="Q353" s="207"/>
      <c r="R353" s="207"/>
      <c r="S353" s="207"/>
      <c r="T353" s="207"/>
      <c r="U353" s="207"/>
      <c r="V353" s="207"/>
      <c r="W353" s="207"/>
      <c r="X353" s="100"/>
      <c r="Y353" s="201"/>
      <c r="Z353" s="101"/>
      <c r="AA353" s="201"/>
      <c r="AB353" s="41"/>
      <c r="AC353" s="44"/>
      <c r="AD353" s="22"/>
    </row>
    <row r="354" spans="1:30" s="23" customFormat="1" x14ac:dyDescent="0.3">
      <c r="A354" s="251"/>
      <c r="B354" s="253" t="s">
        <v>80</v>
      </c>
      <c r="C354" s="253"/>
      <c r="D354" s="253"/>
      <c r="E354" s="253"/>
      <c r="F354" s="253"/>
      <c r="G354" s="253"/>
      <c r="H354" s="254"/>
      <c r="I354" s="254"/>
      <c r="J354" s="254"/>
      <c r="K354" s="254"/>
      <c r="L354" s="254"/>
      <c r="M354" s="254"/>
      <c r="N354" s="254"/>
      <c r="O354" s="254"/>
      <c r="P354" s="207"/>
      <c r="Q354" s="207"/>
      <c r="R354" s="207"/>
      <c r="S354" s="207"/>
      <c r="T354" s="207"/>
      <c r="U354" s="207"/>
      <c r="V354" s="207"/>
      <c r="W354" s="207"/>
      <c r="X354" s="100">
        <f>SUM(X345:X352)</f>
        <v>752</v>
      </c>
      <c r="Y354" s="201">
        <f>SUM(Y345:Y352)</f>
        <v>0.99999999999999989</v>
      </c>
      <c r="Z354" s="101">
        <f>SUM(Z345:Z352)</f>
        <v>143070</v>
      </c>
      <c r="AA354" s="201">
        <f>SUM(AA345:AA352)</f>
        <v>1</v>
      </c>
      <c r="AB354" s="41"/>
      <c r="AC354" s="44"/>
      <c r="AD354" s="22"/>
    </row>
    <row r="355" spans="1:30" s="268" customFormat="1" x14ac:dyDescent="0.3">
      <c r="A355" s="251"/>
      <c r="B355" s="253" t="s">
        <v>343</v>
      </c>
      <c r="C355" s="253"/>
      <c r="D355" s="253"/>
      <c r="E355" s="253"/>
      <c r="F355" s="253"/>
      <c r="G355" s="253"/>
      <c r="H355" s="254"/>
      <c r="I355" s="254"/>
      <c r="J355" s="254"/>
      <c r="K355" s="254"/>
      <c r="L355" s="254"/>
      <c r="M355" s="254"/>
      <c r="N355" s="254"/>
      <c r="O355" s="254"/>
      <c r="P355" s="272"/>
      <c r="Q355" s="272"/>
      <c r="R355" s="272"/>
      <c r="S355" s="272"/>
      <c r="T355" s="272"/>
      <c r="U355" s="272"/>
      <c r="V355" s="272"/>
      <c r="W355" s="272"/>
      <c r="X355" s="278">
        <f>X354/X357</f>
        <v>0.19815546772068512</v>
      </c>
      <c r="Y355" s="278"/>
      <c r="Z355" s="239">
        <f>Z354/Z357</f>
        <v>0.22682161202359058</v>
      </c>
      <c r="AA355" s="279"/>
      <c r="AB355" s="271"/>
      <c r="AC355" s="276"/>
      <c r="AD355" s="267"/>
    </row>
    <row r="356" spans="1:30" s="23" customFormat="1" x14ac:dyDescent="0.3">
      <c r="A356" s="48"/>
      <c r="B356" s="41"/>
      <c r="C356" s="41"/>
      <c r="D356" s="207"/>
      <c r="E356" s="207"/>
      <c r="F356" s="207"/>
      <c r="G356" s="207"/>
      <c r="H356" s="207"/>
      <c r="I356" s="207"/>
      <c r="J356" s="207"/>
      <c r="K356" s="207"/>
      <c r="L356" s="207"/>
      <c r="M356" s="207"/>
      <c r="N356" s="207"/>
      <c r="O356" s="207"/>
      <c r="P356" s="207"/>
      <c r="Q356" s="207"/>
      <c r="R356" s="207"/>
      <c r="S356" s="207"/>
      <c r="T356" s="207"/>
      <c r="U356" s="207"/>
      <c r="V356" s="207"/>
      <c r="W356" s="207"/>
      <c r="X356" s="100"/>
      <c r="Y356" s="201"/>
      <c r="Z356" s="101"/>
      <c r="AA356" s="201"/>
      <c r="AB356" s="41"/>
      <c r="AC356" s="44"/>
      <c r="AD356" s="22"/>
    </row>
    <row r="357" spans="1:30" s="23" customFormat="1" x14ac:dyDescent="0.3">
      <c r="A357" s="48"/>
      <c r="B357" s="45" t="s">
        <v>139</v>
      </c>
      <c r="C357" s="41"/>
      <c r="D357" s="207"/>
      <c r="E357" s="207"/>
      <c r="F357" s="207"/>
      <c r="G357" s="207"/>
      <c r="H357" s="207"/>
      <c r="I357" s="207"/>
      <c r="J357" s="207"/>
      <c r="K357" s="207"/>
      <c r="L357" s="207"/>
      <c r="M357" s="207"/>
      <c r="N357" s="207"/>
      <c r="O357" s="207"/>
      <c r="P357" s="207"/>
      <c r="Q357" s="207"/>
      <c r="R357" s="207"/>
      <c r="S357" s="207"/>
      <c r="T357" s="207"/>
      <c r="U357" s="207"/>
      <c r="V357" s="207"/>
      <c r="W357" s="207"/>
      <c r="X357" s="213">
        <f>X342+X320+X308</f>
        <v>3795</v>
      </c>
      <c r="Y357" s="201"/>
      <c r="Z357" s="214">
        <f>+Z342+Z320+Z308</f>
        <v>630760</v>
      </c>
      <c r="AA357" s="201"/>
      <c r="AB357" s="41"/>
      <c r="AC357" s="44"/>
      <c r="AD357" s="22"/>
    </row>
    <row r="358" spans="1:30" s="23" customFormat="1" x14ac:dyDescent="0.3">
      <c r="A358" s="48"/>
      <c r="B358" s="45" t="s">
        <v>253</v>
      </c>
      <c r="C358" s="45"/>
      <c r="D358" s="215"/>
      <c r="E358" s="215"/>
      <c r="F358" s="215"/>
      <c r="G358" s="215"/>
      <c r="H358" s="215"/>
      <c r="I358" s="215"/>
      <c r="J358" s="215"/>
      <c r="K358" s="215"/>
      <c r="L358" s="215"/>
      <c r="M358" s="215"/>
      <c r="N358" s="215"/>
      <c r="O358" s="215"/>
      <c r="P358" s="215"/>
      <c r="Q358" s="215"/>
      <c r="R358" s="215"/>
      <c r="S358" s="215"/>
      <c r="T358" s="215"/>
      <c r="U358" s="215"/>
      <c r="V358" s="215"/>
      <c r="W358" s="215"/>
      <c r="X358" s="213"/>
      <c r="Y358" s="216"/>
      <c r="Z358" s="214">
        <f>+AB63+AB64</f>
        <v>2716</v>
      </c>
      <c r="AA358" s="201"/>
      <c r="AB358" s="41"/>
      <c r="AC358" s="44"/>
      <c r="AD358" s="22"/>
    </row>
    <row r="359" spans="1:30" s="23" customFormat="1" x14ac:dyDescent="0.3">
      <c r="A359" s="48"/>
      <c r="B359" s="45" t="s">
        <v>107</v>
      </c>
      <c r="C359" s="45"/>
      <c r="D359" s="215"/>
      <c r="E359" s="215"/>
      <c r="F359" s="215"/>
      <c r="G359" s="215"/>
      <c r="H359" s="215"/>
      <c r="I359" s="215"/>
      <c r="J359" s="215"/>
      <c r="K359" s="215"/>
      <c r="L359" s="215"/>
      <c r="M359" s="215"/>
      <c r="N359" s="215"/>
      <c r="O359" s="215"/>
      <c r="P359" s="215"/>
      <c r="Q359" s="215"/>
      <c r="R359" s="215"/>
      <c r="S359" s="215"/>
      <c r="T359" s="215"/>
      <c r="U359" s="215"/>
      <c r="V359" s="215"/>
      <c r="W359" s="215"/>
      <c r="X359" s="213"/>
      <c r="Y359" s="216"/>
      <c r="Z359" s="214">
        <f>+Z357+Z358</f>
        <v>633476</v>
      </c>
      <c r="AA359" s="201"/>
      <c r="AB359" s="41"/>
      <c r="AC359" s="44"/>
      <c r="AD359" s="22"/>
    </row>
    <row r="360" spans="1:30" s="23" customFormat="1" x14ac:dyDescent="0.3">
      <c r="A360" s="48"/>
      <c r="B360" s="45" t="s">
        <v>275</v>
      </c>
      <c r="C360" s="41"/>
      <c r="D360" s="207"/>
      <c r="E360" s="207"/>
      <c r="F360" s="207"/>
      <c r="G360" s="207"/>
      <c r="H360" s="207"/>
      <c r="I360" s="207"/>
      <c r="J360" s="207"/>
      <c r="K360" s="207"/>
      <c r="L360" s="207"/>
      <c r="M360" s="207"/>
      <c r="N360" s="207"/>
      <c r="O360" s="207"/>
      <c r="P360" s="207"/>
      <c r="Q360" s="207"/>
      <c r="R360" s="207"/>
      <c r="S360" s="207"/>
      <c r="T360" s="207"/>
      <c r="U360" s="207"/>
      <c r="V360" s="207"/>
      <c r="W360" s="207"/>
      <c r="X360" s="213"/>
      <c r="Y360" s="201"/>
      <c r="Z360" s="214">
        <f>+AB66</f>
        <v>633476</v>
      </c>
      <c r="AA360" s="201"/>
      <c r="AB360" s="41"/>
      <c r="AC360" s="44"/>
      <c r="AD360" s="22"/>
    </row>
    <row r="361" spans="1:30" s="23" customFormat="1" x14ac:dyDescent="0.3">
      <c r="A361" s="48"/>
      <c r="B361" s="45"/>
      <c r="C361" s="41"/>
      <c r="D361" s="207"/>
      <c r="E361" s="207"/>
      <c r="F361" s="207"/>
      <c r="G361" s="207"/>
      <c r="H361" s="207"/>
      <c r="I361" s="207"/>
      <c r="J361" s="207"/>
      <c r="K361" s="207"/>
      <c r="L361" s="207"/>
      <c r="M361" s="207"/>
      <c r="N361" s="207"/>
      <c r="O361" s="207"/>
      <c r="P361" s="207"/>
      <c r="Q361" s="207"/>
      <c r="R361" s="207"/>
      <c r="S361" s="207"/>
      <c r="T361" s="207"/>
      <c r="U361" s="207"/>
      <c r="V361" s="207"/>
      <c r="W361" s="207"/>
      <c r="X361" s="213"/>
      <c r="Y361" s="201"/>
      <c r="Z361" s="214"/>
      <c r="AA361" s="201"/>
      <c r="AB361" s="41"/>
      <c r="AC361" s="44"/>
      <c r="AD361" s="22"/>
    </row>
    <row r="362" spans="1:30" s="23" customFormat="1" x14ac:dyDescent="0.3">
      <c r="A362" s="48"/>
      <c r="B362" s="45" t="s">
        <v>318</v>
      </c>
      <c r="C362" s="41"/>
      <c r="D362" s="207"/>
      <c r="E362" s="207"/>
      <c r="F362" s="207"/>
      <c r="G362" s="207"/>
      <c r="H362" s="207"/>
      <c r="I362" s="207"/>
      <c r="J362" s="207"/>
      <c r="K362" s="207"/>
      <c r="L362" s="207"/>
      <c r="M362" s="207"/>
      <c r="N362" s="207"/>
      <c r="O362" s="207"/>
      <c r="P362" s="207"/>
      <c r="Q362" s="207"/>
      <c r="R362" s="207"/>
      <c r="S362" s="207"/>
      <c r="T362" s="207"/>
      <c r="U362" s="207"/>
      <c r="V362" s="207"/>
      <c r="W362" s="207"/>
      <c r="X362" s="213"/>
      <c r="Y362" s="201"/>
      <c r="Z362" s="239">
        <f>(D30*0.375+F30*0.05+H30*0.05+J30+L30)/AB30</f>
        <v>0.38420319001824854</v>
      </c>
      <c r="AA362" s="201"/>
      <c r="AB362" s="41"/>
      <c r="AC362" s="44"/>
      <c r="AD362" s="22"/>
    </row>
    <row r="363" spans="1:30" s="23" customFormat="1" x14ac:dyDescent="0.3">
      <c r="A363" s="18"/>
      <c r="B363" s="20"/>
      <c r="C363" s="20"/>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8"/>
      <c r="AA363" s="217"/>
      <c r="AB363" s="20"/>
      <c r="AC363" s="21"/>
      <c r="AD363" s="22"/>
    </row>
    <row r="364" spans="1:30" s="23" customFormat="1" x14ac:dyDescent="0.3">
      <c r="A364" s="18"/>
      <c r="B364" s="19" t="s">
        <v>62</v>
      </c>
      <c r="C364" s="20"/>
      <c r="D364" s="219" t="s">
        <v>66</v>
      </c>
      <c r="E364" s="19"/>
      <c r="F364" s="19" t="s">
        <v>67</v>
      </c>
      <c r="G364" s="20"/>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s="23" customFormat="1" x14ac:dyDescent="0.3">
      <c r="A365" s="18"/>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
      <c r="A366" s="18"/>
      <c r="B366" s="19" t="s">
        <v>152</v>
      </c>
      <c r="C366" s="19"/>
      <c r="D366" s="220" t="s">
        <v>122</v>
      </c>
      <c r="E366" s="19"/>
      <c r="F366" s="19" t="s">
        <v>170</v>
      </c>
      <c r="G366" s="19"/>
      <c r="H366" s="19"/>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19" t="s">
        <v>153</v>
      </c>
      <c r="C367" s="19"/>
      <c r="D367" s="220" t="s">
        <v>98</v>
      </c>
      <c r="E367" s="19"/>
      <c r="F367" s="19" t="s">
        <v>171</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c r="C368" s="19"/>
      <c r="D368" s="220"/>
      <c r="E368" s="19"/>
      <c r="F368" s="19"/>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255" t="s">
        <v>337</v>
      </c>
      <c r="C369" s="256"/>
      <c r="D369" s="256"/>
      <c r="E369" s="256"/>
      <c r="F369" s="257"/>
      <c r="G369" s="256"/>
      <c r="H369" s="258"/>
      <c r="I369" s="255"/>
      <c r="J369" s="255"/>
      <c r="K369" s="255"/>
      <c r="L369" s="255"/>
      <c r="M369" s="255"/>
      <c r="N369" s="255"/>
      <c r="O369" s="255"/>
      <c r="P369" s="255"/>
      <c r="Q369" s="20"/>
      <c r="R369" s="20"/>
      <c r="S369" s="20"/>
      <c r="T369" s="20"/>
      <c r="U369" s="20"/>
      <c r="V369" s="20"/>
      <c r="W369" s="20"/>
      <c r="X369" s="20"/>
      <c r="Y369" s="20"/>
      <c r="Z369" s="20"/>
      <c r="AA369" s="20"/>
      <c r="AB369" s="20"/>
      <c r="AC369" s="21"/>
      <c r="AD369" s="22"/>
    </row>
    <row r="370" spans="1:30" s="23" customFormat="1" x14ac:dyDescent="0.3">
      <c r="A370" s="18"/>
      <c r="B370" s="256"/>
      <c r="C370" s="256"/>
      <c r="D370" s="256"/>
      <c r="E370" s="256"/>
      <c r="F370" s="257"/>
      <c r="G370" s="256"/>
      <c r="H370" s="258"/>
      <c r="I370" s="255"/>
      <c r="J370" s="255"/>
      <c r="K370" s="255"/>
      <c r="L370" s="255"/>
      <c r="M370" s="255"/>
      <c r="N370" s="255"/>
      <c r="O370" s="255"/>
      <c r="P370" s="255"/>
      <c r="Q370" s="20"/>
      <c r="R370" s="20"/>
      <c r="S370" s="20"/>
      <c r="T370" s="20"/>
      <c r="U370" s="20"/>
      <c r="V370" s="20"/>
      <c r="W370" s="20"/>
      <c r="X370" s="20"/>
      <c r="Y370" s="20"/>
      <c r="Z370" s="20"/>
      <c r="AA370" s="20"/>
      <c r="AB370" s="20"/>
      <c r="AC370" s="21"/>
      <c r="AD370" s="22"/>
    </row>
    <row r="371" spans="1:30" s="23" customFormat="1" ht="18" x14ac:dyDescent="0.35">
      <c r="A371" s="18"/>
      <c r="B371" s="259" t="s">
        <v>109</v>
      </c>
      <c r="C371" s="256"/>
      <c r="D371" s="256"/>
      <c r="E371" s="256"/>
      <c r="F371" s="257"/>
      <c r="G371" s="256"/>
      <c r="H371" s="258"/>
      <c r="I371" s="255"/>
      <c r="J371" s="255"/>
      <c r="K371" s="255"/>
      <c r="L371" s="255"/>
      <c r="M371" s="255"/>
      <c r="N371" s="255"/>
      <c r="O371" s="255"/>
      <c r="P371" s="260" t="s">
        <v>169</v>
      </c>
      <c r="Q371" s="20"/>
      <c r="R371" s="20"/>
      <c r="S371" s="20"/>
      <c r="T371" s="20"/>
      <c r="U371" s="20"/>
      <c r="V371" s="20"/>
      <c r="W371" s="20"/>
      <c r="X371" s="20"/>
      <c r="Y371" s="20"/>
      <c r="Z371" s="20"/>
      <c r="AA371" s="20"/>
      <c r="AB371" s="20"/>
      <c r="AC371" s="21"/>
      <c r="AD371" s="22"/>
    </row>
    <row r="372" spans="1:30" x14ac:dyDescent="0.3">
      <c r="A372" s="221"/>
      <c r="B372" s="222"/>
      <c r="C372" s="222"/>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4"/>
      <c r="AD372" s="5"/>
    </row>
    <row r="373" spans="1:30" x14ac:dyDescent="0.3">
      <c r="A373" s="221"/>
      <c r="B373" s="222"/>
      <c r="C373" s="222"/>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4"/>
      <c r="AD373" s="5"/>
    </row>
    <row r="374" spans="1:30" ht="18.600000000000001" thickBot="1" x14ac:dyDescent="0.4">
      <c r="A374" s="221"/>
      <c r="B374" s="225" t="str">
        <f>B244</f>
        <v>PM25 INVESTOR REPORT QUARTER ENDING APRIL 2020</v>
      </c>
      <c r="C374" s="222"/>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6"/>
      <c r="AD374" s="5"/>
    </row>
    <row r="375" spans="1:30"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row>
    <row r="376" spans="1:30" x14ac:dyDescent="0.3">
      <c r="B376" s="280" t="s">
        <v>326</v>
      </c>
    </row>
    <row r="377" spans="1:30" x14ac:dyDescent="0.3">
      <c r="B377" s="264" t="s">
        <v>327</v>
      </c>
    </row>
    <row r="378" spans="1:30" x14ac:dyDescent="0.3">
      <c r="B378" s="264" t="s">
        <v>328</v>
      </c>
    </row>
    <row r="379" spans="1:30" x14ac:dyDescent="0.3">
      <c r="B379" s="264" t="s">
        <v>329</v>
      </c>
    </row>
    <row r="380" spans="1:30" x14ac:dyDescent="0.3">
      <c r="B380" s="264" t="s">
        <v>330</v>
      </c>
    </row>
    <row r="381" spans="1:30" x14ac:dyDescent="0.3">
      <c r="B381" s="264" t="s">
        <v>331</v>
      </c>
    </row>
    <row r="382" spans="1:30" x14ac:dyDescent="0.3">
      <c r="B382" s="264" t="s">
        <v>332</v>
      </c>
    </row>
    <row r="383" spans="1:30" x14ac:dyDescent="0.3">
      <c r="B383" s="264" t="s">
        <v>333</v>
      </c>
    </row>
    <row r="384" spans="1:30" x14ac:dyDescent="0.3">
      <c r="B384" s="264"/>
    </row>
    <row r="385" spans="2:2" x14ac:dyDescent="0.3">
      <c r="B385" s="280" t="s">
        <v>334</v>
      </c>
    </row>
    <row r="386" spans="2:2" x14ac:dyDescent="0.3">
      <c r="B386" s="264" t="s">
        <v>335</v>
      </c>
    </row>
    <row r="387" spans="2:2" x14ac:dyDescent="0.3">
      <c r="B387" s="264" t="s">
        <v>336</v>
      </c>
    </row>
  </sheetData>
  <hyperlinks>
    <hyperlink ref="X284" r:id="rId1" display="http://www.paragon-group.co.uk" xr:uid="{F775C01B-91F9-41B2-A474-78988C6DA5AF}"/>
    <hyperlink ref="K9" r:id="rId2" display="http://www.paragon-group.co.uk" xr:uid="{BE6BA05A-60A7-4414-B197-9E82A309D24B}"/>
    <hyperlink ref="P371" r:id="rId3" xr:uid="{5DB5C431-D4FF-4C3C-8819-46F5A36FF5C0}"/>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5" max="18" man="1"/>
    <brk id="244" max="18" man="1"/>
  </rowBreaks>
  <colBreaks count="1" manualBreakCount="1">
    <brk id="29" max="299" man="1"/>
  </col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B9D2-7141-40F3-B4AD-76342041B4D3}">
  <sheetPr>
    <tabColor rgb="FF89CB31"/>
  </sheetPr>
  <dimension ref="A1:JB394"/>
  <sheetViews>
    <sheetView showGridLines="0" showOutlineSymbols="0" zoomScale="60" zoomScaleNormal="60" workbookViewId="0"/>
  </sheetViews>
  <sheetFormatPr defaultColWidth="9.81640625" defaultRowHeight="15.6" x14ac:dyDescent="0.3"/>
  <cols>
    <col min="1" max="1" width="4" style="6" customWidth="1"/>
    <col min="2" max="2" width="71.1796875" style="6" customWidth="1"/>
    <col min="3" max="3" width="2.1796875" style="6" customWidth="1"/>
    <col min="4" max="4" width="16.1796875" style="6" customWidth="1"/>
    <col min="5" max="5" width="2.81640625" style="6" customWidth="1"/>
    <col min="6" max="6" width="16.1796875" style="6" customWidth="1"/>
    <col min="7" max="7" width="2.1796875" style="6" customWidth="1"/>
    <col min="8" max="8" width="17.81640625" style="6" customWidth="1"/>
    <col min="9" max="9" width="2.1796875" style="6" customWidth="1"/>
    <col min="10" max="10" width="14.81640625" style="6" customWidth="1"/>
    <col min="11" max="11" width="2.1796875" style="6" customWidth="1"/>
    <col min="12" max="12" width="15.54296875" style="6" customWidth="1"/>
    <col min="13" max="13" width="2.1796875" style="6" customWidth="1"/>
    <col min="14" max="14" width="15.54296875" style="6" customWidth="1"/>
    <col min="15" max="15" width="2.1796875" style="6" customWidth="1"/>
    <col min="16" max="16" width="15.54296875" style="6" customWidth="1"/>
    <col min="17" max="17" width="2.1796875" style="6" customWidth="1"/>
    <col min="18" max="18" width="15.54296875" style="6" customWidth="1"/>
    <col min="19" max="19" width="2.1796875" style="6" customWidth="1"/>
    <col min="20" max="20" width="15.54296875" style="6" customWidth="1"/>
    <col min="21" max="21" width="2.1796875" style="6" customWidth="1"/>
    <col min="22" max="22" width="15.54296875" style="6" customWidth="1"/>
    <col min="23" max="23" width="2.1796875" style="6" customWidth="1"/>
    <col min="24" max="24" width="15.54296875" style="6" customWidth="1"/>
    <col min="25" max="25" width="12.81640625" style="6" customWidth="1"/>
    <col min="26" max="26" width="18.08984375" style="6" customWidth="1"/>
    <col min="27" max="27" width="10.1796875" style="6" customWidth="1"/>
    <col min="28" max="28" width="14.81640625" style="6" customWidth="1"/>
    <col min="29" max="29" width="26.08984375" style="6" customWidth="1"/>
    <col min="30" max="16384" width="9.81640625" style="6"/>
  </cols>
  <sheetData>
    <row r="1" spans="1:30" ht="21" x14ac:dyDescent="0.4">
      <c r="A1" s="1"/>
      <c r="B1" s="2" t="s">
        <v>172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173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169</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7" t="s">
        <v>174</v>
      </c>
      <c r="AC14" s="21"/>
      <c r="AD14" s="22"/>
    </row>
    <row r="15" spans="1:30" s="23" customFormat="1" x14ac:dyDescent="0.3">
      <c r="A15" s="18"/>
      <c r="B15" s="19" t="s">
        <v>2</v>
      </c>
      <c r="C15" s="20"/>
      <c r="D15" s="28"/>
      <c r="E15" s="28"/>
      <c r="F15" s="28"/>
      <c r="G15" s="28"/>
      <c r="H15" s="28"/>
      <c r="I15" s="28"/>
      <c r="J15" s="28"/>
      <c r="K15" s="28"/>
      <c r="L15" s="28"/>
      <c r="M15" s="28"/>
      <c r="N15" s="28"/>
      <c r="O15" s="28"/>
      <c r="P15" s="28"/>
      <c r="Q15" s="28"/>
      <c r="R15" s="28"/>
      <c r="S15" s="28"/>
      <c r="T15" s="28"/>
      <c r="U15" s="28"/>
      <c r="V15" s="28"/>
      <c r="W15" s="28"/>
      <c r="X15" s="29" t="s">
        <v>128</v>
      </c>
      <c r="Y15" s="29">
        <v>1</v>
      </c>
      <c r="Z15" s="29" t="s">
        <v>305</v>
      </c>
      <c r="AA15" s="29">
        <v>0</v>
      </c>
      <c r="AB15" s="27"/>
      <c r="AC15" s="21"/>
      <c r="AD15" s="22"/>
    </row>
    <row r="16" spans="1:30" s="23" customFormat="1" x14ac:dyDescent="0.3">
      <c r="A16" s="18"/>
      <c r="B16" s="19" t="s">
        <v>3</v>
      </c>
      <c r="C16" s="20"/>
      <c r="D16" s="28"/>
      <c r="E16" s="28"/>
      <c r="F16" s="28"/>
      <c r="G16" s="28"/>
      <c r="H16" s="28"/>
      <c r="I16" s="28"/>
      <c r="J16" s="28"/>
      <c r="K16" s="28"/>
      <c r="L16" s="28"/>
      <c r="M16" s="28"/>
      <c r="N16" s="28"/>
      <c r="O16" s="28"/>
      <c r="P16" s="28"/>
      <c r="Q16" s="28"/>
      <c r="R16" s="28"/>
      <c r="S16" s="28"/>
      <c r="T16" s="28"/>
      <c r="U16" s="28"/>
      <c r="V16" s="28"/>
      <c r="W16" s="28"/>
      <c r="X16" s="29" t="s">
        <v>128</v>
      </c>
      <c r="Y16" s="29">
        <v>1</v>
      </c>
      <c r="Z16" s="29" t="s">
        <v>305</v>
      </c>
      <c r="AA16" s="29">
        <v>0</v>
      </c>
      <c r="AB16" s="27"/>
      <c r="AC16" s="21"/>
      <c r="AD16" s="22"/>
    </row>
    <row r="17" spans="1:33" s="23" customFormat="1" x14ac:dyDescent="0.3">
      <c r="A17" s="18"/>
      <c r="B17" s="19" t="s">
        <v>4</v>
      </c>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29">
        <v>43216</v>
      </c>
      <c r="AC17" s="21"/>
      <c r="AD17" s="22"/>
    </row>
    <row r="18" spans="1:33" s="23" customFormat="1" x14ac:dyDescent="0.3">
      <c r="A18" s="18"/>
      <c r="B18" s="19" t="s">
        <v>5</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9">
        <v>44062</v>
      </c>
      <c r="AC18" s="21"/>
      <c r="AD18" s="22"/>
    </row>
    <row r="19" spans="1:33" s="23" customFormat="1" x14ac:dyDescent="0.3">
      <c r="A19" s="18"/>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30"/>
      <c r="AC19" s="21"/>
      <c r="AD19" s="22"/>
    </row>
    <row r="20" spans="1:33" s="23" customFormat="1" x14ac:dyDescent="0.3">
      <c r="A20" s="18"/>
      <c r="B20" s="31" t="s">
        <v>6</v>
      </c>
      <c r="C20" s="20"/>
      <c r="D20" s="20"/>
      <c r="E20" s="20"/>
      <c r="F20" s="20"/>
      <c r="G20" s="20"/>
      <c r="H20" s="20"/>
      <c r="I20" s="20"/>
      <c r="J20" s="20"/>
      <c r="K20" s="20"/>
      <c r="L20" s="20"/>
      <c r="M20" s="20"/>
      <c r="N20" s="20"/>
      <c r="O20" s="20"/>
      <c r="P20" s="20"/>
      <c r="Q20" s="20"/>
      <c r="R20" s="20"/>
      <c r="S20" s="20"/>
      <c r="T20" s="20"/>
      <c r="U20" s="20"/>
      <c r="V20" s="20"/>
      <c r="W20" s="20"/>
      <c r="X20" s="20"/>
      <c r="Y20" s="20"/>
      <c r="Z20" s="30" t="s">
        <v>71</v>
      </c>
      <c r="AA20" s="20"/>
      <c r="AB20" s="20"/>
      <c r="AC20" s="21"/>
      <c r="AD20" s="22"/>
    </row>
    <row r="21" spans="1:33" x14ac:dyDescent="0.3">
      <c r="A21" s="7"/>
      <c r="B21" s="9"/>
      <c r="C21" s="9"/>
      <c r="D21" s="9"/>
      <c r="E21" s="9"/>
      <c r="F21" s="9"/>
      <c r="G21" s="9"/>
      <c r="H21" s="9"/>
      <c r="I21" s="9"/>
      <c r="J21" s="9"/>
      <c r="K21" s="9"/>
      <c r="L21" s="9"/>
      <c r="M21" s="9"/>
      <c r="N21" s="9"/>
      <c r="O21" s="9"/>
      <c r="P21" s="9"/>
      <c r="Q21" s="9"/>
      <c r="R21" s="9"/>
      <c r="S21" s="9"/>
      <c r="T21" s="9"/>
      <c r="U21" s="9"/>
      <c r="V21" s="9"/>
      <c r="W21" s="9"/>
      <c r="X21" s="9"/>
      <c r="Y21" s="9"/>
      <c r="Z21" s="9"/>
      <c r="AA21" s="9"/>
      <c r="AB21" s="32"/>
      <c r="AC21" s="10"/>
      <c r="AD21" s="5"/>
    </row>
    <row r="22" spans="1:33" ht="31.2" x14ac:dyDescent="0.3">
      <c r="A22" s="33"/>
      <c r="B22" s="34"/>
      <c r="C22" s="35"/>
      <c r="D22" s="35" t="s">
        <v>175</v>
      </c>
      <c r="E22" s="35"/>
      <c r="F22" s="35" t="s">
        <v>140</v>
      </c>
      <c r="G22" s="35"/>
      <c r="H22" s="35" t="s">
        <v>141</v>
      </c>
      <c r="I22" s="35"/>
      <c r="J22" s="35" t="s">
        <v>176</v>
      </c>
      <c r="K22" s="35"/>
      <c r="L22" s="35" t="s">
        <v>162</v>
      </c>
      <c r="M22" s="35"/>
      <c r="N22" s="35" t="s">
        <v>193</v>
      </c>
      <c r="O22" s="35"/>
      <c r="P22" s="35" t="s">
        <v>194</v>
      </c>
      <c r="Q22" s="35"/>
      <c r="R22" s="35" t="s">
        <v>390</v>
      </c>
      <c r="S22" s="35"/>
      <c r="T22" s="35" t="s">
        <v>391</v>
      </c>
      <c r="U22" s="35"/>
      <c r="V22" s="35" t="s">
        <v>392</v>
      </c>
      <c r="W22" s="35"/>
      <c r="X22" s="35" t="s">
        <v>393</v>
      </c>
      <c r="Y22" s="36"/>
      <c r="Z22" s="36"/>
      <c r="AA22" s="34"/>
      <c r="AB22" s="34"/>
      <c r="AC22" s="37"/>
      <c r="AD22" s="5"/>
    </row>
    <row r="23" spans="1:33" s="23" customFormat="1" x14ac:dyDescent="0.3">
      <c r="A23" s="18"/>
      <c r="B23" s="38" t="s">
        <v>158</v>
      </c>
      <c r="C23" s="39"/>
      <c r="D23" s="231" t="s">
        <v>240</v>
      </c>
      <c r="E23" s="231"/>
      <c r="F23" s="231" t="s">
        <v>241</v>
      </c>
      <c r="G23" s="231"/>
      <c r="H23" s="231" t="s">
        <v>243</v>
      </c>
      <c r="I23" s="231"/>
      <c r="J23" s="231" t="s">
        <v>244</v>
      </c>
      <c r="K23" s="39"/>
      <c r="L23" s="39" t="s">
        <v>127</v>
      </c>
      <c r="M23" s="39"/>
      <c r="N23" s="39" t="s">
        <v>127</v>
      </c>
      <c r="O23" s="39"/>
      <c r="P23" s="39" t="s">
        <v>127</v>
      </c>
      <c r="Q23" s="39"/>
      <c r="R23" s="39" t="s">
        <v>127</v>
      </c>
      <c r="S23" s="39"/>
      <c r="T23" s="39" t="s">
        <v>127</v>
      </c>
      <c r="U23" s="39"/>
      <c r="V23" s="39" t="s">
        <v>127</v>
      </c>
      <c r="W23" s="39"/>
      <c r="X23" s="39" t="s">
        <v>127</v>
      </c>
      <c r="Y23" s="39"/>
      <c r="Z23" s="39"/>
      <c r="AA23" s="38"/>
      <c r="AB23" s="38"/>
      <c r="AC23" s="21"/>
      <c r="AD23" s="22"/>
    </row>
    <row r="24" spans="1:33" s="23" customFormat="1" x14ac:dyDescent="0.3">
      <c r="A24" s="40"/>
      <c r="B24" s="41" t="s">
        <v>154</v>
      </c>
      <c r="C24" s="42"/>
      <c r="D24" s="230" t="s">
        <v>242</v>
      </c>
      <c r="E24" s="230"/>
      <c r="F24" s="230" t="s">
        <v>245</v>
      </c>
      <c r="G24" s="230"/>
      <c r="H24" s="230" t="s">
        <v>246</v>
      </c>
      <c r="I24" s="230"/>
      <c r="J24" s="230" t="s">
        <v>247</v>
      </c>
      <c r="K24" s="43"/>
      <c r="L24" s="43" t="s">
        <v>127</v>
      </c>
      <c r="M24" s="43"/>
      <c r="N24" s="43" t="s">
        <v>127</v>
      </c>
      <c r="O24" s="43"/>
      <c r="P24" s="43" t="s">
        <v>127</v>
      </c>
      <c r="Q24" s="43"/>
      <c r="R24" s="43" t="s">
        <v>127</v>
      </c>
      <c r="S24" s="43"/>
      <c r="T24" s="43" t="s">
        <v>127</v>
      </c>
      <c r="U24" s="43"/>
      <c r="V24" s="43" t="s">
        <v>127</v>
      </c>
      <c r="W24" s="43"/>
      <c r="X24" s="43" t="s">
        <v>127</v>
      </c>
      <c r="Y24" s="42"/>
      <c r="Z24" s="43"/>
      <c r="AA24" s="41"/>
      <c r="AB24" s="41"/>
      <c r="AC24" s="44"/>
      <c r="AD24" s="22"/>
    </row>
    <row r="25" spans="1:33" s="23" customFormat="1" x14ac:dyDescent="0.3">
      <c r="A25" s="40"/>
      <c r="B25" s="45" t="s">
        <v>159</v>
      </c>
      <c r="C25" s="42"/>
      <c r="D25" s="232" t="s">
        <v>240</v>
      </c>
      <c r="E25" s="232"/>
      <c r="F25" s="232" t="s">
        <v>241</v>
      </c>
      <c r="G25" s="232"/>
      <c r="H25" s="232" t="s">
        <v>243</v>
      </c>
      <c r="I25" s="232"/>
      <c r="J25" s="232" t="s">
        <v>244</v>
      </c>
      <c r="K25" s="42"/>
      <c r="L25" s="42" t="s">
        <v>127</v>
      </c>
      <c r="M25" s="42"/>
      <c r="N25" s="42" t="s">
        <v>127</v>
      </c>
      <c r="O25" s="42"/>
      <c r="P25" s="42" t="s">
        <v>127</v>
      </c>
      <c r="Q25" s="42"/>
      <c r="R25" s="42" t="s">
        <v>127</v>
      </c>
      <c r="S25" s="42"/>
      <c r="T25" s="42" t="s">
        <v>127</v>
      </c>
      <c r="U25" s="42"/>
      <c r="V25" s="42" t="s">
        <v>127</v>
      </c>
      <c r="W25" s="42"/>
      <c r="X25" s="42" t="s">
        <v>127</v>
      </c>
      <c r="Y25" s="42"/>
      <c r="Z25" s="43"/>
      <c r="AA25" s="41"/>
      <c r="AB25" s="41"/>
      <c r="AC25" s="44"/>
      <c r="AD25" s="22"/>
      <c r="AE25" s="46"/>
      <c r="AG25" s="47"/>
    </row>
    <row r="26" spans="1:33" s="23" customFormat="1" x14ac:dyDescent="0.3">
      <c r="A26" s="48"/>
      <c r="B26" s="45" t="s">
        <v>155</v>
      </c>
      <c r="C26" s="43"/>
      <c r="D26" s="232" t="s">
        <v>242</v>
      </c>
      <c r="E26" s="232"/>
      <c r="F26" s="232" t="s">
        <v>245</v>
      </c>
      <c r="G26" s="232"/>
      <c r="H26" s="232" t="s">
        <v>246</v>
      </c>
      <c r="I26" s="232"/>
      <c r="J26" s="232" t="s">
        <v>247</v>
      </c>
      <c r="K26" s="42"/>
      <c r="L26" s="42" t="s">
        <v>127</v>
      </c>
      <c r="M26" s="42"/>
      <c r="N26" s="42" t="s">
        <v>127</v>
      </c>
      <c r="O26" s="42"/>
      <c r="P26" s="42" t="s">
        <v>127</v>
      </c>
      <c r="Q26" s="42"/>
      <c r="R26" s="42" t="s">
        <v>127</v>
      </c>
      <c r="S26" s="42"/>
      <c r="T26" s="42" t="s">
        <v>127</v>
      </c>
      <c r="U26" s="42"/>
      <c r="V26" s="42" t="s">
        <v>127</v>
      </c>
      <c r="W26" s="42"/>
      <c r="X26" s="42" t="s">
        <v>127</v>
      </c>
      <c r="Y26" s="43"/>
      <c r="Z26" s="49"/>
      <c r="AA26" s="41"/>
      <c r="AB26" s="41"/>
      <c r="AC26" s="44"/>
      <c r="AD26" s="22"/>
      <c r="AE26" s="46"/>
      <c r="AG26" s="47"/>
    </row>
    <row r="27" spans="1:33" s="23" customFormat="1" x14ac:dyDescent="0.3">
      <c r="A27" s="48"/>
      <c r="B27" s="41" t="s">
        <v>7</v>
      </c>
      <c r="C27" s="50"/>
      <c r="D27" s="230" t="s">
        <v>188</v>
      </c>
      <c r="E27" s="230"/>
      <c r="F27" s="230" t="s">
        <v>189</v>
      </c>
      <c r="G27" s="230"/>
      <c r="H27" s="230" t="s">
        <v>190</v>
      </c>
      <c r="I27" s="230"/>
      <c r="J27" s="230" t="s">
        <v>191</v>
      </c>
      <c r="K27" s="230"/>
      <c r="L27" s="230" t="s">
        <v>192</v>
      </c>
      <c r="M27" s="230"/>
      <c r="N27" s="230" t="s">
        <v>195</v>
      </c>
      <c r="O27" s="230"/>
      <c r="P27" s="230" t="s">
        <v>83</v>
      </c>
      <c r="Q27" s="230"/>
      <c r="R27" s="230" t="s">
        <v>196</v>
      </c>
      <c r="S27" s="230"/>
      <c r="T27" s="230" t="s">
        <v>197</v>
      </c>
      <c r="U27" s="230"/>
      <c r="V27" s="230" t="s">
        <v>198</v>
      </c>
      <c r="W27" s="43"/>
      <c r="X27" s="230" t="s">
        <v>199</v>
      </c>
      <c r="Y27" s="51"/>
      <c r="Z27" s="51"/>
      <c r="AA27" s="50"/>
      <c r="AB27" s="51"/>
      <c r="AC27" s="52"/>
      <c r="AD27" s="22"/>
      <c r="AE27" s="46"/>
      <c r="AG27" s="47"/>
    </row>
    <row r="28" spans="1:33" s="23" customFormat="1" x14ac:dyDescent="0.3">
      <c r="A28" s="40"/>
      <c r="B28" s="41" t="s">
        <v>91</v>
      </c>
      <c r="C28" s="53"/>
      <c r="D28" s="55">
        <v>600000</v>
      </c>
      <c r="E28" s="54"/>
      <c r="F28" s="55">
        <v>33500</v>
      </c>
      <c r="G28" s="56"/>
      <c r="H28" s="55">
        <v>30000</v>
      </c>
      <c r="I28" s="56"/>
      <c r="J28" s="55">
        <v>24700</v>
      </c>
      <c r="K28" s="51"/>
      <c r="L28" s="55">
        <v>17648</v>
      </c>
      <c r="M28" s="55"/>
      <c r="N28" s="55">
        <f>+AB139+AB150+AB194+AB210</f>
        <v>10923</v>
      </c>
      <c r="O28" s="242"/>
      <c r="P28" s="55">
        <v>7953</v>
      </c>
      <c r="Q28" s="55"/>
      <c r="R28" s="55" t="s">
        <v>83</v>
      </c>
      <c r="S28" s="55"/>
      <c r="T28" s="55" t="s">
        <v>83</v>
      </c>
      <c r="U28" s="55"/>
      <c r="V28" s="55" t="s">
        <v>83</v>
      </c>
      <c r="W28" s="51"/>
      <c r="X28" s="55" t="s">
        <v>83</v>
      </c>
      <c r="Y28" s="57"/>
      <c r="Z28" s="57"/>
      <c r="AA28" s="53"/>
      <c r="AB28" s="51">
        <f>SUM(D28:L28)</f>
        <v>705848</v>
      </c>
      <c r="AC28" s="52"/>
      <c r="AD28" s="22"/>
    </row>
    <row r="29" spans="1:33" s="23" customFormat="1" x14ac:dyDescent="0.3">
      <c r="A29" s="48"/>
      <c r="B29" s="41" t="s">
        <v>90</v>
      </c>
      <c r="C29" s="50"/>
      <c r="D29" s="55">
        <f>D28*D32</f>
        <v>527628</v>
      </c>
      <c r="E29" s="55"/>
      <c r="F29" s="55">
        <f t="shared" ref="F29:N29" si="0">F28*F32</f>
        <v>33500</v>
      </c>
      <c r="G29" s="55"/>
      <c r="H29" s="55">
        <f t="shared" si="0"/>
        <v>30000</v>
      </c>
      <c r="I29" s="55"/>
      <c r="J29" s="55">
        <f t="shared" si="0"/>
        <v>24700</v>
      </c>
      <c r="K29" s="55"/>
      <c r="L29" s="55">
        <f t="shared" si="0"/>
        <v>17648</v>
      </c>
      <c r="M29" s="55"/>
      <c r="N29" s="55">
        <f t="shared" si="0"/>
        <v>9497.766959999999</v>
      </c>
      <c r="O29" s="55"/>
      <c r="P29" s="55">
        <v>0</v>
      </c>
      <c r="Q29" s="55"/>
      <c r="R29" s="55" t="s">
        <v>83</v>
      </c>
      <c r="S29" s="55"/>
      <c r="T29" s="55" t="s">
        <v>83</v>
      </c>
      <c r="U29" s="55"/>
      <c r="V29" s="55" t="s">
        <v>83</v>
      </c>
      <c r="W29" s="51"/>
      <c r="X29" s="55" t="s">
        <v>83</v>
      </c>
      <c r="Y29" s="51"/>
      <c r="Z29" s="51"/>
      <c r="AA29" s="50"/>
      <c r="AB29" s="51">
        <f>SUM(D29:L29)</f>
        <v>633476</v>
      </c>
      <c r="AC29" s="52"/>
      <c r="AD29" s="22"/>
    </row>
    <row r="30" spans="1:33" s="23" customFormat="1" x14ac:dyDescent="0.3">
      <c r="A30" s="48"/>
      <c r="B30" s="45" t="s">
        <v>92</v>
      </c>
      <c r="C30" s="50"/>
      <c r="D30" s="58">
        <f>D28*D31</f>
        <v>510534</v>
      </c>
      <c r="E30" s="58"/>
      <c r="F30" s="58">
        <f>F28</f>
        <v>33500</v>
      </c>
      <c r="G30" s="58"/>
      <c r="H30" s="58">
        <f>H28</f>
        <v>30000</v>
      </c>
      <c r="I30" s="58"/>
      <c r="J30" s="58">
        <f>J28</f>
        <v>24700</v>
      </c>
      <c r="K30" s="58"/>
      <c r="L30" s="58">
        <f>L28</f>
        <v>17648</v>
      </c>
      <c r="M30" s="58"/>
      <c r="N30" s="58">
        <f>N28*N31</f>
        <v>9237.6903299999994</v>
      </c>
      <c r="O30" s="58"/>
      <c r="P30" s="58">
        <v>0</v>
      </c>
      <c r="Q30" s="58"/>
      <c r="R30" s="58" t="s">
        <v>83</v>
      </c>
      <c r="S30" s="58"/>
      <c r="T30" s="58" t="s">
        <v>83</v>
      </c>
      <c r="U30" s="58"/>
      <c r="V30" s="58" t="s">
        <v>83</v>
      </c>
      <c r="W30" s="57"/>
      <c r="X30" s="58" t="s">
        <v>83</v>
      </c>
      <c r="Y30" s="51"/>
      <c r="Z30" s="51"/>
      <c r="AA30" s="50"/>
      <c r="AB30" s="57">
        <f>SUM(D30:L30)</f>
        <v>616382</v>
      </c>
      <c r="AC30" s="52"/>
      <c r="AD30" s="22"/>
      <c r="AE30" s="238"/>
    </row>
    <row r="31" spans="1:33" s="67" customFormat="1" x14ac:dyDescent="0.3">
      <c r="A31" s="59"/>
      <c r="B31" s="169" t="s">
        <v>88</v>
      </c>
      <c r="C31" s="63"/>
      <c r="D31" s="61">
        <v>0.85089000000000004</v>
      </c>
      <c r="E31" s="61"/>
      <c r="F31" s="61">
        <v>1</v>
      </c>
      <c r="G31" s="61"/>
      <c r="H31" s="61">
        <v>1</v>
      </c>
      <c r="I31" s="61"/>
      <c r="J31" s="61">
        <v>1</v>
      </c>
      <c r="K31" s="61"/>
      <c r="L31" s="61">
        <v>1</v>
      </c>
      <c r="M31" s="61"/>
      <c r="N31" s="61">
        <v>0.84570999999999996</v>
      </c>
      <c r="O31" s="61"/>
      <c r="P31" s="61">
        <v>0</v>
      </c>
      <c r="Q31" s="61"/>
      <c r="R31" s="61" t="s">
        <v>83</v>
      </c>
      <c r="S31" s="61"/>
      <c r="T31" s="61" t="s">
        <v>83</v>
      </c>
      <c r="U31" s="61"/>
      <c r="V31" s="61" t="s">
        <v>83</v>
      </c>
      <c r="W31" s="61"/>
      <c r="X31" s="61" t="s">
        <v>83</v>
      </c>
      <c r="Y31" s="62"/>
      <c r="Z31" s="62"/>
      <c r="AA31" s="63"/>
      <c r="AB31" s="64"/>
      <c r="AC31" s="65"/>
      <c r="AD31" s="66"/>
    </row>
    <row r="32" spans="1:33" s="67" customFormat="1" x14ac:dyDescent="0.3">
      <c r="A32" s="59"/>
      <c r="B32" s="63" t="s">
        <v>89</v>
      </c>
      <c r="C32" s="63"/>
      <c r="D32" s="61">
        <v>0.87938000000000005</v>
      </c>
      <c r="E32" s="61"/>
      <c r="F32" s="61">
        <v>1</v>
      </c>
      <c r="G32" s="61"/>
      <c r="H32" s="61">
        <v>1</v>
      </c>
      <c r="I32" s="61"/>
      <c r="J32" s="61">
        <v>1</v>
      </c>
      <c r="K32" s="61"/>
      <c r="L32" s="61">
        <v>1</v>
      </c>
      <c r="M32" s="61"/>
      <c r="N32" s="61">
        <v>0.86951999999999996</v>
      </c>
      <c r="O32" s="228"/>
      <c r="P32" s="61">
        <v>0</v>
      </c>
      <c r="Q32" s="61"/>
      <c r="R32" s="61" t="s">
        <v>83</v>
      </c>
      <c r="S32" s="61"/>
      <c r="T32" s="61" t="s">
        <v>83</v>
      </c>
      <c r="U32" s="61"/>
      <c r="V32" s="61" t="s">
        <v>83</v>
      </c>
      <c r="W32" s="61"/>
      <c r="X32" s="61" t="s">
        <v>83</v>
      </c>
      <c r="Y32" s="68"/>
      <c r="Z32" s="69"/>
      <c r="AA32" s="63"/>
      <c r="AB32" s="68"/>
      <c r="AC32" s="65"/>
      <c r="AD32" s="66"/>
    </row>
    <row r="33" spans="1:30" s="23" customFormat="1" x14ac:dyDescent="0.3">
      <c r="A33" s="48"/>
      <c r="B33" s="41" t="s">
        <v>8</v>
      </c>
      <c r="C33" s="41"/>
      <c r="D33" s="49" t="s">
        <v>284</v>
      </c>
      <c r="E33" s="49"/>
      <c r="F33" s="49" t="s">
        <v>285</v>
      </c>
      <c r="G33" s="49"/>
      <c r="H33" s="49" t="s">
        <v>286</v>
      </c>
      <c r="I33" s="49"/>
      <c r="J33" s="49" t="s">
        <v>287</v>
      </c>
      <c r="K33" s="49"/>
      <c r="L33" s="49" t="s">
        <v>288</v>
      </c>
      <c r="M33" s="49"/>
      <c r="N33" s="49" t="s">
        <v>289</v>
      </c>
      <c r="O33" s="49"/>
      <c r="P33" s="49" t="s">
        <v>289</v>
      </c>
      <c r="Q33" s="49"/>
      <c r="R33" s="49" t="s">
        <v>83</v>
      </c>
      <c r="S33" s="49"/>
      <c r="T33" s="49" t="s">
        <v>83</v>
      </c>
      <c r="U33" s="49"/>
      <c r="V33" s="49" t="s">
        <v>83</v>
      </c>
      <c r="W33" s="49"/>
      <c r="X33" s="49" t="s">
        <v>83</v>
      </c>
      <c r="Y33" s="70"/>
      <c r="Z33" s="71"/>
      <c r="AA33" s="41"/>
      <c r="AB33" s="41"/>
      <c r="AC33" s="44"/>
      <c r="AD33" s="22"/>
    </row>
    <row r="34" spans="1:30" s="23" customFormat="1" x14ac:dyDescent="0.3">
      <c r="A34" s="48"/>
      <c r="B34" s="41" t="s">
        <v>9</v>
      </c>
      <c r="C34" s="72"/>
      <c r="D34" s="71">
        <v>9.4225000000000003E-3</v>
      </c>
      <c r="E34" s="71"/>
      <c r="F34" s="71">
        <v>1.24225E-2</v>
      </c>
      <c r="G34" s="71"/>
      <c r="H34" s="71">
        <v>1.5922499999999999E-2</v>
      </c>
      <c r="I34" s="71"/>
      <c r="J34" s="71">
        <v>1.8922499999999998E-2</v>
      </c>
      <c r="K34" s="71"/>
      <c r="L34" s="71">
        <v>2.89225E-2</v>
      </c>
      <c r="M34" s="71"/>
      <c r="N34" s="71">
        <v>4.2922500000000002E-2</v>
      </c>
      <c r="O34" s="71"/>
      <c r="P34" s="71">
        <v>4.2922500000000002E-2</v>
      </c>
      <c r="Q34" s="71"/>
      <c r="R34" s="71" t="s">
        <v>83</v>
      </c>
      <c r="S34" s="71"/>
      <c r="T34" s="71" t="s">
        <v>83</v>
      </c>
      <c r="U34" s="71"/>
      <c r="V34" s="71" t="s">
        <v>83</v>
      </c>
      <c r="W34" s="70"/>
      <c r="X34" s="71" t="s">
        <v>83</v>
      </c>
      <c r="Y34" s="49"/>
      <c r="Z34" s="49"/>
      <c r="AA34" s="41"/>
      <c r="AB34" s="70">
        <f>SUMPRODUCT(D34:L34,D29:L29)/AB29</f>
        <v>1.0802640684098532E-2</v>
      </c>
      <c r="AC34" s="44"/>
      <c r="AD34" s="22"/>
    </row>
    <row r="35" spans="1:30" s="23" customFormat="1" x14ac:dyDescent="0.3">
      <c r="A35" s="48"/>
      <c r="B35" s="41" t="s">
        <v>10</v>
      </c>
      <c r="C35" s="72"/>
      <c r="D35" s="71">
        <v>1.4085E-2</v>
      </c>
      <c r="E35" s="71"/>
      <c r="F35" s="71">
        <v>1.7084999999999999E-2</v>
      </c>
      <c r="G35" s="71"/>
      <c r="H35" s="71">
        <v>2.0584999999999999E-2</v>
      </c>
      <c r="I35" s="71"/>
      <c r="J35" s="71">
        <v>2.3584999999999998E-2</v>
      </c>
      <c r="K35" s="71"/>
      <c r="L35" s="71">
        <v>3.3584999999999997E-2</v>
      </c>
      <c r="M35" s="71"/>
      <c r="N35" s="71">
        <v>4.7585000000000002E-2</v>
      </c>
      <c r="O35" s="71"/>
      <c r="P35" s="71">
        <v>4.7585000000000002E-2</v>
      </c>
      <c r="Q35" s="71"/>
      <c r="R35" s="71" t="s">
        <v>83</v>
      </c>
      <c r="S35" s="71"/>
      <c r="T35" s="71" t="s">
        <v>83</v>
      </c>
      <c r="U35" s="71"/>
      <c r="V35" s="71" t="s">
        <v>83</v>
      </c>
      <c r="W35" s="70"/>
      <c r="X35" s="71" t="s">
        <v>83</v>
      </c>
      <c r="Y35" s="49"/>
      <c r="Z35" s="49"/>
      <c r="AA35" s="41"/>
      <c r="AB35" s="41"/>
      <c r="AC35" s="44"/>
      <c r="AD35" s="22"/>
    </row>
    <row r="36" spans="1:30" s="23" customFormat="1" x14ac:dyDescent="0.3">
      <c r="A36" s="48"/>
      <c r="B36" s="41" t="s">
        <v>160</v>
      </c>
      <c r="C36" s="41"/>
      <c r="D36" s="72">
        <v>45061</v>
      </c>
      <c r="E36" s="72"/>
      <c r="F36" s="72">
        <v>45061</v>
      </c>
      <c r="G36" s="72"/>
      <c r="H36" s="72">
        <v>45061</v>
      </c>
      <c r="I36" s="72"/>
      <c r="J36" s="72">
        <v>45061</v>
      </c>
      <c r="K36" s="72"/>
      <c r="L36" s="72">
        <v>45061</v>
      </c>
      <c r="M36" s="72"/>
      <c r="N36" s="72">
        <v>45061</v>
      </c>
      <c r="O36" s="72"/>
      <c r="P36" s="72">
        <v>45061</v>
      </c>
      <c r="Q36" s="72"/>
      <c r="R36" s="72" t="s">
        <v>83</v>
      </c>
      <c r="S36" s="72"/>
      <c r="T36" s="72" t="s">
        <v>83</v>
      </c>
      <c r="U36" s="72"/>
      <c r="V36" s="72" t="s">
        <v>83</v>
      </c>
      <c r="W36" s="72"/>
      <c r="X36" s="72" t="s">
        <v>83</v>
      </c>
      <c r="Y36" s="49"/>
      <c r="Z36" s="49"/>
      <c r="AA36" s="41"/>
      <c r="AB36" s="41"/>
      <c r="AC36" s="44"/>
      <c r="AD36" s="22"/>
    </row>
    <row r="37" spans="1:30" s="23" customFormat="1" x14ac:dyDescent="0.3">
      <c r="A37" s="48"/>
      <c r="B37" s="41" t="s">
        <v>11</v>
      </c>
      <c r="C37" s="41"/>
      <c r="D37" s="72">
        <v>45061</v>
      </c>
      <c r="E37" s="72"/>
      <c r="F37" s="72">
        <v>45061</v>
      </c>
      <c r="G37" s="49"/>
      <c r="H37" s="72">
        <v>45061</v>
      </c>
      <c r="I37" s="49"/>
      <c r="J37" s="72">
        <v>45061</v>
      </c>
      <c r="K37" s="49"/>
      <c r="L37" s="72" t="s">
        <v>83</v>
      </c>
      <c r="M37" s="72"/>
      <c r="N37" s="72" t="s">
        <v>83</v>
      </c>
      <c r="O37" s="72"/>
      <c r="P37" s="72" t="s">
        <v>83</v>
      </c>
      <c r="Q37" s="72"/>
      <c r="R37" s="72" t="s">
        <v>83</v>
      </c>
      <c r="S37" s="72"/>
      <c r="T37" s="72" t="s">
        <v>83</v>
      </c>
      <c r="U37" s="72"/>
      <c r="V37" s="72" t="s">
        <v>83</v>
      </c>
      <c r="W37" s="49"/>
      <c r="X37" s="72" t="s">
        <v>83</v>
      </c>
      <c r="Y37" s="49"/>
      <c r="Z37" s="49"/>
      <c r="AA37" s="41"/>
      <c r="AB37" s="41"/>
      <c r="AC37" s="44"/>
      <c r="AD37" s="22"/>
    </row>
    <row r="38" spans="1:30" s="23" customFormat="1" x14ac:dyDescent="0.3">
      <c r="A38" s="48"/>
      <c r="B38" s="41" t="s">
        <v>84</v>
      </c>
      <c r="C38" s="41"/>
      <c r="D38" s="49" t="s">
        <v>290</v>
      </c>
      <c r="E38" s="49"/>
      <c r="F38" s="49" t="s">
        <v>293</v>
      </c>
      <c r="G38" s="49"/>
      <c r="H38" s="49" t="s">
        <v>292</v>
      </c>
      <c r="I38" s="49"/>
      <c r="J38" s="49" t="s">
        <v>291</v>
      </c>
      <c r="K38" s="49"/>
      <c r="L38" s="72" t="s">
        <v>83</v>
      </c>
      <c r="M38" s="72"/>
      <c r="N38" s="72" t="s">
        <v>83</v>
      </c>
      <c r="O38" s="72"/>
      <c r="P38" s="72" t="s">
        <v>83</v>
      </c>
      <c r="Q38" s="49"/>
      <c r="R38" s="49" t="s">
        <v>83</v>
      </c>
      <c r="S38" s="49"/>
      <c r="T38" s="49" t="s">
        <v>83</v>
      </c>
      <c r="U38" s="49"/>
      <c r="V38" s="49" t="s">
        <v>83</v>
      </c>
      <c r="W38" s="49"/>
      <c r="X38" s="49" t="s">
        <v>83</v>
      </c>
      <c r="Y38" s="73"/>
      <c r="Z38" s="73"/>
      <c r="AA38" s="73"/>
      <c r="AB38" s="73"/>
      <c r="AC38" s="44"/>
      <c r="AD38" s="22"/>
    </row>
    <row r="39" spans="1:30" s="23" customFormat="1" x14ac:dyDescent="0.3">
      <c r="A39" s="48"/>
      <c r="B39" s="41" t="s">
        <v>161</v>
      </c>
      <c r="C39" s="41"/>
      <c r="D39" s="49" t="s">
        <v>290</v>
      </c>
      <c r="E39" s="49"/>
      <c r="F39" s="49" t="s">
        <v>293</v>
      </c>
      <c r="G39" s="49"/>
      <c r="H39" s="49" t="s">
        <v>292</v>
      </c>
      <c r="I39" s="49"/>
      <c r="J39" s="49" t="s">
        <v>291</v>
      </c>
      <c r="K39" s="49"/>
      <c r="L39" s="49" t="s">
        <v>83</v>
      </c>
      <c r="M39" s="49"/>
      <c r="N39" s="49" t="s">
        <v>83</v>
      </c>
      <c r="O39" s="49"/>
      <c r="P39" s="49" t="s">
        <v>83</v>
      </c>
      <c r="Q39" s="49"/>
      <c r="R39" s="49" t="s">
        <v>83</v>
      </c>
      <c r="S39" s="49"/>
      <c r="T39" s="49" t="s">
        <v>83</v>
      </c>
      <c r="U39" s="49"/>
      <c r="V39" s="49" t="s">
        <v>83</v>
      </c>
      <c r="W39" s="49"/>
      <c r="X39" s="49" t="s">
        <v>83</v>
      </c>
      <c r="Y39" s="73"/>
      <c r="Z39" s="73"/>
      <c r="AA39" s="73"/>
      <c r="AB39" s="73"/>
      <c r="AC39" s="44"/>
      <c r="AD39" s="22"/>
    </row>
    <row r="40" spans="1:30" s="23" customFormat="1" x14ac:dyDescent="0.3">
      <c r="A40" s="48"/>
      <c r="B40" s="41"/>
      <c r="C40" s="41"/>
      <c r="D40" s="49"/>
      <c r="E40" s="49"/>
      <c r="F40" s="49"/>
      <c r="G40" s="49"/>
      <c r="H40" s="49"/>
      <c r="I40" s="49"/>
      <c r="J40" s="49"/>
      <c r="K40" s="49"/>
      <c r="L40" s="49"/>
      <c r="M40" s="49"/>
      <c r="N40" s="49"/>
      <c r="O40" s="49"/>
      <c r="P40" s="49"/>
      <c r="Q40" s="49"/>
      <c r="R40" s="49"/>
      <c r="S40" s="49"/>
      <c r="T40" s="49"/>
      <c r="U40" s="49"/>
      <c r="V40" s="49"/>
      <c r="W40" s="49"/>
      <c r="X40" s="49"/>
      <c r="Y40" s="41"/>
      <c r="Z40" s="41"/>
      <c r="AA40" s="41"/>
      <c r="AB40" s="70" t="s">
        <v>110</v>
      </c>
      <c r="AC40" s="44"/>
      <c r="AD40" s="22"/>
    </row>
    <row r="41" spans="1:30" s="23" customFormat="1" x14ac:dyDescent="0.3">
      <c r="A41" s="48"/>
      <c r="B41" s="41" t="s">
        <v>283</v>
      </c>
      <c r="C41" s="41"/>
      <c r="D41" s="49"/>
      <c r="E41" s="49"/>
      <c r="F41" s="49"/>
      <c r="G41" s="49"/>
      <c r="H41" s="49"/>
      <c r="I41" s="49"/>
      <c r="J41" s="49"/>
      <c r="K41" s="49"/>
      <c r="L41" s="49"/>
      <c r="M41" s="49"/>
      <c r="N41" s="49"/>
      <c r="O41" s="49"/>
      <c r="P41" s="49"/>
      <c r="Q41" s="49"/>
      <c r="R41" s="49"/>
      <c r="S41" s="49"/>
      <c r="T41" s="49"/>
      <c r="U41" s="49"/>
      <c r="V41" s="49"/>
      <c r="W41" s="49"/>
      <c r="X41" s="49"/>
      <c r="Y41" s="41"/>
      <c r="Z41" s="41"/>
      <c r="AA41" s="41"/>
      <c r="AB41" s="235">
        <f>SUM(F28:L28)/(D28)</f>
        <v>0.17641333333333334</v>
      </c>
      <c r="AC41" s="44"/>
      <c r="AD41" s="22"/>
    </row>
    <row r="42" spans="1:30" s="23" customFormat="1" x14ac:dyDescent="0.3">
      <c r="A42" s="48"/>
      <c r="B42" s="41" t="s">
        <v>282</v>
      </c>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235">
        <f>SUM(F30:L30)/(D30)</f>
        <v>0.20732801341340634</v>
      </c>
      <c r="AC42" s="44"/>
      <c r="AD42" s="22"/>
    </row>
    <row r="43" spans="1:30" s="23" customFormat="1" x14ac:dyDescent="0.3">
      <c r="A43" s="48"/>
      <c r="B43" s="41" t="s">
        <v>211</v>
      </c>
      <c r="C43" s="41"/>
      <c r="D43" s="41"/>
      <c r="E43" s="41"/>
      <c r="F43" s="41"/>
      <c r="G43" s="41"/>
      <c r="H43" s="41"/>
      <c r="I43" s="41"/>
      <c r="J43" s="41"/>
      <c r="K43" s="41"/>
      <c r="L43" s="41"/>
      <c r="M43" s="41"/>
      <c r="N43" s="41"/>
      <c r="O43" s="41"/>
      <c r="P43" s="41"/>
      <c r="Q43" s="41"/>
      <c r="R43" s="41"/>
      <c r="S43" s="41"/>
      <c r="T43" s="41"/>
      <c r="U43" s="41"/>
      <c r="V43" s="41"/>
      <c r="W43" s="41"/>
      <c r="X43" s="41"/>
      <c r="Y43" s="41"/>
      <c r="Z43" s="49"/>
      <c r="AA43" s="49"/>
      <c r="AB43" s="51" t="s">
        <v>123</v>
      </c>
      <c r="AC43" s="44"/>
      <c r="AD43" s="22"/>
    </row>
    <row r="44" spans="1:30" s="23" customFormat="1" x14ac:dyDescent="0.3">
      <c r="A44" s="48"/>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74"/>
      <c r="AC44" s="44"/>
      <c r="AD44" s="22"/>
    </row>
    <row r="45" spans="1:30" s="23" customFormat="1" x14ac:dyDescent="0.3">
      <c r="A45" s="48"/>
      <c r="B45" s="41" t="s">
        <v>210</v>
      </c>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75" t="s">
        <v>77</v>
      </c>
      <c r="AC45" s="44"/>
      <c r="AD45" s="22"/>
    </row>
    <row r="46" spans="1:30" s="23" customFormat="1" x14ac:dyDescent="0.3">
      <c r="A46" s="48"/>
      <c r="B46" s="45" t="s">
        <v>111</v>
      </c>
      <c r="C46" s="45"/>
      <c r="D46" s="45"/>
      <c r="E46" s="45"/>
      <c r="F46" s="45"/>
      <c r="G46" s="45"/>
      <c r="H46" s="45"/>
      <c r="I46" s="45"/>
      <c r="J46" s="45"/>
      <c r="K46" s="45"/>
      <c r="L46" s="45"/>
      <c r="M46" s="45"/>
      <c r="N46" s="45"/>
      <c r="O46" s="45"/>
      <c r="P46" s="45"/>
      <c r="Q46" s="45"/>
      <c r="R46" s="45"/>
      <c r="S46" s="45"/>
      <c r="T46" s="45"/>
      <c r="U46" s="45"/>
      <c r="V46" s="45"/>
      <c r="W46" s="45"/>
      <c r="X46" s="45"/>
      <c r="Y46" s="45"/>
      <c r="Z46" s="76"/>
      <c r="AA46" s="76"/>
      <c r="AB46" s="77">
        <v>44060</v>
      </c>
      <c r="AC46" s="44"/>
      <c r="AD46" s="22"/>
    </row>
    <row r="47" spans="1:30" s="23" customFormat="1" x14ac:dyDescent="0.3">
      <c r="A47" s="48"/>
      <c r="B47" s="41" t="s">
        <v>85</v>
      </c>
      <c r="C47" s="41"/>
      <c r="D47" s="78"/>
      <c r="E47" s="78"/>
      <c r="F47" s="78"/>
      <c r="G47" s="78"/>
      <c r="H47" s="78"/>
      <c r="I47" s="78"/>
      <c r="J47" s="78"/>
      <c r="K47" s="78"/>
      <c r="L47" s="78"/>
      <c r="M47" s="78"/>
      <c r="N47" s="78"/>
      <c r="O47" s="78"/>
      <c r="P47" s="78"/>
      <c r="Q47" s="78"/>
      <c r="R47" s="78"/>
      <c r="S47" s="78"/>
      <c r="T47" s="78"/>
      <c r="U47" s="78"/>
      <c r="V47" s="78"/>
      <c r="W47" s="78"/>
      <c r="X47" s="41">
        <f>+AB47-Z47+1</f>
        <v>90</v>
      </c>
      <c r="Y47" s="41"/>
      <c r="Z47" s="79">
        <v>43876</v>
      </c>
      <c r="AA47" s="80"/>
      <c r="AB47" s="79">
        <v>43965</v>
      </c>
      <c r="AC47" s="44"/>
      <c r="AD47" s="22"/>
    </row>
    <row r="48" spans="1:30" s="23" customFormat="1" x14ac:dyDescent="0.3">
      <c r="A48" s="48"/>
      <c r="B48" s="41" t="s">
        <v>86</v>
      </c>
      <c r="C48" s="41"/>
      <c r="D48" s="41"/>
      <c r="E48" s="41"/>
      <c r="F48" s="41"/>
      <c r="G48" s="41"/>
      <c r="H48" s="41"/>
      <c r="I48" s="41"/>
      <c r="J48" s="41"/>
      <c r="K48" s="41"/>
      <c r="L48" s="41"/>
      <c r="M48" s="41"/>
      <c r="N48" s="41"/>
      <c r="O48" s="41"/>
      <c r="P48" s="41"/>
      <c r="Q48" s="41"/>
      <c r="R48" s="41"/>
      <c r="S48" s="41"/>
      <c r="T48" s="41"/>
      <c r="U48" s="41"/>
      <c r="V48" s="41"/>
      <c r="W48" s="41"/>
      <c r="X48" s="41">
        <f>+AB48-Z48+1</f>
        <v>94</v>
      </c>
      <c r="Y48" s="41"/>
      <c r="Z48" s="79">
        <v>43966</v>
      </c>
      <c r="AA48" s="80"/>
      <c r="AB48" s="79">
        <v>44059</v>
      </c>
      <c r="AC48" s="44"/>
      <c r="AD48" s="22"/>
    </row>
    <row r="49" spans="1:31" s="23" customFormat="1" x14ac:dyDescent="0.3">
      <c r="A49" s="48"/>
      <c r="B49" s="41" t="s">
        <v>200</v>
      </c>
      <c r="C49" s="41"/>
      <c r="D49" s="41"/>
      <c r="E49" s="41"/>
      <c r="F49" s="41"/>
      <c r="G49" s="41"/>
      <c r="H49" s="41"/>
      <c r="I49" s="41"/>
      <c r="J49" s="41"/>
      <c r="K49" s="41"/>
      <c r="L49" s="41"/>
      <c r="M49" s="41"/>
      <c r="N49" s="41"/>
      <c r="O49" s="41"/>
      <c r="P49" s="41"/>
      <c r="Q49" s="41"/>
      <c r="R49" s="41"/>
      <c r="S49" s="41"/>
      <c r="T49" s="41"/>
      <c r="U49" s="41"/>
      <c r="V49" s="41"/>
      <c r="W49" s="41"/>
      <c r="X49" s="41"/>
      <c r="Y49" s="41"/>
      <c r="Z49" s="79"/>
      <c r="AA49" s="80"/>
      <c r="AB49" s="79" t="s">
        <v>99</v>
      </c>
      <c r="AC49" s="44"/>
      <c r="AD49" s="22"/>
      <c r="AE49" s="81"/>
    </row>
    <row r="50" spans="1:31" s="23" customFormat="1" x14ac:dyDescent="0.3">
      <c r="A50" s="48"/>
      <c r="B50" s="41" t="s">
        <v>12</v>
      </c>
      <c r="C50" s="41"/>
      <c r="D50" s="41"/>
      <c r="E50" s="41"/>
      <c r="F50" s="41"/>
      <c r="G50" s="41"/>
      <c r="H50" s="41"/>
      <c r="I50" s="41"/>
      <c r="J50" s="41"/>
      <c r="K50" s="41"/>
      <c r="L50" s="41"/>
      <c r="M50" s="41"/>
      <c r="N50" s="41"/>
      <c r="O50" s="41"/>
      <c r="P50" s="41"/>
      <c r="Q50" s="41"/>
      <c r="R50" s="41"/>
      <c r="S50" s="41"/>
      <c r="T50" s="41"/>
      <c r="U50" s="41"/>
      <c r="V50" s="41"/>
      <c r="W50" s="41"/>
      <c r="X50" s="41"/>
      <c r="Y50" s="41"/>
      <c r="Z50" s="79"/>
      <c r="AA50" s="80"/>
      <c r="AB50" s="79">
        <v>44059</v>
      </c>
      <c r="AC50" s="44"/>
      <c r="AD50" s="22"/>
    </row>
    <row r="51" spans="1:31" s="23" customFormat="1" x14ac:dyDescent="0.3">
      <c r="A51" s="18"/>
      <c r="B51" s="38"/>
      <c r="C51" s="38"/>
      <c r="D51" s="38"/>
      <c r="E51" s="38"/>
      <c r="F51" s="38"/>
      <c r="G51" s="38"/>
      <c r="H51" s="38"/>
      <c r="I51" s="38"/>
      <c r="J51" s="38"/>
      <c r="K51" s="38"/>
      <c r="L51" s="38"/>
      <c r="M51" s="38"/>
      <c r="N51" s="38"/>
      <c r="O51" s="38"/>
      <c r="P51" s="38"/>
      <c r="Q51" s="38"/>
      <c r="R51" s="38"/>
      <c r="S51" s="38"/>
      <c r="T51" s="38"/>
      <c r="U51" s="38"/>
      <c r="V51" s="38"/>
      <c r="W51" s="38"/>
      <c r="X51" s="38"/>
      <c r="Y51" s="38"/>
      <c r="Z51" s="82"/>
      <c r="AA51" s="83"/>
      <c r="AB51" s="82"/>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4"/>
      <c r="AA52" s="85"/>
      <c r="AB52" s="84"/>
      <c r="AC52" s="21"/>
      <c r="AD52" s="22"/>
    </row>
    <row r="53" spans="1:31" s="23" customFormat="1" ht="18.600000000000001" thickBot="1" x14ac:dyDescent="0.4">
      <c r="A53" s="86"/>
      <c r="B53" s="87" t="s">
        <v>346</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9"/>
      <c r="AC53" s="90"/>
      <c r="AD53" s="22"/>
    </row>
    <row r="54" spans="1:31" x14ac:dyDescent="0.3">
      <c r="A54" s="33"/>
      <c r="B54" s="91" t="s">
        <v>13</v>
      </c>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3"/>
      <c r="AC54" s="92"/>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4"/>
      <c r="AC55" s="10"/>
      <c r="AD55" s="5"/>
    </row>
    <row r="56" spans="1:31" s="67" customFormat="1" ht="73.5" customHeight="1" x14ac:dyDescent="0.3">
      <c r="A56" s="95"/>
      <c r="B56" s="96" t="s">
        <v>14</v>
      </c>
      <c r="C56" s="97"/>
      <c r="D56" s="97"/>
      <c r="E56" s="97"/>
      <c r="F56" s="97"/>
      <c r="G56" s="97"/>
      <c r="H56" s="97"/>
      <c r="I56" s="97"/>
      <c r="J56" s="97"/>
      <c r="K56" s="97"/>
      <c r="L56" s="97"/>
      <c r="M56" s="97"/>
      <c r="N56" s="97"/>
      <c r="O56" s="97"/>
      <c r="P56" s="97" t="s">
        <v>63</v>
      </c>
      <c r="Q56" s="97"/>
      <c r="R56" s="97" t="s">
        <v>65</v>
      </c>
      <c r="S56" s="97"/>
      <c r="T56" s="97" t="s">
        <v>135</v>
      </c>
      <c r="U56" s="97"/>
      <c r="V56" s="97" t="s">
        <v>136</v>
      </c>
      <c r="W56" s="97"/>
      <c r="X56" s="97" t="s">
        <v>68</v>
      </c>
      <c r="Y56" s="97"/>
      <c r="Z56" s="97" t="s">
        <v>72</v>
      </c>
      <c r="AA56" s="97"/>
      <c r="AB56" s="98" t="s">
        <v>78</v>
      </c>
      <c r="AC56" s="99"/>
      <c r="AD56" s="66"/>
    </row>
    <row r="57" spans="1:31" s="23" customFormat="1" x14ac:dyDescent="0.3">
      <c r="A57" s="48"/>
      <c r="B57" s="41" t="s">
        <v>15</v>
      </c>
      <c r="C57" s="100"/>
      <c r="D57" s="100"/>
      <c r="E57" s="100"/>
      <c r="F57" s="100"/>
      <c r="G57" s="100"/>
      <c r="H57" s="101"/>
      <c r="I57" s="100"/>
      <c r="J57" s="101"/>
      <c r="K57" s="100"/>
      <c r="L57" s="100"/>
      <c r="M57" s="100"/>
      <c r="N57" s="100"/>
      <c r="O57" s="100"/>
      <c r="P57" s="241">
        <v>705273</v>
      </c>
      <c r="Q57" s="241"/>
      <c r="R57" s="240">
        <v>630760</v>
      </c>
      <c r="S57" s="241"/>
      <c r="T57" s="240">
        <f>362+104</f>
        <v>466</v>
      </c>
      <c r="U57" s="241"/>
      <c r="V57" s="241">
        <v>14217</v>
      </c>
      <c r="W57" s="241"/>
      <c r="X57" s="241">
        <v>0</v>
      </c>
      <c r="Y57" s="241"/>
      <c r="Z57" s="241">
        <v>0</v>
      </c>
      <c r="AA57" s="241"/>
      <c r="AB57" s="240">
        <f>R57-T57-V57+X57-Z57</f>
        <v>616077</v>
      </c>
      <c r="AC57" s="44"/>
      <c r="AD57" s="22"/>
    </row>
    <row r="58" spans="1:31" s="23" customFormat="1" x14ac:dyDescent="0.3">
      <c r="A58" s="48"/>
      <c r="B58" s="41" t="s">
        <v>16</v>
      </c>
      <c r="C58" s="100"/>
      <c r="D58" s="100"/>
      <c r="E58" s="100"/>
      <c r="F58" s="100"/>
      <c r="G58" s="100"/>
      <c r="H58" s="101"/>
      <c r="I58" s="100"/>
      <c r="J58" s="101"/>
      <c r="K58" s="100"/>
      <c r="L58" s="100"/>
      <c r="M58" s="100"/>
      <c r="N58" s="100"/>
      <c r="O58" s="100"/>
      <c r="P58" s="241">
        <v>0</v>
      </c>
      <c r="Q58" s="241"/>
      <c r="R58" s="240">
        <v>0</v>
      </c>
      <c r="S58" s="241"/>
      <c r="T58" s="240">
        <v>0</v>
      </c>
      <c r="U58" s="241"/>
      <c r="V58" s="241">
        <v>0</v>
      </c>
      <c r="W58" s="241"/>
      <c r="X58" s="241">
        <v>0</v>
      </c>
      <c r="Y58" s="241"/>
      <c r="Z58" s="241">
        <v>0</v>
      </c>
      <c r="AA58" s="241"/>
      <c r="AB58" s="240">
        <f>F58-J58-L58</f>
        <v>0</v>
      </c>
      <c r="AC58" s="44"/>
      <c r="AD58" s="22"/>
    </row>
    <row r="59" spans="1:31" s="23" customFormat="1" x14ac:dyDescent="0.3">
      <c r="A59" s="48"/>
      <c r="B59" s="41"/>
      <c r="C59" s="100"/>
      <c r="D59" s="100"/>
      <c r="E59" s="100"/>
      <c r="F59" s="100"/>
      <c r="G59" s="100"/>
      <c r="H59" s="101"/>
      <c r="I59" s="100"/>
      <c r="J59" s="101"/>
      <c r="K59" s="100"/>
      <c r="L59" s="100"/>
      <c r="M59" s="100"/>
      <c r="N59" s="100"/>
      <c r="O59" s="100"/>
      <c r="P59" s="241"/>
      <c r="Q59" s="241"/>
      <c r="R59" s="240"/>
      <c r="S59" s="241"/>
      <c r="T59" s="240"/>
      <c r="U59" s="241"/>
      <c r="V59" s="241"/>
      <c r="W59" s="241"/>
      <c r="X59" s="241"/>
      <c r="Y59" s="241"/>
      <c r="Z59" s="241"/>
      <c r="AA59" s="241"/>
      <c r="AB59" s="240"/>
      <c r="AC59" s="44"/>
      <c r="AD59" s="22"/>
    </row>
    <row r="60" spans="1:31" s="23" customFormat="1" x14ac:dyDescent="0.3">
      <c r="A60" s="48"/>
      <c r="B60" s="41" t="s">
        <v>17</v>
      </c>
      <c r="C60" s="100"/>
      <c r="D60" s="100"/>
      <c r="E60" s="100"/>
      <c r="F60" s="100"/>
      <c r="G60" s="100"/>
      <c r="H60" s="100"/>
      <c r="I60" s="100"/>
      <c r="J60" s="100"/>
      <c r="K60" s="100"/>
      <c r="L60" s="100"/>
      <c r="M60" s="100"/>
      <c r="N60" s="100"/>
      <c r="O60" s="100"/>
      <c r="P60" s="241">
        <f>SUM(P57:P59)</f>
        <v>705273</v>
      </c>
      <c r="Q60" s="241"/>
      <c r="R60" s="241">
        <f>R57+R58</f>
        <v>630760</v>
      </c>
      <c r="S60" s="241"/>
      <c r="T60" s="241">
        <f>T57+T58</f>
        <v>466</v>
      </c>
      <c r="U60" s="241"/>
      <c r="V60" s="241">
        <f>SUM(V57:V59)</f>
        <v>14217</v>
      </c>
      <c r="W60" s="241"/>
      <c r="X60" s="241">
        <f>SUM(X57:X59)</f>
        <v>0</v>
      </c>
      <c r="Y60" s="241"/>
      <c r="Z60" s="241">
        <f>SUM(Z57:Z59)</f>
        <v>0</v>
      </c>
      <c r="AA60" s="241"/>
      <c r="AB60" s="241">
        <f>SUM(AB57:AB59)</f>
        <v>616077</v>
      </c>
      <c r="AC60" s="44"/>
      <c r="AD60" s="22"/>
    </row>
    <row r="61" spans="1:31" s="23" customFormat="1" ht="31.95" customHeight="1" x14ac:dyDescent="0.3">
      <c r="A61" s="48"/>
      <c r="B61" s="41"/>
      <c r="C61" s="100"/>
      <c r="D61" s="100"/>
      <c r="E61" s="100"/>
      <c r="F61" s="100"/>
      <c r="G61" s="100"/>
      <c r="H61" s="100"/>
      <c r="I61" s="100"/>
      <c r="J61" s="100"/>
      <c r="K61" s="100"/>
      <c r="L61" s="100"/>
      <c r="M61" s="100"/>
      <c r="N61" s="100"/>
      <c r="O61" s="100"/>
      <c r="P61" s="241"/>
      <c r="Q61" s="241"/>
      <c r="R61" s="241"/>
      <c r="S61" s="241"/>
      <c r="T61" s="241"/>
      <c r="U61" s="241"/>
      <c r="V61" s="241"/>
      <c r="W61" s="241"/>
      <c r="X61" s="241"/>
      <c r="Y61" s="241"/>
      <c r="Z61" s="241"/>
      <c r="AA61" s="241"/>
      <c r="AB61" s="241"/>
      <c r="AC61" s="44"/>
      <c r="AD61" s="22"/>
    </row>
    <row r="62" spans="1:31" s="23" customFormat="1" x14ac:dyDescent="0.3">
      <c r="A62" s="48"/>
      <c r="B62" s="41" t="s">
        <v>18</v>
      </c>
      <c r="C62" s="100"/>
      <c r="D62" s="100"/>
      <c r="E62" s="100"/>
      <c r="F62" s="100"/>
      <c r="G62" s="100"/>
      <c r="H62" s="100"/>
      <c r="I62" s="100"/>
      <c r="J62" s="100"/>
      <c r="K62" s="100"/>
      <c r="L62" s="100"/>
      <c r="M62" s="100"/>
      <c r="N62" s="100"/>
      <c r="O62" s="100"/>
      <c r="P62" s="241">
        <v>0</v>
      </c>
      <c r="Q62" s="241"/>
      <c r="R62" s="241">
        <v>0</v>
      </c>
      <c r="S62" s="241"/>
      <c r="T62" s="241"/>
      <c r="U62" s="241"/>
      <c r="V62" s="241"/>
      <c r="W62" s="241"/>
      <c r="X62" s="241"/>
      <c r="Y62" s="241"/>
      <c r="Z62" s="241"/>
      <c r="AA62" s="241"/>
      <c r="AB62" s="240">
        <v>0</v>
      </c>
      <c r="AC62" s="44"/>
      <c r="AD62" s="22"/>
    </row>
    <row r="63" spans="1:31" s="23" customFormat="1" x14ac:dyDescent="0.3">
      <c r="A63" s="48"/>
      <c r="B63" s="41" t="s">
        <v>249</v>
      </c>
      <c r="C63" s="100"/>
      <c r="D63" s="100"/>
      <c r="E63" s="100"/>
      <c r="F63" s="100"/>
      <c r="G63" s="100"/>
      <c r="H63" s="100"/>
      <c r="I63" s="100"/>
      <c r="J63" s="100"/>
      <c r="K63" s="100"/>
      <c r="L63" s="100"/>
      <c r="M63" s="100"/>
      <c r="N63" s="100"/>
      <c r="O63" s="100"/>
      <c r="P63" s="241">
        <v>0</v>
      </c>
      <c r="Q63" s="241"/>
      <c r="R63" s="241">
        <v>2716</v>
      </c>
      <c r="S63" s="241"/>
      <c r="T63" s="241">
        <v>0</v>
      </c>
      <c r="U63" s="241"/>
      <c r="V63" s="241">
        <v>-2411</v>
      </c>
      <c r="W63" s="241"/>
      <c r="X63" s="241"/>
      <c r="Y63" s="241"/>
      <c r="Z63" s="241"/>
      <c r="AA63" s="241"/>
      <c r="AB63" s="241">
        <f>+R63+V63</f>
        <v>305</v>
      </c>
      <c r="AC63" s="44"/>
      <c r="AD63" s="22"/>
    </row>
    <row r="64" spans="1:31" s="23" customFormat="1" x14ac:dyDescent="0.3">
      <c r="A64" s="48"/>
      <c r="B64" s="41" t="s">
        <v>178</v>
      </c>
      <c r="C64" s="100"/>
      <c r="D64" s="100"/>
      <c r="E64" s="100"/>
      <c r="F64" s="100"/>
      <c r="G64" s="100"/>
      <c r="H64" s="100"/>
      <c r="I64" s="100"/>
      <c r="J64" s="100"/>
      <c r="K64" s="100"/>
      <c r="L64" s="100"/>
      <c r="M64" s="100"/>
      <c r="N64" s="100"/>
      <c r="O64" s="100"/>
      <c r="P64" s="241">
        <v>575</v>
      </c>
      <c r="Q64" s="241"/>
      <c r="R64" s="241">
        <v>0</v>
      </c>
      <c r="S64" s="241"/>
      <c r="T64" s="241"/>
      <c r="U64" s="241"/>
      <c r="V64" s="241"/>
      <c r="W64" s="241"/>
      <c r="X64" s="241">
        <v>0</v>
      </c>
      <c r="Y64" s="241"/>
      <c r="Z64" s="241"/>
      <c r="AA64" s="241"/>
      <c r="AB64" s="241">
        <f>+R64+X64</f>
        <v>0</v>
      </c>
      <c r="AC64" s="44"/>
      <c r="AD64" s="22"/>
    </row>
    <row r="65" spans="1:30" s="23" customFormat="1" x14ac:dyDescent="0.3">
      <c r="A65" s="48"/>
      <c r="B65" s="41" t="s">
        <v>19</v>
      </c>
      <c r="C65" s="100"/>
      <c r="D65" s="100"/>
      <c r="E65" s="100"/>
      <c r="F65" s="100"/>
      <c r="G65" s="100"/>
      <c r="H65" s="100"/>
      <c r="I65" s="100"/>
      <c r="J65" s="100"/>
      <c r="K65" s="100"/>
      <c r="L65" s="100"/>
      <c r="M65" s="100"/>
      <c r="N65" s="100"/>
      <c r="O65" s="100"/>
      <c r="P65" s="241">
        <v>0</v>
      </c>
      <c r="Q65" s="241"/>
      <c r="R65" s="241">
        <v>0</v>
      </c>
      <c r="S65" s="241"/>
      <c r="T65" s="241"/>
      <c r="U65" s="241"/>
      <c r="V65" s="241"/>
      <c r="W65" s="241"/>
      <c r="X65" s="241"/>
      <c r="Y65" s="241"/>
      <c r="Z65" s="241"/>
      <c r="AA65" s="241"/>
      <c r="AB65" s="241">
        <v>0</v>
      </c>
      <c r="AC65" s="44"/>
      <c r="AD65" s="22"/>
    </row>
    <row r="66" spans="1:30" s="23" customFormat="1" x14ac:dyDescent="0.3">
      <c r="A66" s="48"/>
      <c r="B66" s="41" t="s">
        <v>20</v>
      </c>
      <c r="C66" s="100"/>
      <c r="D66" s="100"/>
      <c r="E66" s="100"/>
      <c r="F66" s="100"/>
      <c r="G66" s="100"/>
      <c r="H66" s="100"/>
      <c r="I66" s="100"/>
      <c r="J66" s="100"/>
      <c r="K66" s="100"/>
      <c r="L66" s="100"/>
      <c r="M66" s="100"/>
      <c r="N66" s="100"/>
      <c r="O66" s="100"/>
      <c r="P66" s="241">
        <f>SUM(P60:P65)</f>
        <v>705848</v>
      </c>
      <c r="Q66" s="241"/>
      <c r="R66" s="241">
        <f>SUM(R60:R65)</f>
        <v>633476</v>
      </c>
      <c r="S66" s="241"/>
      <c r="T66" s="241"/>
      <c r="U66" s="241"/>
      <c r="V66" s="241"/>
      <c r="W66" s="241"/>
      <c r="X66" s="241"/>
      <c r="Y66" s="241"/>
      <c r="Z66" s="241"/>
      <c r="AA66" s="241"/>
      <c r="AB66" s="241">
        <f>SUM(AB60:AB65)</f>
        <v>616382</v>
      </c>
      <c r="AC66" s="44"/>
      <c r="AD66" s="22"/>
    </row>
    <row r="67" spans="1:30" x14ac:dyDescent="0.3">
      <c r="A67" s="7"/>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4"/>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5" t="s">
        <v>21</v>
      </c>
      <c r="C69" s="105"/>
      <c r="D69" s="106"/>
      <c r="E69" s="106"/>
      <c r="F69" s="106"/>
      <c r="G69" s="106"/>
      <c r="H69" s="107"/>
      <c r="I69" s="106"/>
      <c r="J69" s="108"/>
      <c r="K69" s="106"/>
      <c r="L69" s="106"/>
      <c r="M69" s="106"/>
      <c r="N69" s="106"/>
      <c r="O69" s="106"/>
      <c r="P69" s="106"/>
      <c r="Q69" s="106"/>
      <c r="R69" s="107" t="s">
        <v>64</v>
      </c>
      <c r="S69" s="106"/>
      <c r="T69" s="108">
        <f>+Z245</f>
        <v>44043</v>
      </c>
      <c r="U69" s="106"/>
      <c r="V69" s="106"/>
      <c r="W69" s="106"/>
      <c r="X69" s="106"/>
      <c r="Y69" s="106"/>
      <c r="Z69" s="106" t="s">
        <v>73</v>
      </c>
      <c r="AA69" s="106"/>
      <c r="AB69" s="106" t="s">
        <v>79</v>
      </c>
      <c r="AC69" s="37"/>
      <c r="AD69" s="5"/>
    </row>
    <row r="70" spans="1:30" s="23" customFormat="1" x14ac:dyDescent="0.3">
      <c r="A70" s="18"/>
      <c r="B70" s="38" t="s">
        <v>22</v>
      </c>
      <c r="C70" s="38"/>
      <c r="D70" s="38"/>
      <c r="E70" s="38"/>
      <c r="F70" s="38"/>
      <c r="G70" s="38"/>
      <c r="H70" s="38"/>
      <c r="I70" s="38"/>
      <c r="J70" s="38"/>
      <c r="K70" s="38"/>
      <c r="L70" s="38"/>
      <c r="M70" s="38"/>
      <c r="N70" s="38"/>
      <c r="O70" s="38"/>
      <c r="P70" s="38"/>
      <c r="Q70" s="38"/>
      <c r="R70" s="38"/>
      <c r="S70" s="38"/>
      <c r="T70" s="38"/>
      <c r="U70" s="38"/>
      <c r="V70" s="38"/>
      <c r="W70" s="38"/>
      <c r="X70" s="38"/>
      <c r="Y70" s="38"/>
      <c r="Z70" s="103">
        <v>0</v>
      </c>
      <c r="AA70" s="38"/>
      <c r="AB70" s="110">
        <v>0</v>
      </c>
      <c r="AC70" s="21"/>
      <c r="AD70" s="22"/>
    </row>
    <row r="71" spans="1:30" s="23" customFormat="1" x14ac:dyDescent="0.3">
      <c r="A71" s="48"/>
      <c r="B71" s="60" t="s">
        <v>355</v>
      </c>
      <c r="C71" s="60"/>
      <c r="D71" s="298"/>
      <c r="E71" s="73"/>
      <c r="F71" s="73"/>
      <c r="G71" s="111"/>
      <c r="H71" s="73"/>
      <c r="I71" s="41"/>
      <c r="J71" s="112"/>
      <c r="K71" s="41"/>
      <c r="L71" s="41"/>
      <c r="M71" s="41"/>
      <c r="N71" s="41"/>
      <c r="O71" s="41"/>
      <c r="P71" s="41"/>
      <c r="Q71" s="41"/>
      <c r="R71" s="41"/>
      <c r="S71" s="41"/>
      <c r="T71" s="41"/>
      <c r="U71" s="41"/>
      <c r="V71" s="41"/>
      <c r="W71" s="41"/>
      <c r="X71" s="41"/>
      <c r="Y71" s="41"/>
      <c r="Z71" s="241">
        <f>+R63</f>
        <v>2716</v>
      </c>
      <c r="AA71" s="41"/>
      <c r="AB71" s="101"/>
      <c r="AC71" s="44"/>
      <c r="AD71" s="22"/>
    </row>
    <row r="72" spans="1:30" s="23" customFormat="1" x14ac:dyDescent="0.3">
      <c r="A72" s="48"/>
      <c r="B72" s="41" t="s">
        <v>236</v>
      </c>
      <c r="C72" s="41"/>
      <c r="D72" s="73"/>
      <c r="E72" s="73"/>
      <c r="F72" s="73"/>
      <c r="G72" s="111"/>
      <c r="H72" s="73"/>
      <c r="I72" s="41"/>
      <c r="J72" s="112"/>
      <c r="K72" s="41"/>
      <c r="L72" s="41"/>
      <c r="M72" s="41"/>
      <c r="N72" s="41"/>
      <c r="O72" s="41"/>
      <c r="P72" s="41"/>
      <c r="Q72" s="41"/>
      <c r="R72" s="41"/>
      <c r="S72" s="41"/>
      <c r="T72" s="41"/>
      <c r="U72" s="41"/>
      <c r="V72" s="41"/>
      <c r="W72" s="41"/>
      <c r="X72" s="41"/>
      <c r="Y72" s="41"/>
      <c r="Z72" s="241">
        <v>0</v>
      </c>
      <c r="AA72" s="41"/>
      <c r="AB72" s="101"/>
      <c r="AC72" s="44"/>
      <c r="AD72" s="22"/>
    </row>
    <row r="73" spans="1:30" s="23" customFormat="1" x14ac:dyDescent="0.3">
      <c r="A73" s="48"/>
      <c r="B73" s="41" t="s">
        <v>233</v>
      </c>
      <c r="C73" s="41"/>
      <c r="D73" s="73"/>
      <c r="E73" s="73"/>
      <c r="F73" s="73"/>
      <c r="G73" s="111"/>
      <c r="H73" s="73"/>
      <c r="I73" s="41"/>
      <c r="J73" s="112"/>
      <c r="K73" s="41"/>
      <c r="L73" s="41"/>
      <c r="M73" s="41"/>
      <c r="N73" s="41"/>
      <c r="O73" s="41"/>
      <c r="P73" s="41"/>
      <c r="Q73" s="41"/>
      <c r="R73" s="41"/>
      <c r="S73" s="41"/>
      <c r="T73" s="41"/>
      <c r="U73" s="41"/>
      <c r="V73" s="41"/>
      <c r="W73" s="41"/>
      <c r="X73" s="41"/>
      <c r="Y73" s="41"/>
      <c r="Z73" s="241">
        <f>-X64</f>
        <v>0</v>
      </c>
      <c r="AA73" s="41"/>
      <c r="AB73" s="101"/>
      <c r="AC73" s="44"/>
      <c r="AD73" s="22"/>
    </row>
    <row r="74" spans="1:30" s="23" customFormat="1" x14ac:dyDescent="0.3">
      <c r="A74" s="48"/>
      <c r="B74" s="41" t="s">
        <v>232</v>
      </c>
      <c r="C74" s="41"/>
      <c r="D74" s="73"/>
      <c r="E74" s="73"/>
      <c r="F74" s="73"/>
      <c r="G74" s="111"/>
      <c r="H74" s="73"/>
      <c r="I74" s="41"/>
      <c r="J74" s="112"/>
      <c r="K74" s="41"/>
      <c r="L74" s="41"/>
      <c r="M74" s="41"/>
      <c r="N74" s="41"/>
      <c r="O74" s="41"/>
      <c r="P74" s="41"/>
      <c r="Q74" s="41"/>
      <c r="R74" s="41"/>
      <c r="S74" s="41"/>
      <c r="T74" s="41"/>
      <c r="U74" s="41"/>
      <c r="V74" s="41"/>
      <c r="W74" s="41"/>
      <c r="X74" s="41"/>
      <c r="Y74" s="41"/>
      <c r="Z74" s="241">
        <v>0</v>
      </c>
      <c r="AA74" s="41"/>
      <c r="AB74" s="101"/>
      <c r="AC74" s="44"/>
      <c r="AD74" s="22"/>
    </row>
    <row r="75" spans="1:30" s="23" customFormat="1" x14ac:dyDescent="0.3">
      <c r="A75" s="48"/>
      <c r="B75" s="41" t="s">
        <v>23</v>
      </c>
      <c r="C75" s="41"/>
      <c r="D75" s="73"/>
      <c r="E75" s="73"/>
      <c r="F75" s="73"/>
      <c r="G75" s="111"/>
      <c r="H75" s="73"/>
      <c r="I75" s="41"/>
      <c r="J75" s="112"/>
      <c r="K75" s="41"/>
      <c r="L75" s="41"/>
      <c r="M75" s="41"/>
      <c r="N75" s="41"/>
      <c r="O75" s="41"/>
      <c r="P75" s="41"/>
      <c r="Q75" s="41"/>
      <c r="R75" s="41"/>
      <c r="S75" s="41"/>
      <c r="T75" s="41"/>
      <c r="U75" s="41"/>
      <c r="V75" s="41"/>
      <c r="W75" s="41"/>
      <c r="X75" s="41"/>
      <c r="Y75" s="41"/>
      <c r="Z75" s="241">
        <f>+T57+V57+Z57-5</f>
        <v>14678</v>
      </c>
      <c r="AA75" s="41"/>
      <c r="AB75" s="101"/>
      <c r="AC75" s="44"/>
      <c r="AD75" s="22"/>
    </row>
    <row r="76" spans="1:30" s="23" customFormat="1" x14ac:dyDescent="0.3">
      <c r="A76" s="48"/>
      <c r="B76" s="41" t="s">
        <v>115</v>
      </c>
      <c r="C76" s="41"/>
      <c r="D76" s="73"/>
      <c r="E76" s="73"/>
      <c r="F76" s="73"/>
      <c r="G76" s="111"/>
      <c r="H76" s="73"/>
      <c r="I76" s="41"/>
      <c r="J76" s="112"/>
      <c r="K76" s="41"/>
      <c r="L76" s="41"/>
      <c r="M76" s="41"/>
      <c r="N76" s="41"/>
      <c r="O76" s="41"/>
      <c r="P76" s="41"/>
      <c r="Q76" s="41"/>
      <c r="R76" s="41"/>
      <c r="S76" s="41"/>
      <c r="T76" s="41"/>
      <c r="U76" s="41"/>
      <c r="V76" s="41"/>
      <c r="W76" s="41"/>
      <c r="X76" s="41"/>
      <c r="Y76" s="41"/>
      <c r="Z76" s="241"/>
      <c r="AA76" s="41"/>
      <c r="AB76" s="101">
        <f>1416+5047-353-899</f>
        <v>5211</v>
      </c>
      <c r="AC76" s="44"/>
      <c r="AD76" s="22"/>
    </row>
    <row r="77" spans="1:30" s="23" customFormat="1" x14ac:dyDescent="0.3">
      <c r="A77" s="48"/>
      <c r="B77" s="41" t="s">
        <v>113</v>
      </c>
      <c r="C77" s="41"/>
      <c r="D77" s="73"/>
      <c r="E77" s="73"/>
      <c r="F77" s="73"/>
      <c r="G77" s="111"/>
      <c r="H77" s="73"/>
      <c r="I77" s="41"/>
      <c r="J77" s="112"/>
      <c r="K77" s="41"/>
      <c r="L77" s="41"/>
      <c r="M77" s="41"/>
      <c r="N77" s="41"/>
      <c r="O77" s="41"/>
      <c r="P77" s="41"/>
      <c r="Q77" s="41"/>
      <c r="R77" s="41"/>
      <c r="S77" s="41"/>
      <c r="T77" s="41"/>
      <c r="U77" s="41"/>
      <c r="V77" s="41"/>
      <c r="W77" s="41"/>
      <c r="X77" s="41"/>
      <c r="Y77" s="41"/>
      <c r="Z77" s="241"/>
      <c r="AA77" s="41"/>
      <c r="AB77" s="101">
        <f>26+97</f>
        <v>123</v>
      </c>
      <c r="AC77" s="44"/>
      <c r="AD77" s="22"/>
    </row>
    <row r="78" spans="1:30" s="23" customFormat="1" x14ac:dyDescent="0.3">
      <c r="A78" s="48"/>
      <c r="B78" s="41" t="s">
        <v>114</v>
      </c>
      <c r="C78" s="41"/>
      <c r="D78" s="73"/>
      <c r="E78" s="73"/>
      <c r="F78" s="73"/>
      <c r="G78" s="111"/>
      <c r="H78" s="73"/>
      <c r="I78" s="41"/>
      <c r="J78" s="112"/>
      <c r="K78" s="41"/>
      <c r="L78" s="41"/>
      <c r="M78" s="41"/>
      <c r="N78" s="41"/>
      <c r="O78" s="41"/>
      <c r="P78" s="41"/>
      <c r="Q78" s="41"/>
      <c r="R78" s="41"/>
      <c r="S78" s="41"/>
      <c r="T78" s="41"/>
      <c r="U78" s="41"/>
      <c r="V78" s="41"/>
      <c r="W78" s="41"/>
      <c r="X78" s="41"/>
      <c r="Y78" s="41"/>
      <c r="Z78" s="241"/>
      <c r="AA78" s="41"/>
      <c r="AB78" s="101">
        <v>20</v>
      </c>
      <c r="AC78" s="44"/>
      <c r="AD78" s="22"/>
    </row>
    <row r="79" spans="1:30" s="23" customFormat="1" x14ac:dyDescent="0.3">
      <c r="A79" s="48"/>
      <c r="B79" s="41" t="s">
        <v>120</v>
      </c>
      <c r="C79" s="41"/>
      <c r="D79" s="73"/>
      <c r="E79" s="73"/>
      <c r="F79" s="73"/>
      <c r="G79" s="111"/>
      <c r="H79" s="73"/>
      <c r="I79" s="41"/>
      <c r="J79" s="112"/>
      <c r="K79" s="41"/>
      <c r="L79" s="41"/>
      <c r="M79" s="41"/>
      <c r="N79" s="41"/>
      <c r="O79" s="41"/>
      <c r="P79" s="41"/>
      <c r="Q79" s="41"/>
      <c r="R79" s="41"/>
      <c r="S79" s="41"/>
      <c r="T79" s="41"/>
      <c r="U79" s="41"/>
      <c r="V79" s="41"/>
      <c r="W79" s="41"/>
      <c r="X79" s="41"/>
      <c r="Y79" s="41"/>
      <c r="Z79" s="241"/>
      <c r="AA79" s="41"/>
      <c r="AB79" s="101">
        <v>0</v>
      </c>
      <c r="AC79" s="44"/>
      <c r="AD79" s="22"/>
    </row>
    <row r="80" spans="1:30" s="23" customFormat="1" x14ac:dyDescent="0.3">
      <c r="A80" s="48"/>
      <c r="B80" s="60" t="s">
        <v>250</v>
      </c>
      <c r="C80" s="41"/>
      <c r="D80" s="73"/>
      <c r="E80" s="73"/>
      <c r="F80" s="73"/>
      <c r="G80" s="111"/>
      <c r="H80" s="73"/>
      <c r="I80" s="41"/>
      <c r="J80" s="112"/>
      <c r="K80" s="41"/>
      <c r="L80" s="41"/>
      <c r="M80" s="41"/>
      <c r="N80" s="41"/>
      <c r="O80" s="41"/>
      <c r="P80" s="41"/>
      <c r="Q80" s="41"/>
      <c r="R80" s="41"/>
      <c r="S80" s="41"/>
      <c r="T80" s="41"/>
      <c r="U80" s="41"/>
      <c r="V80" s="41"/>
      <c r="W80" s="41"/>
      <c r="X80" s="41"/>
      <c r="Y80" s="41"/>
      <c r="Z80" s="241"/>
      <c r="AA80" s="41"/>
      <c r="AB80" s="101">
        <v>260</v>
      </c>
      <c r="AC80" s="44"/>
      <c r="AD80" s="22"/>
    </row>
    <row r="81" spans="1:30" s="23" customFormat="1" x14ac:dyDescent="0.3">
      <c r="A81" s="48"/>
      <c r="B81" s="60" t="s">
        <v>251</v>
      </c>
      <c r="C81" s="41"/>
      <c r="D81" s="73"/>
      <c r="E81" s="73"/>
      <c r="F81" s="73"/>
      <c r="G81" s="111"/>
      <c r="H81" s="73"/>
      <c r="I81" s="41"/>
      <c r="J81" s="112"/>
      <c r="K81" s="41"/>
      <c r="L81" s="41"/>
      <c r="M81" s="41"/>
      <c r="N81" s="41"/>
      <c r="O81" s="41"/>
      <c r="P81" s="41"/>
      <c r="Q81" s="41"/>
      <c r="R81" s="41"/>
      <c r="S81" s="41"/>
      <c r="T81" s="41"/>
      <c r="U81" s="41"/>
      <c r="V81" s="41"/>
      <c r="W81" s="41"/>
      <c r="X81" s="41"/>
      <c r="Y81" s="41"/>
      <c r="Z81" s="241"/>
      <c r="AA81" s="41"/>
      <c r="AB81" s="101">
        <v>0</v>
      </c>
      <c r="AC81" s="44"/>
      <c r="AD81" s="22"/>
    </row>
    <row r="82" spans="1:30" s="23" customFormat="1" x14ac:dyDescent="0.3">
      <c r="A82" s="48"/>
      <c r="B82" s="41" t="s">
        <v>260</v>
      </c>
      <c r="C82" s="41"/>
      <c r="D82" s="73"/>
      <c r="E82" s="73"/>
      <c r="F82" s="73"/>
      <c r="G82" s="111"/>
      <c r="H82" s="73"/>
      <c r="I82" s="41"/>
      <c r="J82" s="112"/>
      <c r="K82" s="41"/>
      <c r="L82" s="41"/>
      <c r="M82" s="41"/>
      <c r="N82" s="41"/>
      <c r="O82" s="41"/>
      <c r="P82" s="41"/>
      <c r="Q82" s="41"/>
      <c r="R82" s="41"/>
      <c r="S82" s="41"/>
      <c r="T82" s="41"/>
      <c r="U82" s="41"/>
      <c r="V82" s="41"/>
      <c r="W82" s="41"/>
      <c r="X82" s="41"/>
      <c r="Y82" s="41"/>
      <c r="Z82" s="241"/>
      <c r="AA82" s="41"/>
      <c r="AB82" s="101">
        <f>+AB171</f>
        <v>0</v>
      </c>
      <c r="AC82" s="44"/>
      <c r="AD82" s="22"/>
    </row>
    <row r="83" spans="1:30" s="23" customFormat="1" x14ac:dyDescent="0.3">
      <c r="A83" s="48"/>
      <c r="B83" s="41" t="s">
        <v>276</v>
      </c>
      <c r="C83" s="41"/>
      <c r="D83" s="73"/>
      <c r="E83" s="73"/>
      <c r="F83" s="73"/>
      <c r="G83" s="111"/>
      <c r="H83" s="73"/>
      <c r="I83" s="41"/>
      <c r="J83" s="112"/>
      <c r="K83" s="41"/>
      <c r="L83" s="41"/>
      <c r="M83" s="41"/>
      <c r="N83" s="41"/>
      <c r="O83" s="41"/>
      <c r="P83" s="41"/>
      <c r="Q83" s="41"/>
      <c r="R83" s="41"/>
      <c r="S83" s="41"/>
      <c r="T83" s="41"/>
      <c r="U83" s="41"/>
      <c r="V83" s="41"/>
      <c r="W83" s="41"/>
      <c r="X83" s="41"/>
      <c r="Y83" s="41"/>
      <c r="Z83" s="241"/>
      <c r="AA83" s="41"/>
      <c r="AB83" s="101">
        <v>0</v>
      </c>
      <c r="AC83" s="44"/>
      <c r="AD83" s="22"/>
    </row>
    <row r="84" spans="1:30" s="23" customFormat="1" x14ac:dyDescent="0.3">
      <c r="A84" s="48"/>
      <c r="B84" s="60" t="s">
        <v>261</v>
      </c>
      <c r="C84" s="41"/>
      <c r="D84" s="73"/>
      <c r="E84" s="73"/>
      <c r="F84" s="73"/>
      <c r="G84" s="111"/>
      <c r="H84" s="73"/>
      <c r="I84" s="41"/>
      <c r="J84" s="112"/>
      <c r="K84" s="41"/>
      <c r="L84" s="41"/>
      <c r="M84" s="41"/>
      <c r="N84" s="41"/>
      <c r="O84" s="41"/>
      <c r="P84" s="41"/>
      <c r="Q84" s="41"/>
      <c r="R84" s="41"/>
      <c r="S84" s="41"/>
      <c r="T84" s="41"/>
      <c r="U84" s="41"/>
      <c r="V84" s="41"/>
      <c r="W84" s="41"/>
      <c r="X84" s="41"/>
      <c r="Y84" s="41"/>
      <c r="Z84" s="241"/>
      <c r="AA84" s="41"/>
      <c r="AB84" s="101">
        <v>1747</v>
      </c>
      <c r="AC84" s="44"/>
      <c r="AD84" s="22"/>
    </row>
    <row r="85" spans="1:30" s="23" customFormat="1" x14ac:dyDescent="0.3">
      <c r="A85" s="48"/>
      <c r="B85" s="41" t="s">
        <v>24</v>
      </c>
      <c r="C85" s="41"/>
      <c r="D85" s="41"/>
      <c r="E85" s="41"/>
      <c r="F85" s="41"/>
      <c r="G85" s="41"/>
      <c r="H85" s="41"/>
      <c r="I85" s="41"/>
      <c r="J85" s="41"/>
      <c r="K85" s="41"/>
      <c r="L85" s="41"/>
      <c r="M85" s="41"/>
      <c r="N85" s="41"/>
      <c r="O85" s="41"/>
      <c r="P85" s="41"/>
      <c r="Q85" s="41"/>
      <c r="R85" s="41"/>
      <c r="S85" s="41"/>
      <c r="T85" s="41"/>
      <c r="U85" s="41"/>
      <c r="V85" s="41"/>
      <c r="W85" s="41"/>
      <c r="X85" s="41"/>
      <c r="Y85" s="41"/>
      <c r="Z85" s="241">
        <f>SUM(Z70:Z84)</f>
        <v>17394</v>
      </c>
      <c r="AA85" s="41"/>
      <c r="AB85" s="100">
        <f>SUM(AB70:AB84)</f>
        <v>7361</v>
      </c>
      <c r="AC85" s="44"/>
      <c r="AD85" s="22"/>
    </row>
    <row r="86" spans="1:30" s="23" customFormat="1" x14ac:dyDescent="0.3">
      <c r="A86" s="48"/>
      <c r="B86" s="41" t="s">
        <v>25</v>
      </c>
      <c r="C86" s="41"/>
      <c r="D86" s="41"/>
      <c r="E86" s="41"/>
      <c r="F86" s="41"/>
      <c r="G86" s="41"/>
      <c r="H86" s="41"/>
      <c r="I86" s="41"/>
      <c r="J86" s="41"/>
      <c r="K86" s="41"/>
      <c r="L86" s="41"/>
      <c r="M86" s="41"/>
      <c r="N86" s="41"/>
      <c r="O86" s="41"/>
      <c r="P86" s="41"/>
      <c r="Q86" s="41"/>
      <c r="R86" s="41"/>
      <c r="S86" s="41"/>
      <c r="T86" s="41"/>
      <c r="U86" s="41"/>
      <c r="V86" s="41"/>
      <c r="W86" s="41"/>
      <c r="X86" s="41"/>
      <c r="Y86" s="41"/>
      <c r="Z86" s="241">
        <f>-AB86</f>
        <v>0</v>
      </c>
      <c r="AA86" s="41"/>
      <c r="AB86" s="101">
        <v>0</v>
      </c>
      <c r="AC86" s="44"/>
      <c r="AD86" s="22"/>
    </row>
    <row r="87" spans="1:30" s="23" customFormat="1" x14ac:dyDescent="0.3">
      <c r="A87" s="48"/>
      <c r="B87" s="41" t="s">
        <v>124</v>
      </c>
      <c r="C87" s="41"/>
      <c r="D87" s="41"/>
      <c r="E87" s="41"/>
      <c r="F87" s="41"/>
      <c r="G87" s="41"/>
      <c r="H87" s="41"/>
      <c r="I87" s="41"/>
      <c r="J87" s="41"/>
      <c r="K87" s="41"/>
      <c r="L87" s="41"/>
      <c r="M87" s="41"/>
      <c r="N87" s="41"/>
      <c r="O87" s="41"/>
      <c r="P87" s="41"/>
      <c r="Q87" s="41"/>
      <c r="R87" s="41"/>
      <c r="S87" s="41"/>
      <c r="T87" s="41"/>
      <c r="U87" s="41"/>
      <c r="V87" s="41"/>
      <c r="W87" s="41"/>
      <c r="X87" s="41"/>
      <c r="Y87" s="41"/>
      <c r="Z87" s="241"/>
      <c r="AA87" s="41"/>
      <c r="AB87" s="101">
        <v>0</v>
      </c>
      <c r="AC87" s="44"/>
      <c r="AD87" s="22"/>
    </row>
    <row r="88" spans="1:30" s="23" customFormat="1" x14ac:dyDescent="0.3">
      <c r="A88" s="48"/>
      <c r="B88" s="41" t="s">
        <v>26</v>
      </c>
      <c r="C88" s="41"/>
      <c r="D88" s="41"/>
      <c r="E88" s="41"/>
      <c r="F88" s="41"/>
      <c r="G88" s="41"/>
      <c r="H88" s="41"/>
      <c r="I88" s="41"/>
      <c r="J88" s="41"/>
      <c r="K88" s="41"/>
      <c r="L88" s="41"/>
      <c r="M88" s="41"/>
      <c r="N88" s="41"/>
      <c r="O88" s="41"/>
      <c r="P88" s="41"/>
      <c r="Q88" s="41"/>
      <c r="R88" s="41"/>
      <c r="S88" s="41"/>
      <c r="T88" s="41"/>
      <c r="U88" s="41"/>
      <c r="V88" s="41"/>
      <c r="W88" s="41"/>
      <c r="X88" s="41"/>
      <c r="Y88" s="41"/>
      <c r="Z88" s="241">
        <f>Z85+Z86</f>
        <v>17394</v>
      </c>
      <c r="AA88" s="41"/>
      <c r="AB88" s="100">
        <f>AB85+AB86+AB87</f>
        <v>7361</v>
      </c>
      <c r="AC88" s="44"/>
      <c r="AD88" s="22"/>
    </row>
    <row r="89" spans="1:30" x14ac:dyDescent="0.3">
      <c r="A89" s="113"/>
      <c r="B89" s="114" t="s">
        <v>27</v>
      </c>
      <c r="C89" s="60"/>
      <c r="D89" s="60"/>
      <c r="E89" s="60"/>
      <c r="F89" s="60"/>
      <c r="G89" s="60"/>
      <c r="H89" s="60"/>
      <c r="I89" s="60"/>
      <c r="J89" s="60"/>
      <c r="K89" s="60"/>
      <c r="L89" s="60"/>
      <c r="M89" s="60"/>
      <c r="N89" s="60"/>
      <c r="O89" s="60"/>
      <c r="P89" s="60"/>
      <c r="Q89" s="60"/>
      <c r="R89" s="60"/>
      <c r="S89" s="60"/>
      <c r="T89" s="60"/>
      <c r="U89" s="60"/>
      <c r="V89" s="60"/>
      <c r="W89" s="60"/>
      <c r="X89" s="60"/>
      <c r="Y89" s="60"/>
      <c r="Z89" s="241"/>
      <c r="AA89" s="115"/>
      <c r="AB89" s="116"/>
      <c r="AC89" s="117"/>
      <c r="AD89" s="5"/>
    </row>
    <row r="90" spans="1:30" x14ac:dyDescent="0.3">
      <c r="A90" s="113">
        <v>1</v>
      </c>
      <c r="B90" s="60" t="s">
        <v>138</v>
      </c>
      <c r="C90" s="60"/>
      <c r="D90" s="60"/>
      <c r="E90" s="60"/>
      <c r="F90" s="60"/>
      <c r="G90" s="60"/>
      <c r="H90" s="60"/>
      <c r="I90" s="60"/>
      <c r="J90" s="60"/>
      <c r="K90" s="60"/>
      <c r="L90" s="60"/>
      <c r="M90" s="60"/>
      <c r="N90" s="60"/>
      <c r="O90" s="60"/>
      <c r="P90" s="60"/>
      <c r="Q90" s="60"/>
      <c r="R90" s="60"/>
      <c r="S90" s="60"/>
      <c r="T90" s="60"/>
      <c r="U90" s="60"/>
      <c r="V90" s="60"/>
      <c r="W90" s="60"/>
      <c r="X90" s="60"/>
      <c r="Y90" s="60"/>
      <c r="Z90" s="241"/>
      <c r="AA90" s="115"/>
      <c r="AB90" s="101">
        <v>0</v>
      </c>
      <c r="AC90" s="117"/>
      <c r="AD90" s="5"/>
    </row>
    <row r="91" spans="1:30" x14ac:dyDescent="0.3">
      <c r="A91" s="113">
        <v>2</v>
      </c>
      <c r="B91" s="60" t="s">
        <v>201</v>
      </c>
      <c r="C91" s="60"/>
      <c r="D91" s="60"/>
      <c r="E91" s="60"/>
      <c r="F91" s="60"/>
      <c r="G91" s="60"/>
      <c r="H91" s="60"/>
      <c r="I91" s="60"/>
      <c r="J91" s="60"/>
      <c r="K91" s="60"/>
      <c r="L91" s="60"/>
      <c r="M91" s="60"/>
      <c r="N91" s="60"/>
      <c r="O91" s="60"/>
      <c r="P91" s="60"/>
      <c r="Q91" s="60"/>
      <c r="R91" s="60"/>
      <c r="S91" s="60"/>
      <c r="T91" s="60"/>
      <c r="U91" s="60"/>
      <c r="V91" s="60"/>
      <c r="W91" s="60"/>
      <c r="X91" s="60"/>
      <c r="Y91" s="60"/>
      <c r="Z91" s="241"/>
      <c r="AA91" s="115"/>
      <c r="AB91" s="101">
        <v>-2</v>
      </c>
      <c r="AC91" s="117"/>
      <c r="AD91" s="5"/>
    </row>
    <row r="92" spans="1:30" x14ac:dyDescent="0.3">
      <c r="A92" s="113">
        <v>3</v>
      </c>
      <c r="B92" s="60" t="s">
        <v>277</v>
      </c>
      <c r="C92" s="60"/>
      <c r="D92" s="60"/>
      <c r="E92" s="60"/>
      <c r="F92" s="60"/>
      <c r="G92" s="60"/>
      <c r="H92" s="60"/>
      <c r="I92" s="60"/>
      <c r="J92" s="60"/>
      <c r="K92" s="60"/>
      <c r="L92" s="60"/>
      <c r="M92" s="60"/>
      <c r="N92" s="60"/>
      <c r="O92" s="60"/>
      <c r="P92" s="60"/>
      <c r="Q92" s="60"/>
      <c r="R92" s="60"/>
      <c r="S92" s="60"/>
      <c r="T92" s="60"/>
      <c r="U92" s="60"/>
      <c r="V92" s="60"/>
      <c r="W92" s="60"/>
      <c r="X92" s="60"/>
      <c r="Y92" s="60"/>
      <c r="Z92" s="241"/>
      <c r="AA92" s="115"/>
      <c r="AB92" s="101">
        <f>-318-23-7</f>
        <v>-348</v>
      </c>
      <c r="AC92" s="117"/>
      <c r="AD92" s="5"/>
    </row>
    <row r="93" spans="1:30" x14ac:dyDescent="0.3">
      <c r="A93" s="113">
        <v>4</v>
      </c>
      <c r="B93" s="60" t="s">
        <v>82</v>
      </c>
      <c r="C93" s="60"/>
      <c r="D93" s="60"/>
      <c r="E93" s="60"/>
      <c r="F93" s="60"/>
      <c r="G93" s="60"/>
      <c r="H93" s="60"/>
      <c r="I93" s="60"/>
      <c r="J93" s="60"/>
      <c r="K93" s="60"/>
      <c r="L93" s="60"/>
      <c r="M93" s="60"/>
      <c r="N93" s="60"/>
      <c r="O93" s="60"/>
      <c r="P93" s="60"/>
      <c r="Q93" s="60"/>
      <c r="R93" s="60"/>
      <c r="S93" s="60"/>
      <c r="T93" s="60"/>
      <c r="U93" s="60"/>
      <c r="V93" s="60"/>
      <c r="W93" s="60"/>
      <c r="X93" s="60"/>
      <c r="Y93" s="60"/>
      <c r="Z93" s="241"/>
      <c r="AA93" s="115"/>
      <c r="AB93" s="101">
        <v>-805</v>
      </c>
      <c r="AC93" s="117"/>
      <c r="AD93" s="5"/>
    </row>
    <row r="94" spans="1:30" x14ac:dyDescent="0.3">
      <c r="A94" s="113">
        <v>5</v>
      </c>
      <c r="B94" s="60" t="s">
        <v>129</v>
      </c>
      <c r="C94" s="60"/>
      <c r="D94" s="60"/>
      <c r="E94" s="60"/>
      <c r="F94" s="60"/>
      <c r="G94" s="60"/>
      <c r="H94" s="60"/>
      <c r="I94" s="60"/>
      <c r="J94" s="60"/>
      <c r="K94" s="60"/>
      <c r="L94" s="60"/>
      <c r="M94" s="60"/>
      <c r="N94" s="60"/>
      <c r="O94" s="60"/>
      <c r="P94" s="60"/>
      <c r="Q94" s="60"/>
      <c r="R94" s="60"/>
      <c r="S94" s="60"/>
      <c r="T94" s="60"/>
      <c r="U94" s="60"/>
      <c r="V94" s="60"/>
      <c r="W94" s="60"/>
      <c r="X94" s="60"/>
      <c r="Y94" s="60"/>
      <c r="Z94" s="241"/>
      <c r="AA94" s="115"/>
      <c r="AB94" s="101">
        <v>-1278</v>
      </c>
      <c r="AC94" s="117"/>
      <c r="AD94" s="5"/>
    </row>
    <row r="95" spans="1:30" x14ac:dyDescent="0.3">
      <c r="A95" s="113">
        <v>6</v>
      </c>
      <c r="B95" s="60" t="s">
        <v>150</v>
      </c>
      <c r="C95" s="60"/>
      <c r="D95" s="60"/>
      <c r="E95" s="60"/>
      <c r="F95" s="60"/>
      <c r="G95" s="60"/>
      <c r="H95" s="60"/>
      <c r="I95" s="60"/>
      <c r="J95" s="60"/>
      <c r="K95" s="60"/>
      <c r="L95" s="60"/>
      <c r="M95" s="60"/>
      <c r="N95" s="60"/>
      <c r="O95" s="60"/>
      <c r="P95" s="60"/>
      <c r="Q95" s="60"/>
      <c r="R95" s="60"/>
      <c r="S95" s="60"/>
      <c r="T95" s="60"/>
      <c r="U95" s="60"/>
      <c r="V95" s="60"/>
      <c r="W95" s="60"/>
      <c r="X95" s="60"/>
      <c r="Y95" s="60"/>
      <c r="Z95" s="241"/>
      <c r="AA95" s="115"/>
      <c r="AB95" s="101">
        <v>-107</v>
      </c>
      <c r="AC95" s="117"/>
      <c r="AD95" s="5"/>
    </row>
    <row r="96" spans="1:30" x14ac:dyDescent="0.3">
      <c r="A96" s="113">
        <v>7</v>
      </c>
      <c r="B96" s="60" t="s">
        <v>215</v>
      </c>
      <c r="C96" s="60"/>
      <c r="D96" s="60"/>
      <c r="E96" s="60"/>
      <c r="F96" s="60"/>
      <c r="G96" s="60"/>
      <c r="H96" s="60"/>
      <c r="I96" s="60"/>
      <c r="J96" s="60"/>
      <c r="K96" s="60"/>
      <c r="L96" s="60"/>
      <c r="M96" s="60"/>
      <c r="N96" s="60"/>
      <c r="O96" s="60"/>
      <c r="P96" s="60"/>
      <c r="Q96" s="60"/>
      <c r="R96" s="60"/>
      <c r="S96" s="60"/>
      <c r="T96" s="60"/>
      <c r="U96" s="60"/>
      <c r="V96" s="60"/>
      <c r="W96" s="60"/>
      <c r="X96" s="60"/>
      <c r="Y96" s="60"/>
      <c r="Z96" s="241"/>
      <c r="AA96" s="115"/>
      <c r="AB96" s="101">
        <v>0</v>
      </c>
      <c r="AC96" s="117"/>
      <c r="AD96" s="5"/>
    </row>
    <row r="97" spans="1:30" x14ac:dyDescent="0.3">
      <c r="A97" s="113">
        <v>8</v>
      </c>
      <c r="B97" s="60" t="s">
        <v>151</v>
      </c>
      <c r="C97" s="60"/>
      <c r="D97" s="60"/>
      <c r="E97" s="60"/>
      <c r="F97" s="60"/>
      <c r="G97" s="60"/>
      <c r="H97" s="60"/>
      <c r="I97" s="60"/>
      <c r="J97" s="60"/>
      <c r="K97" s="60"/>
      <c r="L97" s="60"/>
      <c r="M97" s="60"/>
      <c r="N97" s="60"/>
      <c r="O97" s="60"/>
      <c r="P97" s="60"/>
      <c r="Q97" s="60"/>
      <c r="R97" s="60"/>
      <c r="S97" s="60"/>
      <c r="T97" s="60"/>
      <c r="U97" s="60"/>
      <c r="V97" s="60"/>
      <c r="W97" s="60"/>
      <c r="X97" s="60"/>
      <c r="Y97" s="60"/>
      <c r="Z97" s="241"/>
      <c r="AA97" s="115"/>
      <c r="AB97" s="101">
        <v>-123</v>
      </c>
      <c r="AC97" s="117"/>
      <c r="AD97" s="5"/>
    </row>
    <row r="98" spans="1:30" x14ac:dyDescent="0.3">
      <c r="A98" s="113">
        <v>9</v>
      </c>
      <c r="B98" s="60" t="s">
        <v>187</v>
      </c>
      <c r="C98" s="60"/>
      <c r="D98" s="60"/>
      <c r="E98" s="60"/>
      <c r="F98" s="60"/>
      <c r="G98" s="60"/>
      <c r="H98" s="60"/>
      <c r="I98" s="60"/>
      <c r="J98" s="60"/>
      <c r="K98" s="60"/>
      <c r="L98" s="60"/>
      <c r="M98" s="60"/>
      <c r="N98" s="60"/>
      <c r="O98" s="60"/>
      <c r="P98" s="60"/>
      <c r="Q98" s="60"/>
      <c r="R98" s="60"/>
      <c r="S98" s="60"/>
      <c r="T98" s="60"/>
      <c r="U98" s="60"/>
      <c r="V98" s="60"/>
      <c r="W98" s="60"/>
      <c r="X98" s="60"/>
      <c r="Y98" s="60"/>
      <c r="Z98" s="241"/>
      <c r="AA98" s="115"/>
      <c r="AB98" s="101">
        <v>-120</v>
      </c>
      <c r="AC98" s="117"/>
      <c r="AD98" s="5"/>
    </row>
    <row r="99" spans="1:30" x14ac:dyDescent="0.3">
      <c r="A99" s="113">
        <v>10</v>
      </c>
      <c r="B99" s="60" t="s">
        <v>130</v>
      </c>
      <c r="C99" s="60"/>
      <c r="D99" s="60"/>
      <c r="E99" s="60"/>
      <c r="F99" s="60"/>
      <c r="G99" s="60"/>
      <c r="H99" s="60"/>
      <c r="I99" s="60"/>
      <c r="J99" s="60"/>
      <c r="K99" s="60"/>
      <c r="L99" s="60"/>
      <c r="M99" s="60"/>
      <c r="N99" s="60"/>
      <c r="O99" s="60"/>
      <c r="P99" s="60"/>
      <c r="Q99" s="60"/>
      <c r="R99" s="60"/>
      <c r="S99" s="60"/>
      <c r="T99" s="60"/>
      <c r="U99" s="60"/>
      <c r="V99" s="60"/>
      <c r="W99" s="60"/>
      <c r="X99" s="60"/>
      <c r="Y99" s="60"/>
      <c r="Z99" s="241"/>
      <c r="AA99" s="115"/>
      <c r="AB99" s="101">
        <v>0</v>
      </c>
      <c r="AC99" s="117"/>
      <c r="AD99" s="5"/>
    </row>
    <row r="100" spans="1:30" x14ac:dyDescent="0.3">
      <c r="A100" s="113">
        <v>11</v>
      </c>
      <c r="B100" s="60" t="s">
        <v>214</v>
      </c>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241"/>
      <c r="AA100" s="115"/>
      <c r="AB100" s="101">
        <v>0</v>
      </c>
      <c r="AC100" s="117"/>
      <c r="AD100" s="5"/>
    </row>
    <row r="101" spans="1:30" x14ac:dyDescent="0.3">
      <c r="A101" s="113">
        <v>12</v>
      </c>
      <c r="B101" s="60" t="s">
        <v>33</v>
      </c>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241">
        <f>-AB101</f>
        <v>5</v>
      </c>
      <c r="AA101" s="115"/>
      <c r="AB101" s="101">
        <v>-5</v>
      </c>
      <c r="AC101" s="117"/>
      <c r="AD101" s="5"/>
    </row>
    <row r="102" spans="1:30" x14ac:dyDescent="0.3">
      <c r="A102" s="113">
        <v>13</v>
      </c>
      <c r="B102" s="60" t="s">
        <v>312</v>
      </c>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241"/>
      <c r="AA102" s="115"/>
      <c r="AB102" s="101">
        <v>0</v>
      </c>
      <c r="AC102" s="117"/>
      <c r="AD102" s="5"/>
    </row>
    <row r="103" spans="1:30" x14ac:dyDescent="0.3">
      <c r="A103" s="113">
        <v>14</v>
      </c>
      <c r="B103" s="60" t="s">
        <v>313</v>
      </c>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241"/>
      <c r="AA103" s="115"/>
      <c r="AB103" s="101">
        <v>-750</v>
      </c>
      <c r="AC103" s="117"/>
      <c r="AD103" s="5"/>
    </row>
    <row r="104" spans="1:30" x14ac:dyDescent="0.3">
      <c r="A104" s="113">
        <v>15</v>
      </c>
      <c r="B104" s="60" t="s">
        <v>28</v>
      </c>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241"/>
      <c r="AA104" s="115"/>
      <c r="AB104" s="101">
        <v>-18</v>
      </c>
      <c r="AC104" s="117"/>
      <c r="AD104" s="5"/>
    </row>
    <row r="105" spans="1:30" x14ac:dyDescent="0.3">
      <c r="A105" s="113">
        <v>16</v>
      </c>
      <c r="B105" s="60" t="s">
        <v>118</v>
      </c>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241"/>
      <c r="AA105" s="115"/>
      <c r="AB105" s="101">
        <v>0</v>
      </c>
      <c r="AC105" s="117"/>
      <c r="AD105" s="5"/>
    </row>
    <row r="106" spans="1:30" x14ac:dyDescent="0.3">
      <c r="A106" s="113">
        <v>17</v>
      </c>
      <c r="B106" s="60" t="s">
        <v>202</v>
      </c>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241"/>
      <c r="AA106" s="115"/>
      <c r="AB106" s="101">
        <v>0</v>
      </c>
      <c r="AC106" s="117"/>
      <c r="AD106" s="5"/>
    </row>
    <row r="107" spans="1:30" x14ac:dyDescent="0.3">
      <c r="A107" s="113">
        <v>18</v>
      </c>
      <c r="B107" s="60" t="s">
        <v>163</v>
      </c>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241"/>
      <c r="AA107" s="115"/>
      <c r="AB107" s="101">
        <v>-131</v>
      </c>
      <c r="AC107" s="117"/>
      <c r="AD107" s="5"/>
    </row>
    <row r="108" spans="1:30" x14ac:dyDescent="0.3">
      <c r="A108" s="113">
        <v>19</v>
      </c>
      <c r="B108" s="60" t="s">
        <v>298</v>
      </c>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241"/>
      <c r="AA108" s="115"/>
      <c r="AB108" s="101">
        <v>-105</v>
      </c>
      <c r="AC108" s="117"/>
      <c r="AD108" s="5"/>
    </row>
    <row r="109" spans="1:30" x14ac:dyDescent="0.3">
      <c r="A109" s="113">
        <v>20</v>
      </c>
      <c r="B109" s="60" t="s">
        <v>299</v>
      </c>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241"/>
      <c r="AA109" s="115"/>
      <c r="AB109" s="101">
        <v>-260</v>
      </c>
      <c r="AC109" s="117"/>
      <c r="AD109" s="5"/>
    </row>
    <row r="110" spans="1:30" x14ac:dyDescent="0.3">
      <c r="A110" s="113">
        <v>21</v>
      </c>
      <c r="B110" s="60" t="s">
        <v>300</v>
      </c>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241"/>
      <c r="AA110" s="115"/>
      <c r="AB110" s="101">
        <v>0</v>
      </c>
      <c r="AC110" s="117"/>
      <c r="AD110" s="5"/>
    </row>
    <row r="111" spans="1:30" x14ac:dyDescent="0.3">
      <c r="A111" s="113">
        <v>22</v>
      </c>
      <c r="B111" s="60" t="s">
        <v>301</v>
      </c>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241"/>
      <c r="AA111" s="115"/>
      <c r="AB111" s="101">
        <v>0</v>
      </c>
      <c r="AC111" s="117"/>
      <c r="AD111" s="5"/>
    </row>
    <row r="112" spans="1:30" x14ac:dyDescent="0.3">
      <c r="A112" s="113">
        <v>23</v>
      </c>
      <c r="B112" s="60" t="s">
        <v>131</v>
      </c>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241"/>
      <c r="AA112" s="115"/>
      <c r="AB112" s="101">
        <v>0</v>
      </c>
      <c r="AC112" s="117"/>
      <c r="AD112" s="5"/>
    </row>
    <row r="113" spans="1:30" x14ac:dyDescent="0.3">
      <c r="A113" s="113">
        <v>24</v>
      </c>
      <c r="B113" s="60" t="s">
        <v>137</v>
      </c>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241"/>
      <c r="AA113" s="115"/>
      <c r="AB113" s="101">
        <f>-19-142</f>
        <v>-161</v>
      </c>
      <c r="AC113" s="117"/>
      <c r="AD113" s="5"/>
    </row>
    <row r="114" spans="1:30" x14ac:dyDescent="0.3">
      <c r="A114" s="113">
        <v>25</v>
      </c>
      <c r="B114" s="60" t="s">
        <v>294</v>
      </c>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241"/>
      <c r="AA114" s="115"/>
      <c r="AB114" s="101">
        <v>-5</v>
      </c>
      <c r="AC114" s="117"/>
      <c r="AD114" s="5"/>
    </row>
    <row r="115" spans="1:30" x14ac:dyDescent="0.3">
      <c r="A115" s="113">
        <v>26</v>
      </c>
      <c r="B115" s="60" t="s">
        <v>252</v>
      </c>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241"/>
      <c r="AA115" s="115"/>
      <c r="AB115" s="101">
        <v>-3143</v>
      </c>
      <c r="AC115" s="117"/>
      <c r="AD115" s="5"/>
    </row>
    <row r="116" spans="1:30" x14ac:dyDescent="0.3">
      <c r="A116" s="113"/>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241"/>
      <c r="AA116" s="115"/>
      <c r="AB116" s="116"/>
      <c r="AC116" s="117"/>
      <c r="AD116" s="5"/>
    </row>
    <row r="117" spans="1:30" x14ac:dyDescent="0.3">
      <c r="A117" s="113"/>
      <c r="B117" s="114" t="s">
        <v>29</v>
      </c>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115"/>
      <c r="AB117" s="119"/>
      <c r="AC117" s="117"/>
      <c r="AD117" s="5"/>
    </row>
    <row r="118" spans="1:30" x14ac:dyDescent="0.3">
      <c r="A118" s="113"/>
      <c r="B118" s="41" t="s">
        <v>254</v>
      </c>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v>0</v>
      </c>
      <c r="AA118" s="115"/>
      <c r="AB118" s="119"/>
      <c r="AC118" s="117"/>
      <c r="AD118" s="5"/>
    </row>
    <row r="119" spans="1:30" s="23" customFormat="1" x14ac:dyDescent="0.3">
      <c r="A119" s="48"/>
      <c r="B119" s="41" t="s">
        <v>156</v>
      </c>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241">
        <v>0</v>
      </c>
      <c r="AA119" s="100"/>
      <c r="AB119" s="101"/>
      <c r="AC119" s="44"/>
      <c r="AD119" s="22"/>
    </row>
    <row r="120" spans="1:30" s="23" customFormat="1" x14ac:dyDescent="0.3">
      <c r="A120" s="48"/>
      <c r="B120" s="41" t="s">
        <v>157</v>
      </c>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241">
        <v>0</v>
      </c>
      <c r="AA120" s="100"/>
      <c r="AB120" s="101"/>
      <c r="AC120" s="44"/>
      <c r="AD120" s="22"/>
    </row>
    <row r="121" spans="1:30" s="23" customFormat="1" x14ac:dyDescent="0.3">
      <c r="A121" s="48"/>
      <c r="B121" s="41" t="s">
        <v>303</v>
      </c>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241">
        <v>0</v>
      </c>
      <c r="AA121" s="100"/>
      <c r="AB121" s="101"/>
      <c r="AC121" s="44"/>
      <c r="AD121" s="22"/>
    </row>
    <row r="122" spans="1:30" s="23" customFormat="1" x14ac:dyDescent="0.3">
      <c r="A122" s="48"/>
      <c r="B122" s="41" t="s">
        <v>304</v>
      </c>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241">
        <v>0</v>
      </c>
      <c r="AA122" s="100"/>
      <c r="AB122" s="101"/>
      <c r="AC122" s="44"/>
      <c r="AD122" s="22"/>
    </row>
    <row r="123" spans="1:30" s="23" customFormat="1" x14ac:dyDescent="0.3">
      <c r="A123" s="48"/>
      <c r="B123" s="41" t="s">
        <v>274</v>
      </c>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241">
        <v>0</v>
      </c>
      <c r="AA123" s="100"/>
      <c r="AB123" s="101"/>
      <c r="AC123" s="44"/>
      <c r="AD123" s="22"/>
    </row>
    <row r="124" spans="1:30" s="23" customFormat="1" x14ac:dyDescent="0.3">
      <c r="A124" s="48"/>
      <c r="B124" s="41" t="s">
        <v>253</v>
      </c>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241">
        <v>-305</v>
      </c>
      <c r="AA124" s="100"/>
      <c r="AB124" s="101"/>
      <c r="AC124" s="44"/>
      <c r="AD124" s="22"/>
    </row>
    <row r="125" spans="1:30" s="23" customFormat="1" x14ac:dyDescent="0.3">
      <c r="A125" s="48"/>
      <c r="B125" s="41" t="s">
        <v>179</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241">
        <v>-17094</v>
      </c>
      <c r="AA125" s="100"/>
      <c r="AB125" s="101"/>
      <c r="AC125" s="44"/>
      <c r="AD125" s="22"/>
    </row>
    <row r="126" spans="1:30" s="23" customFormat="1" x14ac:dyDescent="0.3">
      <c r="A126" s="48"/>
      <c r="B126" s="41" t="s">
        <v>142</v>
      </c>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241">
        <v>0</v>
      </c>
      <c r="AA126" s="100"/>
      <c r="AB126" s="101"/>
      <c r="AC126" s="44"/>
      <c r="AD126" s="22"/>
    </row>
    <row r="127" spans="1:30" s="23" customFormat="1" x14ac:dyDescent="0.3">
      <c r="A127" s="48"/>
      <c r="B127" s="41" t="s">
        <v>143</v>
      </c>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241">
        <v>0</v>
      </c>
      <c r="AA127" s="100"/>
      <c r="AB127" s="101"/>
      <c r="AC127" s="44"/>
      <c r="AD127" s="22"/>
    </row>
    <row r="128" spans="1:30" s="23" customFormat="1" x14ac:dyDescent="0.3">
      <c r="A128" s="48"/>
      <c r="B128" s="41" t="s">
        <v>180</v>
      </c>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241">
        <v>0</v>
      </c>
      <c r="AA128" s="100"/>
      <c r="AB128" s="101"/>
      <c r="AC128" s="44"/>
      <c r="AD128" s="22"/>
    </row>
    <row r="129" spans="1:30" s="23" customFormat="1" x14ac:dyDescent="0.3">
      <c r="A129" s="48"/>
      <c r="B129" s="41" t="s">
        <v>164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241">
        <v>0</v>
      </c>
      <c r="AA129" s="100"/>
      <c r="AB129" s="101"/>
      <c r="AC129" s="44"/>
      <c r="AD129" s="22"/>
    </row>
    <row r="130" spans="1:30" s="23" customFormat="1" x14ac:dyDescent="0.3">
      <c r="A130" s="48"/>
      <c r="B130" s="41" t="s">
        <v>203</v>
      </c>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241">
        <v>0</v>
      </c>
      <c r="AA130" s="100"/>
      <c r="AB130" s="101"/>
      <c r="AC130" s="44"/>
      <c r="AD130" s="22"/>
    </row>
    <row r="131" spans="1:30" s="23" customFormat="1" x14ac:dyDescent="0.3">
      <c r="A131" s="48"/>
      <c r="B131" s="41" t="s">
        <v>30</v>
      </c>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241">
        <f>SUM(Z118:Z130)</f>
        <v>-17399</v>
      </c>
      <c r="AA131" s="100"/>
      <c r="AB131" s="100">
        <f>SUM(AB89:AB129)</f>
        <v>-7361</v>
      </c>
      <c r="AC131" s="44"/>
      <c r="AD131" s="22"/>
    </row>
    <row r="132" spans="1:30" s="23" customFormat="1" x14ac:dyDescent="0.3">
      <c r="A132" s="48"/>
      <c r="B132" s="41" t="s">
        <v>31</v>
      </c>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241">
        <f>Z88+Z131+Z101</f>
        <v>0</v>
      </c>
      <c r="AA132" s="100"/>
      <c r="AB132" s="100">
        <f>AB88+AB131</f>
        <v>0</v>
      </c>
      <c r="AC132" s="44"/>
      <c r="AD132" s="22"/>
    </row>
    <row r="133" spans="1:30" s="23" customFormat="1" x14ac:dyDescent="0.3">
      <c r="A133" s="1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109"/>
      <c r="AA133" s="109"/>
      <c r="AB133" s="109"/>
      <c r="AC133" s="21"/>
      <c r="AD133" s="22"/>
    </row>
    <row r="134" spans="1:30" s="23" customFormat="1" x14ac:dyDescent="0.3">
      <c r="A134" s="18"/>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120"/>
      <c r="AC134" s="21"/>
      <c r="AD134" s="22"/>
    </row>
    <row r="135" spans="1:30" s="23" customFormat="1" ht="18.600000000000001" thickBot="1" x14ac:dyDescent="0.4">
      <c r="A135" s="86"/>
      <c r="B135" s="87" t="str">
        <f>B53</f>
        <v>PM25 INVESTOR REPORT QUARTER ENDING JULY 2020</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121"/>
      <c r="AC135" s="90"/>
      <c r="AD135" s="22"/>
    </row>
    <row r="136" spans="1:30" x14ac:dyDescent="0.3">
      <c r="A136" s="122"/>
      <c r="B136" s="123" t="s">
        <v>32</v>
      </c>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6"/>
      <c r="AD136" s="5"/>
    </row>
    <row r="137" spans="1:30" x14ac:dyDescent="0.3">
      <c r="A137" s="7"/>
      <c r="B137" s="127"/>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4"/>
      <c r="AC137" s="10"/>
      <c r="AD137" s="5"/>
    </row>
    <row r="138" spans="1:30" x14ac:dyDescent="0.3">
      <c r="A138" s="7"/>
      <c r="B138" s="128" t="s">
        <v>206</v>
      </c>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4"/>
      <c r="AC138" s="10"/>
      <c r="AD138" s="5"/>
    </row>
    <row r="139" spans="1:30" s="23" customFormat="1" x14ac:dyDescent="0.3">
      <c r="A139" s="48"/>
      <c r="B139" s="41" t="s">
        <v>213</v>
      </c>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101">
        <f>SUM(D28:G28)*1.5%</f>
        <v>9502.5</v>
      </c>
      <c r="AC139" s="44"/>
      <c r="AD139" s="22"/>
    </row>
    <row r="140" spans="1:30" s="23" customFormat="1" x14ac:dyDescent="0.3">
      <c r="A140" s="48"/>
      <c r="B140" s="41" t="s">
        <v>218</v>
      </c>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101">
        <f>+'April 20'!AB147</f>
        <v>8677.5</v>
      </c>
      <c r="AC140" s="44"/>
      <c r="AD140" s="22"/>
    </row>
    <row r="141" spans="1:30" s="23" customFormat="1" x14ac:dyDescent="0.3">
      <c r="A141" s="48"/>
      <c r="B141" s="41" t="s">
        <v>278</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101"/>
      <c r="AC141" s="44"/>
      <c r="AD141" s="22"/>
    </row>
    <row r="142" spans="1:30" s="23" customFormat="1" x14ac:dyDescent="0.3">
      <c r="A142" s="48"/>
      <c r="B142" s="41" t="s">
        <v>280</v>
      </c>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101">
        <v>0</v>
      </c>
      <c r="AC142" s="44"/>
      <c r="AD142" s="22"/>
    </row>
    <row r="143" spans="1:30" s="23" customFormat="1" x14ac:dyDescent="0.3">
      <c r="A143" s="48"/>
      <c r="B143" s="41" t="s">
        <v>212</v>
      </c>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101">
        <v>0</v>
      </c>
      <c r="AC143" s="44"/>
      <c r="AD143" s="22"/>
    </row>
    <row r="144" spans="1:30" s="23" customFormat="1" x14ac:dyDescent="0.3">
      <c r="A144" s="48"/>
      <c r="B144" s="41" t="s">
        <v>150</v>
      </c>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101">
        <v>0</v>
      </c>
      <c r="AC144" s="44"/>
      <c r="AD144" s="22"/>
    </row>
    <row r="145" spans="1:30" s="23" customFormat="1" x14ac:dyDescent="0.3">
      <c r="A145" s="48"/>
      <c r="B145" s="41" t="s">
        <v>87</v>
      </c>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101">
        <v>0</v>
      </c>
      <c r="AC145" s="44"/>
      <c r="AD145" s="22"/>
    </row>
    <row r="146" spans="1:30" s="23" customFormat="1" x14ac:dyDescent="0.3">
      <c r="A146" s="48"/>
      <c r="B146" s="41" t="s">
        <v>281</v>
      </c>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101">
        <v>-260</v>
      </c>
      <c r="AC146" s="44"/>
      <c r="AD146" s="22"/>
    </row>
    <row r="147" spans="1:30" s="23" customFormat="1" x14ac:dyDescent="0.3">
      <c r="A147" s="48"/>
      <c r="B147" s="41" t="s">
        <v>217</v>
      </c>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101">
        <f>SUM(AB140:AB146)</f>
        <v>8417.5</v>
      </c>
      <c r="AC147" s="44"/>
      <c r="AD147" s="22"/>
    </row>
    <row r="148" spans="1:30" x14ac:dyDescent="0.3">
      <c r="A148" s="7"/>
      <c r="B148" s="127"/>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4"/>
      <c r="AC148" s="10"/>
      <c r="AD148" s="5"/>
    </row>
    <row r="149" spans="1:30" x14ac:dyDescent="0.3">
      <c r="A149" s="7"/>
      <c r="B149" s="128" t="s">
        <v>204</v>
      </c>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4"/>
      <c r="AC149" s="10"/>
      <c r="AD149" s="5"/>
    </row>
    <row r="150" spans="1:30" s="23" customFormat="1" x14ac:dyDescent="0.3">
      <c r="A150" s="48"/>
      <c r="B150" s="60" t="s">
        <v>205</v>
      </c>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101">
        <f>SUM(H28:J28)*1.5%</f>
        <v>820.5</v>
      </c>
      <c r="AC150" s="44"/>
      <c r="AD150" s="22"/>
    </row>
    <row r="151" spans="1:30" s="23" customFormat="1" x14ac:dyDescent="0.3">
      <c r="A151" s="48"/>
      <c r="B151" s="60" t="s">
        <v>219</v>
      </c>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101">
        <f>+'April 20'!AB160</f>
        <v>820.5</v>
      </c>
      <c r="AC151" s="44"/>
      <c r="AD151" s="22"/>
    </row>
    <row r="152" spans="1:30" s="23" customFormat="1" x14ac:dyDescent="0.3">
      <c r="A152" s="48"/>
      <c r="B152" s="60" t="s">
        <v>93</v>
      </c>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101"/>
      <c r="AC152" s="44"/>
      <c r="AD152" s="22"/>
    </row>
    <row r="153" spans="1:30" s="23" customFormat="1" x14ac:dyDescent="0.3">
      <c r="A153" s="48"/>
      <c r="B153" s="41" t="s">
        <v>280</v>
      </c>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101">
        <v>0</v>
      </c>
      <c r="AC153" s="44"/>
      <c r="AD153" s="22"/>
    </row>
    <row r="154" spans="1:30" s="23" customFormat="1" x14ac:dyDescent="0.3">
      <c r="A154" s="48"/>
      <c r="B154" s="60" t="s">
        <v>129</v>
      </c>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101">
        <v>0</v>
      </c>
      <c r="AC154" s="44"/>
      <c r="AD154" s="22"/>
    </row>
    <row r="155" spans="1:30" s="23" customFormat="1" x14ac:dyDescent="0.3">
      <c r="A155" s="48"/>
      <c r="B155" s="60" t="s">
        <v>150</v>
      </c>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101">
        <v>0</v>
      </c>
      <c r="AC155" s="44"/>
      <c r="AD155" s="22"/>
    </row>
    <row r="156" spans="1:30" s="23" customFormat="1" x14ac:dyDescent="0.3">
      <c r="A156" s="48"/>
      <c r="B156" s="60" t="s">
        <v>151</v>
      </c>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101">
        <v>0</v>
      </c>
      <c r="AC156" s="44"/>
      <c r="AD156" s="22"/>
    </row>
    <row r="157" spans="1:30" s="23" customFormat="1" x14ac:dyDescent="0.3">
      <c r="A157" s="48"/>
      <c r="B157" s="60" t="s">
        <v>187</v>
      </c>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101">
        <v>0</v>
      </c>
      <c r="AC157" s="44"/>
      <c r="AD157" s="22"/>
    </row>
    <row r="158" spans="1:30" s="23" customFormat="1" x14ac:dyDescent="0.3">
      <c r="A158" s="48"/>
      <c r="B158" s="60" t="s">
        <v>87</v>
      </c>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101">
        <v>0</v>
      </c>
      <c r="AC158" s="44"/>
      <c r="AD158" s="22"/>
    </row>
    <row r="159" spans="1:30" s="23" customFormat="1" x14ac:dyDescent="0.3">
      <c r="A159" s="48"/>
      <c r="B159" s="41" t="s">
        <v>281</v>
      </c>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101">
        <v>0</v>
      </c>
      <c r="AC159" s="44"/>
      <c r="AD159" s="22"/>
    </row>
    <row r="160" spans="1:30" s="23" customFormat="1" x14ac:dyDescent="0.3">
      <c r="A160" s="48"/>
      <c r="B160" s="60" t="s">
        <v>216</v>
      </c>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101">
        <f>SUM(AB151:AB159)</f>
        <v>820.5</v>
      </c>
      <c r="AC160" s="44"/>
      <c r="AD160" s="22"/>
    </row>
    <row r="161" spans="1:30" x14ac:dyDescent="0.3">
      <c r="A161" s="7"/>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29"/>
      <c r="AC161" s="10"/>
      <c r="AD161" s="5"/>
    </row>
    <row r="162" spans="1:30" x14ac:dyDescent="0.3">
      <c r="A162" s="7"/>
      <c r="B162" s="128" t="s">
        <v>181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0"/>
      <c r="AD162" s="5"/>
    </row>
    <row r="163" spans="1:30" s="23" customFormat="1" x14ac:dyDescent="0.3">
      <c r="A163" s="132"/>
      <c r="B163" s="233" t="s">
        <v>311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4">
        <f>+'April 20'!AB166</f>
        <v>0</v>
      </c>
      <c r="AC163" s="135"/>
      <c r="AD163" s="22"/>
    </row>
    <row r="164" spans="1:30" s="23" customFormat="1" x14ac:dyDescent="0.3">
      <c r="A164" s="132"/>
      <c r="B164" s="233" t="s">
        <v>182</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4">
        <f>Z74</f>
        <v>0</v>
      </c>
      <c r="AC164" s="135"/>
      <c r="AD164" s="22"/>
    </row>
    <row r="165" spans="1:30" s="23" customFormat="1" x14ac:dyDescent="0.3">
      <c r="A165" s="132"/>
      <c r="B165" s="233" t="s">
        <v>279</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4">
        <f>X64-AB164</f>
        <v>0</v>
      </c>
      <c r="AC165" s="135"/>
      <c r="AD165" s="22"/>
    </row>
    <row r="166" spans="1:30" s="23" customFormat="1" x14ac:dyDescent="0.3">
      <c r="A166" s="132"/>
      <c r="B166" s="233" t="s">
        <v>183</v>
      </c>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4">
        <f>AB163+AB164+AB165</f>
        <v>0</v>
      </c>
      <c r="AC166" s="135"/>
      <c r="AD166" s="22"/>
    </row>
    <row r="167" spans="1:30" x14ac:dyDescent="0.3">
      <c r="A167" s="7"/>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29"/>
      <c r="AC167" s="10"/>
      <c r="AD167" s="5"/>
    </row>
    <row r="168" spans="1:30" x14ac:dyDescent="0.3">
      <c r="A168" s="7"/>
      <c r="B168" s="128" t="s">
        <v>34</v>
      </c>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136"/>
      <c r="AC168" s="10"/>
      <c r="AD168" s="5"/>
    </row>
    <row r="169" spans="1:30" s="23" customFormat="1" x14ac:dyDescent="0.3">
      <c r="A169" s="48"/>
      <c r="B169" s="41" t="s">
        <v>35</v>
      </c>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101">
        <v>0</v>
      </c>
      <c r="AC169" s="44"/>
      <c r="AD169" s="22"/>
    </row>
    <row r="170" spans="1:30" s="23" customFormat="1" x14ac:dyDescent="0.3">
      <c r="A170" s="48"/>
      <c r="B170" s="41" t="s">
        <v>36</v>
      </c>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101">
        <f>-AB101</f>
        <v>5</v>
      </c>
      <c r="AC170" s="44"/>
      <c r="AD170" s="22"/>
    </row>
    <row r="171" spans="1:30" s="23" customFormat="1" x14ac:dyDescent="0.3">
      <c r="A171" s="48"/>
      <c r="B171" s="41" t="s">
        <v>239</v>
      </c>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101">
        <v>0</v>
      </c>
      <c r="AC171" s="44"/>
      <c r="AD171" s="22"/>
    </row>
    <row r="172" spans="1:30" s="23" customFormat="1" x14ac:dyDescent="0.3">
      <c r="A172" s="48"/>
      <c r="B172" s="41" t="s">
        <v>37</v>
      </c>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101">
        <f>AB170+AB169+AB171</f>
        <v>5</v>
      </c>
      <c r="AC172" s="44"/>
      <c r="AD172" s="22"/>
    </row>
    <row r="173" spans="1:30" s="23" customFormat="1" x14ac:dyDescent="0.3">
      <c r="A173" s="48"/>
      <c r="B173" s="41" t="s">
        <v>317</v>
      </c>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101">
        <f>+AB101</f>
        <v>-5</v>
      </c>
      <c r="AC173" s="44"/>
      <c r="AD173" s="22"/>
    </row>
    <row r="174" spans="1:30" s="23" customFormat="1" x14ac:dyDescent="0.3">
      <c r="A174" s="48"/>
      <c r="B174" s="41" t="s">
        <v>38</v>
      </c>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101">
        <f>AB172+AB173</f>
        <v>0</v>
      </c>
      <c r="AC174" s="44"/>
      <c r="AD174" s="22"/>
    </row>
    <row r="175" spans="1:30" s="23" customFormat="1" x14ac:dyDescent="0.3">
      <c r="A175" s="48"/>
      <c r="B175" s="41" t="s">
        <v>124</v>
      </c>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101">
        <f>-AB87</f>
        <v>0</v>
      </c>
      <c r="AC175" s="44"/>
      <c r="AD175" s="22"/>
    </row>
    <row r="176" spans="1:30" x14ac:dyDescent="0.3">
      <c r="A176" s="7"/>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29"/>
      <c r="AC176" s="10"/>
      <c r="AD176" s="5"/>
    </row>
    <row r="177" spans="1:262" x14ac:dyDescent="0.3">
      <c r="A177" s="7"/>
      <c r="B177" s="128" t="s">
        <v>235</v>
      </c>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136"/>
      <c r="AC177" s="10"/>
      <c r="AD177" s="5"/>
    </row>
    <row r="178" spans="1:262" s="23" customFormat="1" x14ac:dyDescent="0.3">
      <c r="A178" s="48"/>
      <c r="B178" s="41" t="s">
        <v>237</v>
      </c>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101">
        <f>+'April 20'!AB182</f>
        <v>2716</v>
      </c>
      <c r="AC178" s="44"/>
      <c r="AD178" s="22"/>
    </row>
    <row r="179" spans="1:262" s="23" customFormat="1" x14ac:dyDescent="0.3">
      <c r="A179" s="48"/>
      <c r="B179" s="41" t="s">
        <v>315</v>
      </c>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101">
        <f>-Z71</f>
        <v>-2716</v>
      </c>
      <c r="AC179" s="44"/>
      <c r="AD179" s="22"/>
    </row>
    <row r="180" spans="1:262" s="23" customFormat="1" x14ac:dyDescent="0.3">
      <c r="A180" s="48"/>
      <c r="B180" s="41" t="s">
        <v>248</v>
      </c>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101">
        <f>-Z124</f>
        <v>305</v>
      </c>
      <c r="AC180" s="44"/>
      <c r="AD180" s="22"/>
    </row>
    <row r="181" spans="1:262" s="23" customFormat="1" x14ac:dyDescent="0.3">
      <c r="A181" s="48"/>
      <c r="B181" s="41" t="s">
        <v>297</v>
      </c>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101">
        <v>0</v>
      </c>
      <c r="AC181" s="44"/>
      <c r="AD181" s="22"/>
    </row>
    <row r="182" spans="1:262" s="23" customFormat="1" x14ac:dyDescent="0.3">
      <c r="A182" s="48"/>
      <c r="B182" s="41" t="s">
        <v>238</v>
      </c>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101">
        <f>AB178+AB179+AB180-AB181</f>
        <v>305</v>
      </c>
      <c r="AC182" s="44"/>
      <c r="AD182" s="22"/>
    </row>
    <row r="183" spans="1:262" ht="16.2" thickBot="1" x14ac:dyDescent="0.35">
      <c r="A183" s="7"/>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29"/>
      <c r="AC183" s="10"/>
      <c r="AD183" s="5"/>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7"/>
      <c r="AC184" s="4"/>
      <c r="AD184" s="5"/>
    </row>
    <row r="185" spans="1:262" s="139" customFormat="1" x14ac:dyDescent="0.3">
      <c r="A185" s="7"/>
      <c r="B185" s="128" t="s">
        <v>207</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38"/>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40" customFormat="1" x14ac:dyDescent="0.3">
      <c r="A186" s="48"/>
      <c r="B186" s="41" t="s">
        <v>372</v>
      </c>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101">
        <v>0</v>
      </c>
      <c r="AC186" s="44"/>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40" customFormat="1" x14ac:dyDescent="0.3">
      <c r="A187" s="48"/>
      <c r="B187" s="41" t="s">
        <v>224</v>
      </c>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101">
        <f>+'April 20'!AB190</f>
        <v>0</v>
      </c>
      <c r="AC187" s="44"/>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40" customFormat="1" x14ac:dyDescent="0.3">
      <c r="A188" s="48"/>
      <c r="B188" s="41" t="s">
        <v>262</v>
      </c>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101">
        <f>AB196</f>
        <v>0</v>
      </c>
      <c r="AC188" s="44"/>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40" customFormat="1" x14ac:dyDescent="0.3">
      <c r="A189" s="48"/>
      <c r="B189" s="41" t="s">
        <v>265</v>
      </c>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101">
        <f>AB83</f>
        <v>0</v>
      </c>
      <c r="AC189" s="44"/>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40" customFormat="1" x14ac:dyDescent="0.3">
      <c r="A190" s="48"/>
      <c r="B190" s="41" t="s">
        <v>221</v>
      </c>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101">
        <f>+AB187+AB188-AB189</f>
        <v>0</v>
      </c>
      <c r="AC190" s="44"/>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42" customFormat="1" ht="16.2" thickBot="1" x14ac:dyDescent="0.35">
      <c r="A191" s="141"/>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29"/>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7"/>
      <c r="AC192" s="4"/>
      <c r="AD192" s="5"/>
    </row>
    <row r="193" spans="1:262" s="139" customFormat="1" x14ac:dyDescent="0.3">
      <c r="A193" s="7"/>
      <c r="B193" s="128" t="s">
        <v>220</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38"/>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40" customFormat="1" x14ac:dyDescent="0.3">
      <c r="A194" s="48"/>
      <c r="B194" s="41" t="s">
        <v>222</v>
      </c>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101">
        <v>300</v>
      </c>
      <c r="AC194" s="44"/>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40" customFormat="1" x14ac:dyDescent="0.3">
      <c r="A195" s="48"/>
      <c r="B195" s="41" t="s">
        <v>226</v>
      </c>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101">
        <f>+'April 20'!AB198</f>
        <v>300</v>
      </c>
      <c r="AC195" s="44"/>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40" customFormat="1" x14ac:dyDescent="0.3">
      <c r="A196" s="48"/>
      <c r="B196" s="60" t="s">
        <v>255</v>
      </c>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101">
        <v>0</v>
      </c>
      <c r="AC196" s="44"/>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40" customFormat="1" x14ac:dyDescent="0.3">
      <c r="A197" s="48"/>
      <c r="B197" s="60" t="s">
        <v>256</v>
      </c>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101">
        <f>-AB102</f>
        <v>0</v>
      </c>
      <c r="AC197" s="44"/>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40" customFormat="1" x14ac:dyDescent="0.3">
      <c r="A198" s="48"/>
      <c r="B198" s="41" t="s">
        <v>223</v>
      </c>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101">
        <f>AB194-AB196+AB197</f>
        <v>300</v>
      </c>
      <c r="AC198" s="44"/>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42" customFormat="1" ht="16.2" thickBot="1" x14ac:dyDescent="0.35">
      <c r="A199" s="141"/>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29"/>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7"/>
      <c r="AC200" s="4"/>
      <c r="AD200" s="5"/>
    </row>
    <row r="201" spans="1:262" s="139" customFormat="1" x14ac:dyDescent="0.3">
      <c r="A201" s="7"/>
      <c r="B201" s="128" t="s">
        <v>227</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38"/>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40" customFormat="1" x14ac:dyDescent="0.3">
      <c r="A202" s="48"/>
      <c r="B202" s="41" t="s">
        <v>373</v>
      </c>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101">
        <v>300</v>
      </c>
      <c r="AC202" s="44"/>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40" customFormat="1" x14ac:dyDescent="0.3">
      <c r="A203" s="48"/>
      <c r="B203" s="41" t="s">
        <v>228</v>
      </c>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101">
        <f>+'April 20'!AB206</f>
        <v>2650</v>
      </c>
      <c r="AC203" s="44"/>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40" customFormat="1" x14ac:dyDescent="0.3">
      <c r="A204" s="48"/>
      <c r="B204" s="41" t="s">
        <v>263</v>
      </c>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101">
        <f>AB212</f>
        <v>278</v>
      </c>
      <c r="AC204" s="44"/>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40" customFormat="1" x14ac:dyDescent="0.3">
      <c r="A205" s="48"/>
      <c r="B205" s="41" t="s">
        <v>257</v>
      </c>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101">
        <f>AB84</f>
        <v>1747</v>
      </c>
      <c r="AC205" s="44"/>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40" customFormat="1" x14ac:dyDescent="0.3">
      <c r="A206" s="48"/>
      <c r="B206" s="41" t="s">
        <v>371</v>
      </c>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101">
        <f>AB203+AB204-AB205</f>
        <v>1181</v>
      </c>
      <c r="AC206" s="44"/>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42" customFormat="1" ht="16.2" thickBot="1" x14ac:dyDescent="0.35">
      <c r="A207" s="141"/>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29"/>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7"/>
      <c r="AC208" s="4"/>
      <c r="AD208" s="5"/>
    </row>
    <row r="209" spans="1:262" s="139" customFormat="1" x14ac:dyDescent="0.3">
      <c r="A209" s="7"/>
      <c r="B209" s="128" t="s">
        <v>374</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38"/>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40" customFormat="1" x14ac:dyDescent="0.3">
      <c r="A210" s="48"/>
      <c r="B210" s="41" t="s">
        <v>229</v>
      </c>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101">
        <v>300</v>
      </c>
      <c r="AC210" s="44"/>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40" customFormat="1" x14ac:dyDescent="0.3">
      <c r="A211" s="48"/>
      <c r="B211" s="41" t="s">
        <v>230</v>
      </c>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101">
        <f>+'April 20'!AB214</f>
        <v>1527</v>
      </c>
      <c r="AC211" s="44"/>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40" customFormat="1" x14ac:dyDescent="0.3">
      <c r="A212" s="48"/>
      <c r="B212" s="60" t="s">
        <v>296</v>
      </c>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101">
        <v>278</v>
      </c>
      <c r="AC212" s="44"/>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40" customFormat="1" x14ac:dyDescent="0.3">
      <c r="A213" s="48"/>
      <c r="B213" s="60" t="s">
        <v>258</v>
      </c>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101">
        <f>-AB103</f>
        <v>750</v>
      </c>
      <c r="AC213" s="44"/>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40" customFormat="1" x14ac:dyDescent="0.3">
      <c r="A214" s="48"/>
      <c r="B214" s="41" t="s">
        <v>231</v>
      </c>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101">
        <f>AB211-AB212+AB213</f>
        <v>1999</v>
      </c>
      <c r="AC214" s="44"/>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42" customFormat="1" ht="16.2" thickBot="1" x14ac:dyDescent="0.35">
      <c r="A215" s="141"/>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29"/>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7"/>
      <c r="AC216" s="4"/>
      <c r="AD216" s="5"/>
    </row>
    <row r="217" spans="1:262" s="139" customFormat="1" x14ac:dyDescent="0.3">
      <c r="A217" s="7"/>
      <c r="B217" s="128" t="s">
        <v>266</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236" t="s">
        <v>272</v>
      </c>
      <c r="Z217" s="236" t="s">
        <v>273</v>
      </c>
      <c r="AA217" s="12"/>
      <c r="AB217" s="237"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40" customFormat="1" x14ac:dyDescent="0.3">
      <c r="A218" s="48"/>
      <c r="B218" s="41" t="s">
        <v>267</v>
      </c>
      <c r="C218" s="41"/>
      <c r="D218" s="41"/>
      <c r="E218" s="41"/>
      <c r="F218" s="41"/>
      <c r="G218" s="41"/>
      <c r="H218" s="41"/>
      <c r="I218" s="41"/>
      <c r="J218" s="41"/>
      <c r="K218" s="41"/>
      <c r="L218" s="41"/>
      <c r="M218" s="41"/>
      <c r="N218" s="41"/>
      <c r="O218" s="41"/>
      <c r="P218" s="41"/>
      <c r="Q218" s="41"/>
      <c r="R218" s="41"/>
      <c r="S218" s="41"/>
      <c r="T218" s="41"/>
      <c r="U218" s="41"/>
      <c r="V218" s="41"/>
      <c r="W218" s="41"/>
      <c r="X218" s="41"/>
      <c r="Y218" s="101">
        <f>+AB28*0.16</f>
        <v>112935.68000000001</v>
      </c>
      <c r="Z218" s="73"/>
      <c r="AA218" s="41"/>
      <c r="AB218" s="101"/>
      <c r="AC218" s="44"/>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40" customFormat="1" x14ac:dyDescent="0.3">
      <c r="A219" s="48"/>
      <c r="B219" s="41" t="s">
        <v>268</v>
      </c>
      <c r="C219" s="41"/>
      <c r="D219" s="41"/>
      <c r="E219" s="41"/>
      <c r="F219" s="41"/>
      <c r="G219" s="41"/>
      <c r="H219" s="41"/>
      <c r="I219" s="41"/>
      <c r="J219" s="41"/>
      <c r="K219" s="41"/>
      <c r="L219" s="41"/>
      <c r="M219" s="41"/>
      <c r="N219" s="41"/>
      <c r="O219" s="41"/>
      <c r="P219" s="41"/>
      <c r="Q219" s="41"/>
      <c r="R219" s="41"/>
      <c r="S219" s="41"/>
      <c r="T219" s="41"/>
      <c r="U219" s="41"/>
      <c r="V219" s="41"/>
      <c r="W219" s="41"/>
      <c r="X219" s="41"/>
      <c r="Y219" s="101">
        <f>+'April 20'!Y221</f>
        <v>0</v>
      </c>
      <c r="Z219" s="101">
        <f>+'April 20'!Z221</f>
        <v>117</v>
      </c>
      <c r="AA219" s="41"/>
      <c r="AB219" s="101">
        <f>Y219+Z219</f>
        <v>117</v>
      </c>
      <c r="AC219" s="44"/>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40" customFormat="1" x14ac:dyDescent="0.3">
      <c r="A220" s="48"/>
      <c r="B220" s="41" t="s">
        <v>269</v>
      </c>
      <c r="C220" s="41"/>
      <c r="D220" s="41"/>
      <c r="E220" s="41"/>
      <c r="F220" s="41"/>
      <c r="G220" s="41"/>
      <c r="H220" s="41"/>
      <c r="I220" s="41"/>
      <c r="J220" s="41"/>
      <c r="K220" s="41"/>
      <c r="L220" s="41"/>
      <c r="M220" s="41"/>
      <c r="N220" s="41"/>
      <c r="O220" s="41"/>
      <c r="P220" s="41"/>
      <c r="Q220" s="41"/>
      <c r="R220" s="41"/>
      <c r="S220" s="41"/>
      <c r="T220" s="41"/>
      <c r="U220" s="41"/>
      <c r="V220" s="41"/>
      <c r="W220" s="41"/>
      <c r="X220" s="41"/>
      <c r="Y220" s="100">
        <v>0</v>
      </c>
      <c r="Z220" s="100">
        <v>0</v>
      </c>
      <c r="AA220" s="41"/>
      <c r="AB220" s="101">
        <f>Y220+Z220</f>
        <v>0</v>
      </c>
      <c r="AC220" s="44"/>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40" customFormat="1" x14ac:dyDescent="0.3">
      <c r="A221" s="48"/>
      <c r="B221" s="41" t="s">
        <v>270</v>
      </c>
      <c r="C221" s="41"/>
      <c r="D221" s="41"/>
      <c r="E221" s="41"/>
      <c r="F221" s="41"/>
      <c r="G221" s="41"/>
      <c r="H221" s="41"/>
      <c r="I221" s="41"/>
      <c r="J221" s="41"/>
      <c r="K221" s="41"/>
      <c r="L221" s="41"/>
      <c r="M221" s="41"/>
      <c r="N221" s="41"/>
      <c r="O221" s="41"/>
      <c r="P221" s="41"/>
      <c r="Q221" s="41"/>
      <c r="R221" s="41"/>
      <c r="S221" s="41"/>
      <c r="T221" s="41"/>
      <c r="U221" s="41"/>
      <c r="V221" s="41"/>
      <c r="W221" s="41"/>
      <c r="X221" s="41"/>
      <c r="Y221" s="101">
        <f>Y219+Y220</f>
        <v>0</v>
      </c>
      <c r="Z221" s="101">
        <f>Z220+Z219</f>
        <v>117</v>
      </c>
      <c r="AA221" s="41"/>
      <c r="AB221" s="101">
        <f>Y221+Z221</f>
        <v>117</v>
      </c>
      <c r="AC221" s="44"/>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40" customFormat="1" x14ac:dyDescent="0.3">
      <c r="A222" s="48"/>
      <c r="B222" s="41" t="s">
        <v>271</v>
      </c>
      <c r="C222" s="41"/>
      <c r="D222" s="41"/>
      <c r="E222" s="41"/>
      <c r="F222" s="41"/>
      <c r="G222" s="41"/>
      <c r="H222" s="41"/>
      <c r="I222" s="41"/>
      <c r="J222" s="41"/>
      <c r="K222" s="41"/>
      <c r="L222" s="41"/>
      <c r="M222" s="41"/>
      <c r="N222" s="41"/>
      <c r="O222" s="41"/>
      <c r="P222" s="41"/>
      <c r="Q222" s="41"/>
      <c r="R222" s="41"/>
      <c r="S222" s="41"/>
      <c r="T222" s="41"/>
      <c r="U222" s="41"/>
      <c r="V222" s="41"/>
      <c r="W222" s="41"/>
      <c r="X222" s="41"/>
      <c r="Y222" s="101">
        <f>Y218-Y221-Z221</f>
        <v>112818.68000000001</v>
      </c>
      <c r="Z222" s="73"/>
      <c r="AA222" s="41"/>
      <c r="AB222" s="101"/>
      <c r="AC222" s="44"/>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42" customFormat="1" ht="16.2" thickBot="1" x14ac:dyDescent="0.35">
      <c r="A223" s="141"/>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29"/>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7"/>
      <c r="AC224" s="4"/>
      <c r="AD224" s="5"/>
    </row>
    <row r="225" spans="1:262" s="139" customFormat="1" x14ac:dyDescent="0.3">
      <c r="A225" s="7"/>
      <c r="B225" s="128" t="s">
        <v>309</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236"/>
      <c r="Z225" s="236"/>
      <c r="AA225" s="12"/>
      <c r="AB225" s="237" t="s">
        <v>80</v>
      </c>
      <c r="AC225" s="10"/>
      <c r="AD225" s="5"/>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row>
    <row r="226" spans="1:262" s="140" customFormat="1" x14ac:dyDescent="0.3">
      <c r="A226" s="48"/>
      <c r="B226" s="41" t="s">
        <v>306</v>
      </c>
      <c r="C226" s="41"/>
      <c r="D226" s="41"/>
      <c r="E226" s="41"/>
      <c r="F226" s="41"/>
      <c r="G226" s="41"/>
      <c r="H226" s="41"/>
      <c r="I226" s="41"/>
      <c r="J226" s="41"/>
      <c r="K226" s="41"/>
      <c r="L226" s="41"/>
      <c r="M226" s="41"/>
      <c r="N226" s="41"/>
      <c r="O226" s="41"/>
      <c r="P226" s="41"/>
      <c r="Q226" s="41"/>
      <c r="R226" s="41"/>
      <c r="S226" s="41"/>
      <c r="T226" s="41"/>
      <c r="U226" s="41"/>
      <c r="V226" s="41"/>
      <c r="W226" s="41"/>
      <c r="X226" s="41"/>
      <c r="Y226" s="101"/>
      <c r="Z226" s="73"/>
      <c r="AA226" s="41"/>
      <c r="AB226" s="101">
        <v>521900</v>
      </c>
      <c r="AC226" s="44"/>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40" customFormat="1" x14ac:dyDescent="0.3">
      <c r="A227" s="48"/>
      <c r="B227" s="41" t="s">
        <v>307</v>
      </c>
      <c r="C227" s="41"/>
      <c r="D227" s="41"/>
      <c r="E227" s="41"/>
      <c r="F227" s="41"/>
      <c r="G227" s="41"/>
      <c r="H227" s="41"/>
      <c r="I227" s="41"/>
      <c r="J227" s="41"/>
      <c r="K227" s="41"/>
      <c r="L227" s="41"/>
      <c r="M227" s="41"/>
      <c r="N227" s="41"/>
      <c r="O227" s="41"/>
      <c r="P227" s="41"/>
      <c r="Q227" s="41"/>
      <c r="R227" s="41"/>
      <c r="S227" s="41"/>
      <c r="T227" s="41"/>
      <c r="U227" s="41"/>
      <c r="V227" s="41"/>
      <c r="W227" s="41"/>
      <c r="X227" s="41"/>
      <c r="Y227" s="101"/>
      <c r="Z227" s="101"/>
      <c r="AA227" s="41"/>
      <c r="AB227" s="101">
        <v>524453</v>
      </c>
      <c r="AC227" s="44"/>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40" customFormat="1" x14ac:dyDescent="0.3">
      <c r="A228" s="48"/>
      <c r="B228" s="41" t="s">
        <v>308</v>
      </c>
      <c r="C228" s="41"/>
      <c r="D228" s="41"/>
      <c r="E228" s="41"/>
      <c r="F228" s="41"/>
      <c r="G228" s="41"/>
      <c r="H228" s="41"/>
      <c r="I228" s="41"/>
      <c r="J228" s="41"/>
      <c r="K228" s="41"/>
      <c r="L228" s="41"/>
      <c r="M228" s="41"/>
      <c r="N228" s="41"/>
      <c r="O228" s="41"/>
      <c r="P228" s="41"/>
      <c r="Q228" s="41"/>
      <c r="R228" s="41"/>
      <c r="S228" s="41"/>
      <c r="T228" s="41"/>
      <c r="U228" s="41"/>
      <c r="V228" s="41"/>
      <c r="W228" s="41"/>
      <c r="X228" s="41"/>
      <c r="Y228" s="100"/>
      <c r="Z228" s="100"/>
      <c r="AA228" s="41"/>
      <c r="AB228" s="101">
        <f>AB226-AB227</f>
        <v>-2553</v>
      </c>
      <c r="AC228" s="44"/>
      <c r="AD228" s="22"/>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row>
    <row r="229" spans="1:262" s="142" customFormat="1" ht="16.2" thickBot="1" x14ac:dyDescent="0.35">
      <c r="A229" s="141"/>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29"/>
      <c r="AC229" s="10"/>
      <c r="AD229" s="5"/>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row>
    <row r="230" spans="1:262"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137"/>
      <c r="AC230" s="4"/>
      <c r="AD230" s="5"/>
    </row>
    <row r="231" spans="1:262" x14ac:dyDescent="0.3">
      <c r="A231" s="7"/>
      <c r="B231" s="128" t="s">
        <v>39</v>
      </c>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143"/>
      <c r="AC231" s="10"/>
      <c r="AD231" s="5"/>
      <c r="AE231" s="23"/>
    </row>
    <row r="232" spans="1:262" s="23" customFormat="1" x14ac:dyDescent="0.3">
      <c r="A232" s="48"/>
      <c r="B232" s="41" t="s">
        <v>40</v>
      </c>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145">
        <f>(AB88+AB90+AB91+AB92+AB93)/-(AB94)</f>
        <v>4.8560250391236304</v>
      </c>
      <c r="AC232" s="44" t="s">
        <v>81</v>
      </c>
      <c r="AD232" s="22"/>
    </row>
    <row r="233" spans="1:262" s="23" customFormat="1" x14ac:dyDescent="0.3">
      <c r="A233" s="48"/>
      <c r="B233" s="41" t="s">
        <v>41</v>
      </c>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145">
        <v>3.23</v>
      </c>
      <c r="AC233" s="44" t="s">
        <v>81</v>
      </c>
      <c r="AD233" s="22"/>
    </row>
    <row r="234" spans="1:262" s="23" customFormat="1" x14ac:dyDescent="0.3">
      <c r="A234" s="48"/>
      <c r="B234" s="41" t="s">
        <v>144</v>
      </c>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145">
        <f>(AB88+AB90+AB91+AB92+AB93+AB94)/-(AB95)</f>
        <v>46.056074766355138</v>
      </c>
      <c r="AC234" s="44" t="s">
        <v>81</v>
      </c>
      <c r="AD234" s="22"/>
    </row>
    <row r="235" spans="1:262" s="23" customFormat="1" x14ac:dyDescent="0.3">
      <c r="A235" s="48"/>
      <c r="B235" s="41" t="s">
        <v>145</v>
      </c>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145">
        <v>31.86</v>
      </c>
      <c r="AC235" s="44" t="s">
        <v>81</v>
      </c>
      <c r="AD235" s="22"/>
    </row>
    <row r="236" spans="1:262" s="23" customFormat="1" x14ac:dyDescent="0.3">
      <c r="A236" s="48"/>
      <c r="B236" s="41" t="s">
        <v>146</v>
      </c>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145">
        <f>(AB88+AB90+AB91+AB92+AB93+AB94+AB95)/-(AB97)</f>
        <v>39.195121951219512</v>
      </c>
      <c r="AC236" s="44" t="s">
        <v>81</v>
      </c>
      <c r="AD236" s="22"/>
    </row>
    <row r="237" spans="1:262" s="23" customFormat="1" x14ac:dyDescent="0.3">
      <c r="A237" s="48"/>
      <c r="B237" s="41" t="s">
        <v>147</v>
      </c>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145">
        <v>28.58</v>
      </c>
      <c r="AC237" s="44" t="s">
        <v>81</v>
      </c>
      <c r="AD237" s="22"/>
    </row>
    <row r="238" spans="1:262" s="23" customFormat="1" x14ac:dyDescent="0.3">
      <c r="A238" s="48"/>
      <c r="B238" s="41" t="s">
        <v>184</v>
      </c>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145">
        <f>(AB88+AB90+AB91+AB92+AB93+AB94+AB95+AB97)/-(AB98)</f>
        <v>39.15</v>
      </c>
      <c r="AC238" s="44" t="s">
        <v>81</v>
      </c>
      <c r="AD238" s="22"/>
    </row>
    <row r="239" spans="1:262" s="23" customFormat="1" x14ac:dyDescent="0.3">
      <c r="A239" s="48"/>
      <c r="B239" s="41" t="s">
        <v>185</v>
      </c>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145">
        <v>29.2</v>
      </c>
      <c r="AC239" s="44" t="s">
        <v>81</v>
      </c>
      <c r="AD239" s="22"/>
    </row>
    <row r="240" spans="1:262" s="23" customFormat="1" x14ac:dyDescent="0.3">
      <c r="A240" s="48"/>
      <c r="B240" s="41" t="s">
        <v>165</v>
      </c>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145">
        <f>(AB88+AB90+AB91+AB92+AB93+AB94+AB95+AB97+AB98)/-(AB107)</f>
        <v>34.94656488549618</v>
      </c>
      <c r="AC240" s="44" t="s">
        <v>81</v>
      </c>
      <c r="AD240" s="22"/>
    </row>
    <row r="241" spans="1:30" s="23" customFormat="1" x14ac:dyDescent="0.3">
      <c r="A241" s="48"/>
      <c r="B241" s="41" t="s">
        <v>166</v>
      </c>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145">
        <v>27.71</v>
      </c>
      <c r="AC241" s="44" t="s">
        <v>81</v>
      </c>
      <c r="AD241" s="22"/>
    </row>
    <row r="242" spans="1:30" s="23" customFormat="1" x14ac:dyDescent="0.3">
      <c r="A242" s="1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21"/>
      <c r="AD242" s="22"/>
    </row>
    <row r="243" spans="1:30" s="23" customFormat="1" x14ac:dyDescent="0.3">
      <c r="A243" s="18"/>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1"/>
      <c r="AD243" s="22"/>
    </row>
    <row r="244" spans="1:30" s="23" customFormat="1" ht="18.600000000000001" thickBot="1" x14ac:dyDescent="0.4">
      <c r="A244" s="86"/>
      <c r="B244" s="87" t="str">
        <f>B135</f>
        <v>PM25 INVESTOR REPORT QUARTER ENDING JULY 2020</v>
      </c>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90"/>
      <c r="AD244" s="22"/>
    </row>
    <row r="245" spans="1:30" x14ac:dyDescent="0.3">
      <c r="A245" s="122"/>
      <c r="B245" s="123" t="s">
        <v>42</v>
      </c>
      <c r="C245" s="146"/>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v>44043</v>
      </c>
      <c r="AA245" s="124"/>
      <c r="AB245" s="124"/>
      <c r="AC245" s="126"/>
      <c r="AD245" s="5"/>
    </row>
    <row r="246" spans="1:30" x14ac:dyDescent="0.3">
      <c r="A246" s="148"/>
      <c r="B246" s="149"/>
      <c r="C246" s="150"/>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9"/>
      <c r="AB246" s="9"/>
      <c r="AC246" s="10"/>
      <c r="AD246" s="5"/>
    </row>
    <row r="247" spans="1:30" s="23" customFormat="1" x14ac:dyDescent="0.3">
      <c r="A247" s="48"/>
      <c r="B247" s="41" t="s">
        <v>43</v>
      </c>
      <c r="C247" s="152"/>
      <c r="D247" s="76"/>
      <c r="E247" s="76"/>
      <c r="F247" s="76"/>
      <c r="G247" s="76"/>
      <c r="H247" s="76"/>
      <c r="I247" s="76"/>
      <c r="J247" s="76"/>
      <c r="K247" s="76"/>
      <c r="L247" s="76"/>
      <c r="M247" s="76"/>
      <c r="N247" s="76"/>
      <c r="O247" s="76"/>
      <c r="P247" s="76"/>
      <c r="Q247" s="76"/>
      <c r="R247" s="76"/>
      <c r="S247" s="76"/>
      <c r="T247" s="76"/>
      <c r="U247" s="76"/>
      <c r="V247" s="76"/>
      <c r="W247" s="76"/>
      <c r="X247" s="76"/>
      <c r="Y247" s="76"/>
      <c r="Z247" s="70">
        <v>3.8269999999999998E-2</v>
      </c>
      <c r="AA247" s="41"/>
      <c r="AB247" s="41"/>
      <c r="AC247" s="44"/>
      <c r="AD247" s="22"/>
    </row>
    <row r="248" spans="1:30" s="23" customFormat="1" x14ac:dyDescent="0.3">
      <c r="A248" s="48"/>
      <c r="B248" s="41" t="s">
        <v>132</v>
      </c>
      <c r="C248" s="152"/>
      <c r="D248" s="76"/>
      <c r="E248" s="76"/>
      <c r="F248" s="76"/>
      <c r="G248" s="76"/>
      <c r="H248" s="76"/>
      <c r="I248" s="76"/>
      <c r="J248" s="76"/>
      <c r="K248" s="76"/>
      <c r="L248" s="76"/>
      <c r="M248" s="76"/>
      <c r="N248" s="76"/>
      <c r="O248" s="76"/>
      <c r="P248" s="76"/>
      <c r="Q248" s="76"/>
      <c r="R248" s="76"/>
      <c r="S248" s="76"/>
      <c r="T248" s="76"/>
      <c r="U248" s="76"/>
      <c r="V248" s="76"/>
      <c r="W248" s="76"/>
      <c r="X248" s="76"/>
      <c r="Y248" s="76"/>
      <c r="Z248" s="70">
        <v>1.5543032113429521E-2</v>
      </c>
      <c r="AA248" s="41"/>
      <c r="AB248" s="41"/>
      <c r="AC248" s="44"/>
      <c r="AD248" s="22"/>
    </row>
    <row r="249" spans="1:30" s="23" customFormat="1" x14ac:dyDescent="0.3">
      <c r="A249" s="48"/>
      <c r="B249" s="41" t="s">
        <v>44</v>
      </c>
      <c r="C249" s="152"/>
      <c r="D249" s="76"/>
      <c r="E249" s="76"/>
      <c r="F249" s="76"/>
      <c r="G249" s="76"/>
      <c r="H249" s="76"/>
      <c r="I249" s="76"/>
      <c r="J249" s="76"/>
      <c r="K249" s="76"/>
      <c r="L249" s="76"/>
      <c r="M249" s="76"/>
      <c r="N249" s="76"/>
      <c r="O249" s="76"/>
      <c r="P249" s="76"/>
      <c r="Q249" s="76"/>
      <c r="R249" s="76"/>
      <c r="S249" s="76"/>
      <c r="T249" s="76"/>
      <c r="U249" s="76"/>
      <c r="V249" s="76"/>
      <c r="W249" s="76"/>
      <c r="X249" s="76"/>
      <c r="Y249" s="76"/>
      <c r="Z249" s="70">
        <f>Z247-Z248</f>
        <v>2.2726967886570477E-2</v>
      </c>
      <c r="AA249" s="41"/>
      <c r="AB249" s="41"/>
      <c r="AC249" s="44"/>
      <c r="AD249" s="22"/>
    </row>
    <row r="250" spans="1:30" s="23" customFormat="1" x14ac:dyDescent="0.3">
      <c r="A250" s="48"/>
      <c r="B250" s="41" t="s">
        <v>45</v>
      </c>
      <c r="C250" s="152"/>
      <c r="D250" s="76"/>
      <c r="E250" s="76"/>
      <c r="F250" s="76"/>
      <c r="G250" s="76"/>
      <c r="H250" s="76"/>
      <c r="I250" s="76"/>
      <c r="J250" s="76"/>
      <c r="K250" s="76"/>
      <c r="L250" s="76"/>
      <c r="M250" s="76"/>
      <c r="N250" s="76"/>
      <c r="O250" s="76"/>
      <c r="P250" s="76"/>
      <c r="Q250" s="76"/>
      <c r="R250" s="76"/>
      <c r="S250" s="76"/>
      <c r="T250" s="76"/>
      <c r="U250" s="76"/>
      <c r="V250" s="76"/>
      <c r="W250" s="76"/>
      <c r="X250" s="76"/>
      <c r="Y250" s="76"/>
      <c r="Z250" s="70">
        <v>3.8600000000000002E-2</v>
      </c>
      <c r="AA250" s="41"/>
      <c r="AB250" s="41"/>
      <c r="AC250" s="44"/>
      <c r="AD250" s="22"/>
    </row>
    <row r="251" spans="1:30" s="23" customFormat="1" x14ac:dyDescent="0.3">
      <c r="A251" s="48"/>
      <c r="B251" s="41" t="s">
        <v>133</v>
      </c>
      <c r="C251" s="152"/>
      <c r="D251" s="76"/>
      <c r="E251" s="76"/>
      <c r="F251" s="76"/>
      <c r="G251" s="76"/>
      <c r="H251" s="76"/>
      <c r="I251" s="76"/>
      <c r="J251" s="76"/>
      <c r="K251" s="76"/>
      <c r="L251" s="76"/>
      <c r="M251" s="76"/>
      <c r="N251" s="76"/>
      <c r="O251" s="76"/>
      <c r="P251" s="76"/>
      <c r="Q251" s="76"/>
      <c r="R251" s="76"/>
      <c r="S251" s="76"/>
      <c r="T251" s="76"/>
      <c r="U251" s="76"/>
      <c r="V251" s="76"/>
      <c r="W251" s="76"/>
      <c r="X251" s="76"/>
      <c r="Y251" s="76"/>
      <c r="Z251" s="70">
        <f>+AB34</f>
        <v>1.0802640684098532E-2</v>
      </c>
      <c r="AA251" s="41"/>
      <c r="AB251" s="41"/>
      <c r="AC251" s="44"/>
      <c r="AD251" s="22"/>
    </row>
    <row r="252" spans="1:30" s="23" customFormat="1" x14ac:dyDescent="0.3">
      <c r="A252" s="48"/>
      <c r="B252" s="41" t="s">
        <v>46</v>
      </c>
      <c r="C252" s="152"/>
      <c r="D252" s="76"/>
      <c r="E252" s="76"/>
      <c r="F252" s="76"/>
      <c r="G252" s="76"/>
      <c r="H252" s="76"/>
      <c r="I252" s="76"/>
      <c r="J252" s="76"/>
      <c r="K252" s="76"/>
      <c r="L252" s="76"/>
      <c r="M252" s="76"/>
      <c r="N252" s="76"/>
      <c r="O252" s="76"/>
      <c r="P252" s="76"/>
      <c r="Q252" s="76"/>
      <c r="R252" s="76"/>
      <c r="S252" s="76"/>
      <c r="T252" s="76"/>
      <c r="U252" s="76"/>
      <c r="V252" s="76"/>
      <c r="W252" s="76"/>
      <c r="X252" s="76"/>
      <c r="Y252" s="76"/>
      <c r="Z252" s="70">
        <f>Z250-Z251</f>
        <v>2.7797359315901472E-2</v>
      </c>
      <c r="AA252" s="41"/>
      <c r="AB252" s="41"/>
      <c r="AC252" s="44"/>
      <c r="AD252" s="22"/>
    </row>
    <row r="253" spans="1:30" s="23" customFormat="1" x14ac:dyDescent="0.3">
      <c r="A253" s="48"/>
      <c r="B253" s="41" t="s">
        <v>119</v>
      </c>
      <c r="C253" s="152"/>
      <c r="D253" s="76"/>
      <c r="E253" s="76"/>
      <c r="F253" s="76"/>
      <c r="G253" s="76"/>
      <c r="H253" s="76"/>
      <c r="I253" s="76"/>
      <c r="J253" s="76"/>
      <c r="K253" s="76"/>
      <c r="L253" s="76"/>
      <c r="M253" s="76"/>
      <c r="N253" s="76"/>
      <c r="O253" s="76"/>
      <c r="P253" s="76"/>
      <c r="Q253" s="76"/>
      <c r="R253" s="76"/>
      <c r="S253" s="76"/>
      <c r="T253" s="76"/>
      <c r="U253" s="76"/>
      <c r="V253" s="76"/>
      <c r="W253" s="76"/>
      <c r="X253" s="76"/>
      <c r="Y253" s="76"/>
      <c r="Z253" s="70">
        <f>(+AB88+AB90)/R66</f>
        <v>1.1620014017894916E-2</v>
      </c>
      <c r="AA253" s="41"/>
      <c r="AB253" s="41"/>
      <c r="AC253" s="44"/>
      <c r="AD253" s="22"/>
    </row>
    <row r="254" spans="1:30" s="23" customFormat="1" x14ac:dyDescent="0.3">
      <c r="A254" s="48"/>
      <c r="B254" s="41" t="s">
        <v>112</v>
      </c>
      <c r="C254" s="152"/>
      <c r="D254" s="76"/>
      <c r="E254" s="76"/>
      <c r="F254" s="76"/>
      <c r="G254" s="76"/>
      <c r="H254" s="76"/>
      <c r="I254" s="76"/>
      <c r="J254" s="76"/>
      <c r="K254" s="76"/>
      <c r="L254" s="76"/>
      <c r="M254" s="76"/>
      <c r="N254" s="76"/>
      <c r="O254" s="76"/>
      <c r="P254" s="76"/>
      <c r="Q254" s="76"/>
      <c r="R254" s="76"/>
      <c r="S254" s="76"/>
      <c r="T254" s="76"/>
      <c r="U254" s="76"/>
      <c r="V254" s="76"/>
      <c r="W254" s="76"/>
      <c r="X254" s="76"/>
      <c r="Y254" s="76"/>
      <c r="Z254" s="153">
        <v>54923</v>
      </c>
      <c r="AA254" s="41"/>
      <c r="AB254" s="41"/>
      <c r="AC254" s="44"/>
      <c r="AD254" s="22"/>
    </row>
    <row r="255" spans="1:30" s="23" customFormat="1" x14ac:dyDescent="0.3">
      <c r="A255" s="48"/>
      <c r="B255" s="41" t="s">
        <v>148</v>
      </c>
      <c r="C255" s="152"/>
      <c r="D255" s="76"/>
      <c r="E255" s="76"/>
      <c r="F255" s="76"/>
      <c r="G255" s="76"/>
      <c r="H255" s="76"/>
      <c r="I255" s="76"/>
      <c r="J255" s="76"/>
      <c r="K255" s="76"/>
      <c r="L255" s="76"/>
      <c r="M255" s="76"/>
      <c r="N255" s="76"/>
      <c r="O255" s="76"/>
      <c r="P255" s="76"/>
      <c r="Q255" s="76"/>
      <c r="R255" s="76"/>
      <c r="S255" s="76"/>
      <c r="T255" s="76"/>
      <c r="U255" s="76"/>
      <c r="V255" s="76"/>
      <c r="W255" s="76"/>
      <c r="X255" s="76"/>
      <c r="Y255" s="76"/>
      <c r="Z255" s="153">
        <v>54923</v>
      </c>
      <c r="AA255" s="41"/>
      <c r="AB255" s="41"/>
      <c r="AC255" s="44"/>
      <c r="AD255" s="22"/>
    </row>
    <row r="256" spans="1:30" s="23" customFormat="1" x14ac:dyDescent="0.3">
      <c r="A256" s="48"/>
      <c r="B256" s="41" t="s">
        <v>149</v>
      </c>
      <c r="C256" s="152"/>
      <c r="D256" s="76"/>
      <c r="E256" s="76"/>
      <c r="F256" s="76"/>
      <c r="G256" s="76"/>
      <c r="H256" s="76"/>
      <c r="I256" s="76"/>
      <c r="J256" s="76"/>
      <c r="K256" s="76"/>
      <c r="L256" s="76"/>
      <c r="M256" s="76"/>
      <c r="N256" s="76"/>
      <c r="O256" s="76"/>
      <c r="P256" s="76"/>
      <c r="Q256" s="76"/>
      <c r="R256" s="76"/>
      <c r="S256" s="76"/>
      <c r="T256" s="76"/>
      <c r="U256" s="76"/>
      <c r="V256" s="76"/>
      <c r="W256" s="76"/>
      <c r="X256" s="76"/>
      <c r="Y256" s="76"/>
      <c r="Z256" s="153">
        <v>54923</v>
      </c>
      <c r="AA256" s="41"/>
      <c r="AB256" s="41"/>
      <c r="AC256" s="44"/>
      <c r="AD256" s="22"/>
    </row>
    <row r="257" spans="1:30" s="23" customFormat="1" x14ac:dyDescent="0.3">
      <c r="A257" s="48"/>
      <c r="B257" s="41" t="s">
        <v>186</v>
      </c>
      <c r="C257" s="152"/>
      <c r="D257" s="76"/>
      <c r="E257" s="76"/>
      <c r="F257" s="76"/>
      <c r="G257" s="76"/>
      <c r="H257" s="76"/>
      <c r="I257" s="76"/>
      <c r="J257" s="76"/>
      <c r="K257" s="76"/>
      <c r="L257" s="76"/>
      <c r="M257" s="76"/>
      <c r="N257" s="76"/>
      <c r="O257" s="76"/>
      <c r="P257" s="76"/>
      <c r="Q257" s="76"/>
      <c r="R257" s="76"/>
      <c r="S257" s="76"/>
      <c r="T257" s="76"/>
      <c r="U257" s="76"/>
      <c r="V257" s="76"/>
      <c r="W257" s="76"/>
      <c r="X257" s="76"/>
      <c r="Y257" s="76"/>
      <c r="Z257" s="153">
        <v>54923</v>
      </c>
      <c r="AA257" s="41"/>
      <c r="AB257" s="41"/>
      <c r="AC257" s="44"/>
      <c r="AD257" s="22"/>
    </row>
    <row r="258" spans="1:30" s="23" customFormat="1" x14ac:dyDescent="0.3">
      <c r="A258" s="48"/>
      <c r="B258" s="41" t="s">
        <v>167</v>
      </c>
      <c r="C258" s="152"/>
      <c r="D258" s="76"/>
      <c r="E258" s="76"/>
      <c r="F258" s="76"/>
      <c r="G258" s="76"/>
      <c r="H258" s="76"/>
      <c r="I258" s="76"/>
      <c r="J258" s="76"/>
      <c r="K258" s="76"/>
      <c r="L258" s="76"/>
      <c r="M258" s="76"/>
      <c r="N258" s="76"/>
      <c r="O258" s="76"/>
      <c r="P258" s="76"/>
      <c r="Q258" s="76"/>
      <c r="R258" s="76"/>
      <c r="S258" s="76"/>
      <c r="T258" s="76"/>
      <c r="U258" s="76"/>
      <c r="V258" s="76"/>
      <c r="W258" s="76"/>
      <c r="X258" s="76"/>
      <c r="Y258" s="76"/>
      <c r="Z258" s="153">
        <v>54923</v>
      </c>
      <c r="AA258" s="41"/>
      <c r="AB258" s="41"/>
      <c r="AC258" s="44"/>
      <c r="AD258" s="22"/>
    </row>
    <row r="259" spans="1:30" s="23" customFormat="1" x14ac:dyDescent="0.3">
      <c r="A259" s="48"/>
      <c r="B259" s="41" t="s">
        <v>208</v>
      </c>
      <c r="C259" s="152"/>
      <c r="D259" s="76"/>
      <c r="E259" s="76"/>
      <c r="F259" s="76"/>
      <c r="G259" s="76"/>
      <c r="H259" s="76"/>
      <c r="I259" s="76"/>
      <c r="J259" s="76"/>
      <c r="K259" s="76"/>
      <c r="L259" s="76"/>
      <c r="M259" s="76"/>
      <c r="N259" s="76"/>
      <c r="O259" s="76"/>
      <c r="P259" s="76"/>
      <c r="Q259" s="76"/>
      <c r="R259" s="76"/>
      <c r="S259" s="76"/>
      <c r="T259" s="76"/>
      <c r="U259" s="76"/>
      <c r="V259" s="76"/>
      <c r="W259" s="76"/>
      <c r="X259" s="76"/>
      <c r="Y259" s="76"/>
      <c r="Z259" s="153">
        <v>54923</v>
      </c>
      <c r="AA259" s="41"/>
      <c r="AB259" s="41"/>
      <c r="AC259" s="44"/>
      <c r="AD259" s="22"/>
    </row>
    <row r="260" spans="1:30" s="23" customFormat="1" x14ac:dyDescent="0.3">
      <c r="A260" s="48"/>
      <c r="B260" s="41" t="s">
        <v>209</v>
      </c>
      <c r="C260" s="152"/>
      <c r="D260" s="76"/>
      <c r="E260" s="76"/>
      <c r="F260" s="76"/>
      <c r="G260" s="76"/>
      <c r="H260" s="76"/>
      <c r="I260" s="76"/>
      <c r="J260" s="76"/>
      <c r="K260" s="76"/>
      <c r="L260" s="76"/>
      <c r="M260" s="76"/>
      <c r="N260" s="76"/>
      <c r="O260" s="76"/>
      <c r="P260" s="76"/>
      <c r="Q260" s="76"/>
      <c r="R260" s="76"/>
      <c r="S260" s="76"/>
      <c r="T260" s="76"/>
      <c r="U260" s="76"/>
      <c r="V260" s="76"/>
      <c r="W260" s="76"/>
      <c r="X260" s="76"/>
      <c r="Y260" s="76"/>
      <c r="Z260" s="153">
        <v>54923</v>
      </c>
      <c r="AA260" s="41"/>
      <c r="AB260" s="41"/>
      <c r="AC260" s="44"/>
      <c r="AD260" s="22"/>
    </row>
    <row r="261" spans="1:30" s="23" customFormat="1" x14ac:dyDescent="0.3">
      <c r="A261" s="48"/>
      <c r="B261" s="41" t="s">
        <v>47</v>
      </c>
      <c r="C261" s="152"/>
      <c r="D261" s="76"/>
      <c r="E261" s="76"/>
      <c r="F261" s="76"/>
      <c r="G261" s="76"/>
      <c r="H261" s="76"/>
      <c r="I261" s="76"/>
      <c r="J261" s="76"/>
      <c r="K261" s="76"/>
      <c r="L261" s="76"/>
      <c r="M261" s="76"/>
      <c r="N261" s="76"/>
      <c r="O261" s="76"/>
      <c r="P261" s="76"/>
      <c r="Q261" s="76"/>
      <c r="R261" s="76"/>
      <c r="S261" s="76"/>
      <c r="T261" s="76"/>
      <c r="U261" s="76"/>
      <c r="V261" s="76"/>
      <c r="W261" s="76"/>
      <c r="X261" s="76"/>
      <c r="Y261" s="76"/>
      <c r="Z261" s="74">
        <v>18.690000000000001</v>
      </c>
      <c r="AA261" s="41" t="s">
        <v>76</v>
      </c>
      <c r="AB261" s="41"/>
      <c r="AC261" s="44"/>
      <c r="AD261" s="22"/>
    </row>
    <row r="262" spans="1:30" s="23" customFormat="1" x14ac:dyDescent="0.3">
      <c r="A262" s="48"/>
      <c r="B262" s="41" t="s">
        <v>48</v>
      </c>
      <c r="C262" s="152"/>
      <c r="D262" s="76"/>
      <c r="E262" s="76"/>
      <c r="F262" s="76"/>
      <c r="G262" s="76"/>
      <c r="H262" s="76"/>
      <c r="I262" s="76"/>
      <c r="J262" s="76"/>
      <c r="K262" s="76"/>
      <c r="L262" s="76"/>
      <c r="M262" s="76"/>
      <c r="N262" s="76"/>
      <c r="O262" s="76"/>
      <c r="P262" s="76"/>
      <c r="Q262" s="76"/>
      <c r="R262" s="76"/>
      <c r="S262" s="76"/>
      <c r="T262" s="76"/>
      <c r="U262" s="76"/>
      <c r="V262" s="76"/>
      <c r="W262" s="76"/>
      <c r="X262" s="76"/>
      <c r="Y262" s="76"/>
      <c r="Z262" s="74">
        <v>16.399999999999999</v>
      </c>
      <c r="AA262" s="41" t="s">
        <v>76</v>
      </c>
      <c r="AB262" s="41"/>
      <c r="AC262" s="44"/>
      <c r="AD262" s="22"/>
    </row>
    <row r="263" spans="1:30" s="23" customFormat="1" x14ac:dyDescent="0.3">
      <c r="A263" s="48"/>
      <c r="B263" s="41" t="s">
        <v>49</v>
      </c>
      <c r="C263" s="152"/>
      <c r="D263" s="76"/>
      <c r="E263" s="76"/>
      <c r="F263" s="76"/>
      <c r="G263" s="76"/>
      <c r="H263" s="76"/>
      <c r="I263" s="76"/>
      <c r="J263" s="76"/>
      <c r="K263" s="76"/>
      <c r="L263" s="76"/>
      <c r="M263" s="76"/>
      <c r="N263" s="76"/>
      <c r="O263" s="76"/>
      <c r="P263" s="76"/>
      <c r="Q263" s="76"/>
      <c r="R263" s="76"/>
      <c r="S263" s="76"/>
      <c r="T263" s="76"/>
      <c r="U263" s="76"/>
      <c r="V263" s="76"/>
      <c r="W263" s="76"/>
      <c r="X263" s="76"/>
      <c r="Y263" s="76"/>
      <c r="Z263" s="70">
        <f>(+T57+V57+Z57)/(R57+R63)</f>
        <v>2.3178462956765528E-2</v>
      </c>
      <c r="AA263" s="41"/>
      <c r="AB263" s="41"/>
      <c r="AC263" s="44"/>
      <c r="AD263" s="22"/>
    </row>
    <row r="264" spans="1:30" s="23" customFormat="1" x14ac:dyDescent="0.3">
      <c r="A264" s="48"/>
      <c r="B264" s="41" t="s">
        <v>50</v>
      </c>
      <c r="C264" s="152"/>
      <c r="D264" s="76"/>
      <c r="E264" s="76"/>
      <c r="F264" s="76"/>
      <c r="G264" s="76"/>
      <c r="H264" s="76"/>
      <c r="I264" s="76"/>
      <c r="J264" s="76"/>
      <c r="K264" s="76"/>
      <c r="L264" s="76"/>
      <c r="M264" s="76"/>
      <c r="N264" s="76"/>
      <c r="O264" s="76"/>
      <c r="P264" s="76"/>
      <c r="Q264" s="76"/>
      <c r="R264" s="76"/>
      <c r="S264" s="76"/>
      <c r="T264" s="76"/>
      <c r="U264" s="76"/>
      <c r="V264" s="76"/>
      <c r="W264" s="76"/>
      <c r="X264" s="76"/>
      <c r="Y264" s="76"/>
      <c r="Z264" s="70">
        <v>0.125</v>
      </c>
      <c r="AA264" s="41"/>
      <c r="AB264" s="41"/>
      <c r="AC264" s="44"/>
      <c r="AD264" s="22"/>
    </row>
    <row r="265" spans="1:30" x14ac:dyDescent="0.3">
      <c r="A265" s="148"/>
      <c r="B265" s="154"/>
      <c r="C265" s="154"/>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29"/>
      <c r="AA265" s="102"/>
      <c r="AB265" s="155"/>
      <c r="AC265" s="10"/>
      <c r="AD265" s="5"/>
    </row>
    <row r="266" spans="1:30" x14ac:dyDescent="0.3">
      <c r="A266" s="156"/>
      <c r="B266" s="105" t="s">
        <v>51</v>
      </c>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t="s">
        <v>69</v>
      </c>
      <c r="Z266" s="157" t="s">
        <v>74</v>
      </c>
      <c r="AA266" s="34"/>
      <c r="AB266" s="34"/>
      <c r="AC266" s="37"/>
      <c r="AD266" s="5"/>
    </row>
    <row r="267" spans="1:30" s="23" customFormat="1" x14ac:dyDescent="0.3">
      <c r="A267" s="158"/>
      <c r="B267" s="38" t="s">
        <v>52</v>
      </c>
      <c r="C267" s="10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v>0</v>
      </c>
      <c r="Z267" s="160">
        <v>0</v>
      </c>
      <c r="AA267" s="38"/>
      <c r="AB267" s="161"/>
      <c r="AC267" s="162"/>
      <c r="AD267" s="22"/>
    </row>
    <row r="268" spans="1:30" s="23" customFormat="1" x14ac:dyDescent="0.3">
      <c r="A268" s="163"/>
      <c r="B268" s="41" t="s">
        <v>97</v>
      </c>
      <c r="C268" s="100"/>
      <c r="D268" s="49"/>
      <c r="E268" s="49"/>
      <c r="F268" s="49"/>
      <c r="G268" s="49"/>
      <c r="H268" s="49"/>
      <c r="I268" s="49"/>
      <c r="J268" s="49"/>
      <c r="K268" s="49"/>
      <c r="L268" s="49"/>
      <c r="M268" s="49"/>
      <c r="N268" s="49"/>
      <c r="O268" s="49"/>
      <c r="P268" s="49"/>
      <c r="Q268" s="49"/>
      <c r="R268" s="49"/>
      <c r="S268" s="49"/>
      <c r="T268" s="49"/>
      <c r="U268" s="49"/>
      <c r="V268" s="49"/>
      <c r="W268" s="49"/>
      <c r="X268" s="49"/>
      <c r="Y268" s="164">
        <f>+X320</f>
        <v>1</v>
      </c>
      <c r="Z268" s="165">
        <f>+Z320</f>
        <v>498</v>
      </c>
      <c r="AA268" s="41"/>
      <c r="AB268" s="166"/>
      <c r="AC268" s="167"/>
      <c r="AD268" s="22"/>
    </row>
    <row r="269" spans="1:30" s="23" customFormat="1" x14ac:dyDescent="0.3">
      <c r="A269" s="163"/>
      <c r="B269" s="41" t="s">
        <v>53</v>
      </c>
      <c r="C269" s="100"/>
      <c r="D269" s="49"/>
      <c r="E269" s="49"/>
      <c r="F269" s="49"/>
      <c r="G269" s="49"/>
      <c r="H269" s="49"/>
      <c r="I269" s="49"/>
      <c r="J269" s="49"/>
      <c r="K269" s="49"/>
      <c r="L269" s="49"/>
      <c r="M269" s="49"/>
      <c r="N269" s="49"/>
      <c r="O269" s="49"/>
      <c r="P269" s="49"/>
      <c r="Q269" s="49"/>
      <c r="R269" s="49"/>
      <c r="S269" s="49"/>
      <c r="T269" s="49"/>
      <c r="U269" s="49"/>
      <c r="V269" s="49"/>
      <c r="W269" s="49"/>
      <c r="X269" s="49"/>
      <c r="Y269" s="164">
        <f>+X342</f>
        <v>0</v>
      </c>
      <c r="Z269" s="165">
        <f>+Z342</f>
        <v>0</v>
      </c>
      <c r="AA269" s="41"/>
      <c r="AB269" s="166"/>
      <c r="AC269" s="167"/>
      <c r="AD269" s="22"/>
    </row>
    <row r="270" spans="1:30" x14ac:dyDescent="0.3">
      <c r="A270" s="168"/>
      <c r="B270" s="169" t="s">
        <v>168</v>
      </c>
      <c r="C270" s="170"/>
      <c r="D270" s="60"/>
      <c r="E270" s="60"/>
      <c r="F270" s="60"/>
      <c r="G270" s="60"/>
      <c r="H270" s="60"/>
      <c r="I270" s="60"/>
      <c r="J270" s="60"/>
      <c r="K270" s="60"/>
      <c r="L270" s="60"/>
      <c r="M270" s="60"/>
      <c r="N270" s="60"/>
      <c r="O270" s="60"/>
      <c r="P270" s="60"/>
      <c r="Q270" s="60"/>
      <c r="R270" s="60"/>
      <c r="S270" s="60"/>
      <c r="T270" s="60"/>
      <c r="U270" s="60"/>
      <c r="V270" s="60"/>
      <c r="W270" s="60"/>
      <c r="X270" s="60"/>
      <c r="Y270" s="115"/>
      <c r="Z270" s="165">
        <f>Z57</f>
        <v>0</v>
      </c>
      <c r="AA270" s="60"/>
      <c r="AB270" s="171"/>
      <c r="AC270" s="172"/>
      <c r="AD270" s="5"/>
    </row>
    <row r="271" spans="1:30" x14ac:dyDescent="0.3">
      <c r="A271" s="168"/>
      <c r="B271" s="169" t="s">
        <v>302</v>
      </c>
      <c r="C271" s="170"/>
      <c r="D271" s="60"/>
      <c r="E271" s="60"/>
      <c r="F271" s="60"/>
      <c r="G271" s="60"/>
      <c r="H271" s="60"/>
      <c r="I271" s="60"/>
      <c r="J271" s="60"/>
      <c r="K271" s="60"/>
      <c r="L271" s="60"/>
      <c r="M271" s="60"/>
      <c r="N271" s="60"/>
      <c r="O271" s="60"/>
      <c r="P271" s="60"/>
      <c r="Q271" s="60"/>
      <c r="R271" s="60"/>
      <c r="S271" s="60"/>
      <c r="T271" s="60"/>
      <c r="U271" s="60"/>
      <c r="V271" s="60"/>
      <c r="W271" s="60"/>
      <c r="X271" s="60"/>
      <c r="Y271" s="115"/>
      <c r="Z271" s="165">
        <f>-Z123</f>
        <v>0</v>
      </c>
      <c r="AA271" s="60"/>
      <c r="AB271" s="171"/>
      <c r="AC271" s="172"/>
      <c r="AD271" s="5"/>
    </row>
    <row r="272" spans="1:30" x14ac:dyDescent="0.3">
      <c r="A272" s="173"/>
      <c r="B272" s="169" t="s">
        <v>54</v>
      </c>
      <c r="C272" s="174"/>
      <c r="D272" s="60"/>
      <c r="E272" s="60"/>
      <c r="F272" s="60"/>
      <c r="G272" s="60"/>
      <c r="H272" s="60"/>
      <c r="I272" s="60"/>
      <c r="J272" s="60"/>
      <c r="K272" s="60"/>
      <c r="L272" s="60"/>
      <c r="M272" s="60"/>
      <c r="N272" s="60"/>
      <c r="O272" s="60"/>
      <c r="P272" s="60"/>
      <c r="Q272" s="60"/>
      <c r="R272" s="60"/>
      <c r="S272" s="60"/>
      <c r="T272" s="60"/>
      <c r="U272" s="60"/>
      <c r="V272" s="60"/>
      <c r="W272" s="60"/>
      <c r="X272" s="60"/>
      <c r="Y272" s="115"/>
      <c r="Z272" s="175"/>
      <c r="AA272" s="60"/>
      <c r="AB272" s="171"/>
      <c r="AC272" s="176"/>
      <c r="AD272" s="5"/>
    </row>
    <row r="273" spans="1:30" s="23" customFormat="1" x14ac:dyDescent="0.3">
      <c r="A273" s="177"/>
      <c r="B273" s="41" t="s">
        <v>55</v>
      </c>
      <c r="C273" s="41"/>
      <c r="D273" s="41"/>
      <c r="E273" s="41"/>
      <c r="F273" s="41"/>
      <c r="G273" s="41"/>
      <c r="H273" s="41"/>
      <c r="I273" s="41"/>
      <c r="J273" s="41"/>
      <c r="K273" s="41"/>
      <c r="L273" s="41"/>
      <c r="M273" s="41"/>
      <c r="N273" s="41"/>
      <c r="O273" s="41"/>
      <c r="P273" s="41"/>
      <c r="Q273" s="41"/>
      <c r="R273" s="41"/>
      <c r="S273" s="41"/>
      <c r="T273" s="41"/>
      <c r="U273" s="41"/>
      <c r="V273" s="41"/>
      <c r="W273" s="41"/>
      <c r="X273" s="41"/>
      <c r="Y273" s="49"/>
      <c r="Z273" s="165">
        <f>AB170</f>
        <v>5</v>
      </c>
      <c r="AA273" s="41"/>
      <c r="AB273" s="166"/>
      <c r="AC273" s="178"/>
      <c r="AD273" s="22"/>
    </row>
    <row r="274" spans="1:30" s="23" customFormat="1" x14ac:dyDescent="0.3">
      <c r="A274" s="163"/>
      <c r="B274" s="41" t="s">
        <v>56</v>
      </c>
      <c r="C274" s="100"/>
      <c r="D274" s="41"/>
      <c r="E274" s="41"/>
      <c r="F274" s="41"/>
      <c r="G274" s="41"/>
      <c r="H274" s="41"/>
      <c r="I274" s="41"/>
      <c r="J274" s="41"/>
      <c r="K274" s="41"/>
      <c r="L274" s="41"/>
      <c r="M274" s="41"/>
      <c r="N274" s="41"/>
      <c r="O274" s="41"/>
      <c r="P274" s="41"/>
      <c r="Q274" s="41"/>
      <c r="R274" s="41"/>
      <c r="S274" s="41"/>
      <c r="T274" s="41"/>
      <c r="U274" s="41"/>
      <c r="V274" s="41"/>
      <c r="W274" s="41"/>
      <c r="X274" s="41"/>
      <c r="Y274" s="49"/>
      <c r="Z274" s="165">
        <f>'April 20'!Z274+Z273</f>
        <v>6</v>
      </c>
      <c r="AA274" s="41"/>
      <c r="AB274" s="166"/>
      <c r="AC274" s="178"/>
      <c r="AD274" s="22"/>
    </row>
    <row r="275" spans="1:30" x14ac:dyDescent="0.3">
      <c r="A275" s="173"/>
      <c r="B275" s="169" t="s">
        <v>125</v>
      </c>
      <c r="C275" s="174"/>
      <c r="D275" s="60"/>
      <c r="E275" s="60"/>
      <c r="F275" s="60"/>
      <c r="G275" s="60"/>
      <c r="H275" s="60"/>
      <c r="I275" s="60"/>
      <c r="J275" s="60"/>
      <c r="K275" s="60"/>
      <c r="L275" s="60"/>
      <c r="M275" s="60"/>
      <c r="N275" s="60"/>
      <c r="O275" s="60"/>
      <c r="P275" s="60"/>
      <c r="Q275" s="60"/>
      <c r="R275" s="60"/>
      <c r="S275" s="60"/>
      <c r="T275" s="60"/>
      <c r="U275" s="60"/>
      <c r="V275" s="60"/>
      <c r="W275" s="60"/>
      <c r="X275" s="60"/>
      <c r="Y275" s="179"/>
      <c r="Z275" s="175"/>
      <c r="AA275" s="60"/>
      <c r="AB275" s="171"/>
      <c r="AC275" s="176"/>
      <c r="AD275" s="5"/>
    </row>
    <row r="276" spans="1:30" s="23" customFormat="1" x14ac:dyDescent="0.3">
      <c r="A276" s="177"/>
      <c r="B276" s="41" t="s">
        <v>134</v>
      </c>
      <c r="C276" s="41"/>
      <c r="D276" s="41"/>
      <c r="E276" s="41"/>
      <c r="F276" s="41"/>
      <c r="G276" s="41"/>
      <c r="H276" s="41"/>
      <c r="I276" s="41"/>
      <c r="J276" s="41"/>
      <c r="K276" s="41"/>
      <c r="L276" s="41"/>
      <c r="M276" s="41"/>
      <c r="N276" s="41"/>
      <c r="O276" s="41"/>
      <c r="P276" s="41"/>
      <c r="Q276" s="41"/>
      <c r="R276" s="41"/>
      <c r="S276" s="41"/>
      <c r="T276" s="41"/>
      <c r="U276" s="41"/>
      <c r="V276" s="41"/>
      <c r="W276" s="41"/>
      <c r="X276" s="41"/>
      <c r="Y276" s="49">
        <v>0</v>
      </c>
      <c r="Z276" s="165">
        <v>0</v>
      </c>
      <c r="AA276" s="41"/>
      <c r="AB276" s="166"/>
      <c r="AC276" s="178"/>
      <c r="AD276" s="22"/>
    </row>
    <row r="277" spans="1:30" s="23" customFormat="1" x14ac:dyDescent="0.3">
      <c r="A277" s="163"/>
      <c r="B277" s="41" t="s">
        <v>57</v>
      </c>
      <c r="C277" s="73"/>
      <c r="D277" s="41"/>
      <c r="E277" s="41"/>
      <c r="F277" s="41"/>
      <c r="G277" s="41"/>
      <c r="H277" s="41"/>
      <c r="I277" s="41"/>
      <c r="J277" s="41"/>
      <c r="K277" s="41"/>
      <c r="L277" s="41"/>
      <c r="M277" s="41"/>
      <c r="N277" s="41"/>
      <c r="O277" s="41"/>
      <c r="P277" s="41"/>
      <c r="Q277" s="41"/>
      <c r="R277" s="41"/>
      <c r="S277" s="41"/>
      <c r="T277" s="41"/>
      <c r="U277" s="41"/>
      <c r="V277" s="41"/>
      <c r="W277" s="41"/>
      <c r="X277" s="41"/>
      <c r="Y277" s="41"/>
      <c r="Z277" s="180">
        <v>0</v>
      </c>
      <c r="AA277" s="41"/>
      <c r="AB277" s="166"/>
      <c r="AC277" s="178"/>
      <c r="AD277" s="22"/>
    </row>
    <row r="278" spans="1:30" s="23" customFormat="1" x14ac:dyDescent="0.3">
      <c r="A278" s="163"/>
      <c r="B278" s="41" t="s">
        <v>58</v>
      </c>
      <c r="C278" s="73"/>
      <c r="D278" s="41"/>
      <c r="E278" s="41"/>
      <c r="F278" s="41"/>
      <c r="G278" s="41"/>
      <c r="H278" s="41"/>
      <c r="I278" s="41"/>
      <c r="J278" s="41"/>
      <c r="K278" s="41"/>
      <c r="L278" s="41"/>
      <c r="M278" s="41"/>
      <c r="N278" s="41"/>
      <c r="O278" s="41"/>
      <c r="P278" s="41"/>
      <c r="Q278" s="41"/>
      <c r="R278" s="41"/>
      <c r="S278" s="41"/>
      <c r="T278" s="41"/>
      <c r="U278" s="41"/>
      <c r="V278" s="41"/>
      <c r="W278" s="41"/>
      <c r="X278" s="41"/>
      <c r="Y278" s="41"/>
      <c r="Z278" s="180">
        <v>0</v>
      </c>
      <c r="AA278" s="41"/>
      <c r="AB278" s="166"/>
      <c r="AC278" s="178"/>
      <c r="AD278" s="22"/>
    </row>
    <row r="279" spans="1:30" x14ac:dyDescent="0.3">
      <c r="A279" s="168"/>
      <c r="B279" s="169" t="s">
        <v>116</v>
      </c>
      <c r="C279" s="181"/>
      <c r="D279" s="60"/>
      <c r="E279" s="60"/>
      <c r="F279" s="60"/>
      <c r="G279" s="60"/>
      <c r="H279" s="60"/>
      <c r="I279" s="60"/>
      <c r="J279" s="60"/>
      <c r="K279" s="60"/>
      <c r="L279" s="60"/>
      <c r="M279" s="60"/>
      <c r="N279" s="60"/>
      <c r="O279" s="60"/>
      <c r="P279" s="60"/>
      <c r="Q279" s="60"/>
      <c r="R279" s="60"/>
      <c r="S279" s="60"/>
      <c r="T279" s="60"/>
      <c r="U279" s="60"/>
      <c r="V279" s="60"/>
      <c r="W279" s="60"/>
      <c r="X279" s="60"/>
      <c r="Y279" s="115"/>
      <c r="Z279" s="182"/>
      <c r="AA279" s="60"/>
      <c r="AB279" s="171"/>
      <c r="AC279" s="176"/>
      <c r="AD279" s="5"/>
    </row>
    <row r="280" spans="1:30" s="23" customFormat="1" x14ac:dyDescent="0.3">
      <c r="A280" s="163"/>
      <c r="B280" s="41" t="s">
        <v>134</v>
      </c>
      <c r="C280" s="73"/>
      <c r="D280" s="41"/>
      <c r="E280" s="41"/>
      <c r="F280" s="41"/>
      <c r="G280" s="41"/>
      <c r="H280" s="41"/>
      <c r="I280" s="41"/>
      <c r="J280" s="41"/>
      <c r="K280" s="41"/>
      <c r="L280" s="41"/>
      <c r="M280" s="41"/>
      <c r="N280" s="41"/>
      <c r="O280" s="41"/>
      <c r="P280" s="41"/>
      <c r="Q280" s="41"/>
      <c r="R280" s="41"/>
      <c r="S280" s="41"/>
      <c r="T280" s="41"/>
      <c r="U280" s="41"/>
      <c r="V280" s="41"/>
      <c r="W280" s="41"/>
      <c r="X280" s="41"/>
      <c r="Y280" s="49">
        <v>0</v>
      </c>
      <c r="Z280" s="165">
        <v>0</v>
      </c>
      <c r="AA280" s="41"/>
      <c r="AB280" s="166"/>
      <c r="AC280" s="178"/>
      <c r="AD280" s="22"/>
    </row>
    <row r="281" spans="1:30" s="23" customFormat="1" x14ac:dyDescent="0.3">
      <c r="A281" s="163"/>
      <c r="B281" s="41" t="s">
        <v>117</v>
      </c>
      <c r="C281" s="73"/>
      <c r="D281" s="41"/>
      <c r="E281" s="41"/>
      <c r="F281" s="41"/>
      <c r="G281" s="41"/>
      <c r="H281" s="41"/>
      <c r="I281" s="41"/>
      <c r="J281" s="41"/>
      <c r="K281" s="41"/>
      <c r="L281" s="41"/>
      <c r="M281" s="41"/>
      <c r="N281" s="41"/>
      <c r="O281" s="41"/>
      <c r="P281" s="41"/>
      <c r="Q281" s="41"/>
      <c r="R281" s="41"/>
      <c r="S281" s="41"/>
      <c r="T281" s="41"/>
      <c r="U281" s="41"/>
      <c r="V281" s="41"/>
      <c r="W281" s="41"/>
      <c r="X281" s="41"/>
      <c r="Y281" s="41"/>
      <c r="Z281" s="180">
        <v>0</v>
      </c>
      <c r="AA281" s="41"/>
      <c r="AB281" s="166"/>
      <c r="AC281" s="178"/>
      <c r="AD281" s="22"/>
    </row>
    <row r="282" spans="1:30" x14ac:dyDescent="0.3">
      <c r="A282" s="168"/>
      <c r="B282" s="174"/>
      <c r="C282" s="181"/>
      <c r="D282" s="60"/>
      <c r="E282" s="60"/>
      <c r="F282" s="60"/>
      <c r="G282" s="60"/>
      <c r="H282" s="60"/>
      <c r="I282" s="60"/>
      <c r="J282" s="60"/>
      <c r="K282" s="60"/>
      <c r="L282" s="60"/>
      <c r="M282" s="60"/>
      <c r="N282" s="60"/>
      <c r="O282" s="60"/>
      <c r="P282" s="60"/>
      <c r="Q282" s="60"/>
      <c r="R282" s="60"/>
      <c r="S282" s="60"/>
      <c r="T282" s="60"/>
      <c r="U282" s="60"/>
      <c r="V282" s="60"/>
      <c r="W282" s="60"/>
      <c r="X282" s="60"/>
      <c r="Y282" s="115"/>
      <c r="Z282" s="182"/>
      <c r="AA282" s="60"/>
      <c r="AB282" s="171"/>
      <c r="AC282" s="176"/>
      <c r="AD282" s="5"/>
    </row>
    <row r="283" spans="1:30" x14ac:dyDescent="0.3">
      <c r="A283" s="168"/>
      <c r="B283" s="174"/>
      <c r="C283" s="181"/>
      <c r="D283" s="60"/>
      <c r="E283" s="60"/>
      <c r="F283" s="60"/>
      <c r="G283" s="60"/>
      <c r="H283" s="60"/>
      <c r="I283" s="60"/>
      <c r="J283" s="60"/>
      <c r="K283" s="60"/>
      <c r="L283" s="60"/>
      <c r="M283" s="60"/>
      <c r="N283" s="60"/>
      <c r="O283" s="60"/>
      <c r="P283" s="60"/>
      <c r="Q283" s="60"/>
      <c r="R283" s="60"/>
      <c r="S283" s="60"/>
      <c r="T283" s="60"/>
      <c r="U283" s="60"/>
      <c r="V283" s="60"/>
      <c r="W283" s="60"/>
      <c r="X283" s="60"/>
      <c r="Y283" s="60"/>
      <c r="Z283" s="183"/>
      <c r="AA283" s="60"/>
      <c r="AB283" s="171"/>
      <c r="AC283" s="176"/>
      <c r="AD283" s="5"/>
    </row>
    <row r="284" spans="1:30" ht="18" x14ac:dyDescent="0.35">
      <c r="A284" s="168"/>
      <c r="B284" s="184" t="s">
        <v>109</v>
      </c>
      <c r="C284" s="181"/>
      <c r="D284" s="60"/>
      <c r="E284" s="60"/>
      <c r="F284" s="60"/>
      <c r="G284" s="60"/>
      <c r="H284" s="60"/>
      <c r="I284" s="60"/>
      <c r="J284" s="60"/>
      <c r="K284" s="60"/>
      <c r="L284" s="185"/>
      <c r="M284" s="185"/>
      <c r="N284" s="185"/>
      <c r="O284" s="185"/>
      <c r="P284" s="185"/>
      <c r="Q284" s="185"/>
      <c r="R284" s="185"/>
      <c r="S284" s="185"/>
      <c r="T284" s="185"/>
      <c r="U284" s="185"/>
      <c r="V284" s="185"/>
      <c r="W284" s="60"/>
      <c r="X284" s="186" t="s">
        <v>169</v>
      </c>
      <c r="Y284" s="185"/>
      <c r="Z284" s="183"/>
      <c r="AA284" s="60"/>
      <c r="AB284" s="171"/>
      <c r="AC284" s="176"/>
      <c r="AD284" s="5"/>
    </row>
    <row r="285" spans="1:30" ht="18" x14ac:dyDescent="0.35">
      <c r="A285" s="187"/>
      <c r="B285" s="188"/>
      <c r="C285" s="189"/>
      <c r="D285" s="102"/>
      <c r="E285" s="102"/>
      <c r="F285" s="102"/>
      <c r="G285" s="102"/>
      <c r="H285" s="102"/>
      <c r="I285" s="102"/>
      <c r="J285" s="102"/>
      <c r="K285" s="102"/>
      <c r="L285" s="190"/>
      <c r="M285" s="190"/>
      <c r="N285" s="190"/>
      <c r="O285" s="190"/>
      <c r="P285" s="190"/>
      <c r="Q285" s="190"/>
      <c r="R285" s="190"/>
      <c r="S285" s="190"/>
      <c r="T285" s="190"/>
      <c r="U285" s="190"/>
      <c r="V285" s="190"/>
      <c r="W285" s="102"/>
      <c r="X285" s="102"/>
      <c r="Y285" s="102"/>
      <c r="Z285" s="191"/>
      <c r="AA285" s="102"/>
      <c r="AB285" s="155"/>
      <c r="AC285" s="192"/>
      <c r="AD285" s="5"/>
    </row>
    <row r="286" spans="1:30" x14ac:dyDescent="0.3">
      <c r="A286" s="33"/>
      <c r="B286" s="105" t="s">
        <v>126</v>
      </c>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57" t="s">
        <v>69</v>
      </c>
      <c r="Y286" s="106" t="s">
        <v>70</v>
      </c>
      <c r="Z286" s="157" t="s">
        <v>75</v>
      </c>
      <c r="AA286" s="106" t="s">
        <v>70</v>
      </c>
      <c r="AB286" s="34"/>
      <c r="AC286" s="193"/>
      <c r="AD286" s="5"/>
    </row>
    <row r="287" spans="1:30" s="23" customFormat="1" x14ac:dyDescent="0.3">
      <c r="A287" s="18"/>
      <c r="B287" s="109" t="s">
        <v>59</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9">
        <f t="shared" ref="X287:X294" si="1">+X299+X311+X333</f>
        <v>3688</v>
      </c>
      <c r="Y287" s="195">
        <f>X287/$X$296</f>
        <v>0.99783549783549785</v>
      </c>
      <c r="Z287" s="110">
        <f t="shared" ref="Z287:Z294" si="2">+Z299+Z311+Z333</f>
        <v>614523</v>
      </c>
      <c r="AA287" s="195">
        <f t="shared" ref="AA287:AA294" si="3">Z287/$Z$296</f>
        <v>0.99747758802876918</v>
      </c>
      <c r="AB287" s="161"/>
      <c r="AC287" s="196"/>
      <c r="AD287" s="22"/>
    </row>
    <row r="288" spans="1:30" s="23" customFormat="1" x14ac:dyDescent="0.3">
      <c r="A288" s="48"/>
      <c r="B288" s="100" t="s">
        <v>60</v>
      </c>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8">
        <f t="shared" si="1"/>
        <v>2</v>
      </c>
      <c r="Y288" s="199">
        <f t="shared" ref="Y288:Y294" si="4">X288/$X$296</f>
        <v>5.4112554112554113E-4</v>
      </c>
      <c r="Z288" s="200">
        <f t="shared" si="2"/>
        <v>339</v>
      </c>
      <c r="AA288" s="201">
        <f t="shared" si="3"/>
        <v>5.502558933380081E-4</v>
      </c>
      <c r="AB288" s="166"/>
      <c r="AC288" s="178"/>
      <c r="AD288" s="22"/>
    </row>
    <row r="289" spans="1:31" s="23" customFormat="1" x14ac:dyDescent="0.3">
      <c r="A289" s="48"/>
      <c r="B289" s="100" t="s">
        <v>61</v>
      </c>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202">
        <f t="shared" si="1"/>
        <v>2</v>
      </c>
      <c r="Y289" s="203">
        <f t="shared" si="4"/>
        <v>5.4112554112554113E-4</v>
      </c>
      <c r="Z289" s="134">
        <f t="shared" si="2"/>
        <v>304</v>
      </c>
      <c r="AA289" s="201">
        <f t="shared" si="3"/>
        <v>4.9344481290488035E-4</v>
      </c>
      <c r="AB289" s="166"/>
      <c r="AC289" s="178"/>
      <c r="AD289" s="22"/>
    </row>
    <row r="290" spans="1:31" s="23" customFormat="1" x14ac:dyDescent="0.3">
      <c r="A290" s="48"/>
      <c r="B290" s="100" t="s">
        <v>100</v>
      </c>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202">
        <f t="shared" si="1"/>
        <v>3</v>
      </c>
      <c r="Y290" s="203">
        <f t="shared" si="4"/>
        <v>8.1168831168831174E-4</v>
      </c>
      <c r="Z290" s="134">
        <f t="shared" si="2"/>
        <v>728</v>
      </c>
      <c r="AA290" s="201">
        <f t="shared" si="3"/>
        <v>1.1816704730090557E-3</v>
      </c>
      <c r="AB290" s="166"/>
      <c r="AC290" s="178"/>
      <c r="AD290" s="22"/>
    </row>
    <row r="291" spans="1:31" s="23" customFormat="1" x14ac:dyDescent="0.3">
      <c r="A291" s="48"/>
      <c r="B291" s="100" t="s">
        <v>101</v>
      </c>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202">
        <f t="shared" si="1"/>
        <v>0</v>
      </c>
      <c r="Y291" s="203">
        <f t="shared" si="4"/>
        <v>0</v>
      </c>
      <c r="Z291" s="134">
        <f t="shared" si="2"/>
        <v>0</v>
      </c>
      <c r="AA291" s="201">
        <f t="shared" si="3"/>
        <v>0</v>
      </c>
      <c r="AB291" s="166"/>
      <c r="AC291" s="178"/>
      <c r="AD291" s="22"/>
    </row>
    <row r="292" spans="1:31" s="23" customFormat="1" x14ac:dyDescent="0.3">
      <c r="A292" s="48"/>
      <c r="B292" s="100" t="s">
        <v>102</v>
      </c>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202">
        <f t="shared" si="1"/>
        <v>1</v>
      </c>
      <c r="Y292" s="203">
        <f t="shared" si="4"/>
        <v>2.7056277056277056E-4</v>
      </c>
      <c r="Z292" s="134">
        <f t="shared" si="2"/>
        <v>183</v>
      </c>
      <c r="AA292" s="201">
        <f t="shared" si="3"/>
        <v>2.970407919789247E-4</v>
      </c>
      <c r="AB292" s="166"/>
      <c r="AC292" s="178"/>
      <c r="AD292" s="22"/>
    </row>
    <row r="293" spans="1:31" s="23" customFormat="1" x14ac:dyDescent="0.3">
      <c r="A293" s="48"/>
      <c r="B293" s="100" t="s">
        <v>103</v>
      </c>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204">
        <f t="shared" si="1"/>
        <v>0</v>
      </c>
      <c r="Y293" s="205">
        <f t="shared" si="4"/>
        <v>0</v>
      </c>
      <c r="Z293" s="206">
        <f t="shared" si="2"/>
        <v>0</v>
      </c>
      <c r="AA293" s="201">
        <f t="shared" si="3"/>
        <v>0</v>
      </c>
      <c r="AB293" s="166"/>
      <c r="AC293" s="178"/>
      <c r="AD293" s="22"/>
    </row>
    <row r="294" spans="1:31" s="23" customFormat="1" x14ac:dyDescent="0.3">
      <c r="A294" s="48"/>
      <c r="B294" s="100" t="s">
        <v>104</v>
      </c>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09">
        <f t="shared" si="1"/>
        <v>0</v>
      </c>
      <c r="Y294" s="201">
        <f t="shared" si="4"/>
        <v>0</v>
      </c>
      <c r="Z294" s="110">
        <f t="shared" si="2"/>
        <v>0</v>
      </c>
      <c r="AA294" s="201">
        <f t="shared" si="3"/>
        <v>0</v>
      </c>
      <c r="AB294" s="166"/>
      <c r="AC294" s="178"/>
      <c r="AD294" s="22"/>
    </row>
    <row r="295" spans="1:31" s="23" customFormat="1" x14ac:dyDescent="0.3">
      <c r="A295" s="48"/>
      <c r="B295" s="100"/>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00"/>
      <c r="Y295" s="201"/>
      <c r="Z295" s="101"/>
      <c r="AA295" s="201"/>
      <c r="AB295" s="166"/>
      <c r="AC295" s="178"/>
      <c r="AD295" s="22"/>
    </row>
    <row r="296" spans="1:31" s="23" customFormat="1" x14ac:dyDescent="0.3">
      <c r="A296" s="48"/>
      <c r="B296" s="41" t="s">
        <v>80</v>
      </c>
      <c r="C296" s="41"/>
      <c r="D296" s="207"/>
      <c r="E296" s="207"/>
      <c r="F296" s="207"/>
      <c r="G296" s="207"/>
      <c r="H296" s="207"/>
      <c r="I296" s="207"/>
      <c r="J296" s="207"/>
      <c r="K296" s="207"/>
      <c r="L296" s="207"/>
      <c r="M296" s="207"/>
      <c r="N296" s="207"/>
      <c r="O296" s="207"/>
      <c r="P296" s="207"/>
      <c r="Q296" s="207"/>
      <c r="R296" s="207"/>
      <c r="S296" s="207"/>
      <c r="T296" s="207"/>
      <c r="U296" s="207"/>
      <c r="V296" s="207"/>
      <c r="W296" s="207"/>
      <c r="X296" s="100">
        <f>SUM(X287:X295)</f>
        <v>3696</v>
      </c>
      <c r="Y296" s="201">
        <f>SUM(Y287:Y295)</f>
        <v>1</v>
      </c>
      <c r="Z296" s="101">
        <f>SUM(Z287:Z295)</f>
        <v>616077</v>
      </c>
      <c r="AA296" s="201">
        <f>SUM(AA287:AA295)</f>
        <v>1.0000000000000002</v>
      </c>
      <c r="AB296" s="41"/>
      <c r="AC296" s="44"/>
      <c r="AD296" s="22"/>
    </row>
    <row r="297" spans="1:31" x14ac:dyDescent="0.3">
      <c r="A297" s="7"/>
      <c r="B297" s="154"/>
      <c r="C297" s="189"/>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91"/>
      <c r="AA297" s="102"/>
      <c r="AB297" s="102"/>
      <c r="AC297" s="10"/>
      <c r="AD297" s="5"/>
    </row>
    <row r="298" spans="1:31" x14ac:dyDescent="0.3">
      <c r="A298" s="33"/>
      <c r="B298" s="105" t="s">
        <v>105</v>
      </c>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57" t="s">
        <v>69</v>
      </c>
      <c r="Y298" s="106" t="s">
        <v>70</v>
      </c>
      <c r="Z298" s="157" t="s">
        <v>75</v>
      </c>
      <c r="AA298" s="106" t="s">
        <v>70</v>
      </c>
      <c r="AB298" s="34"/>
      <c r="AC298" s="193"/>
      <c r="AD298" s="5"/>
    </row>
    <row r="299" spans="1:31" s="23" customFormat="1" x14ac:dyDescent="0.3">
      <c r="A299" s="18"/>
      <c r="B299" s="109" t="s">
        <v>59</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09">
        <v>3687</v>
      </c>
      <c r="Y299" s="195">
        <f>X299/$X$308</f>
        <v>0.99783491204330177</v>
      </c>
      <c r="Z299" s="110">
        <v>614025</v>
      </c>
      <c r="AA299" s="195">
        <f>Z299/$Z$308</f>
        <v>0.99747554741146138</v>
      </c>
      <c r="AB299" s="161"/>
      <c r="AC299" s="196"/>
      <c r="AD299" s="22"/>
    </row>
    <row r="300" spans="1:31" s="23" customFormat="1" x14ac:dyDescent="0.3">
      <c r="A300" s="48"/>
      <c r="B300" s="100" t="s">
        <v>60</v>
      </c>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00">
        <v>2</v>
      </c>
      <c r="Y300" s="201">
        <f t="shared" ref="Y300:Y306" si="5">X300/$X$308</f>
        <v>5.4127198917456026E-4</v>
      </c>
      <c r="Z300" s="101">
        <v>339</v>
      </c>
      <c r="AA300" s="201">
        <f t="shared" ref="AA300:AA306" si="6">Z300/$Z$308</f>
        <v>5.5070104730668202E-4</v>
      </c>
      <c r="AB300" s="166"/>
      <c r="AC300" s="178"/>
      <c r="AD300" s="22"/>
      <c r="AE300" s="118"/>
    </row>
    <row r="301" spans="1:31" s="23" customFormat="1" x14ac:dyDescent="0.3">
      <c r="A301" s="48"/>
      <c r="B301" s="100" t="s">
        <v>61</v>
      </c>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00">
        <v>2</v>
      </c>
      <c r="Y301" s="201">
        <f t="shared" si="5"/>
        <v>5.4127198917456026E-4</v>
      </c>
      <c r="Z301" s="101">
        <v>304</v>
      </c>
      <c r="AA301" s="201">
        <f t="shared" si="6"/>
        <v>4.9384400702428123E-4</v>
      </c>
      <c r="AB301" s="166"/>
      <c r="AC301" s="178"/>
      <c r="AD301" s="22"/>
    </row>
    <row r="302" spans="1:31" s="23" customFormat="1" x14ac:dyDescent="0.3">
      <c r="A302" s="48"/>
      <c r="B302" s="100" t="s">
        <v>100</v>
      </c>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00">
        <v>3</v>
      </c>
      <c r="Y302" s="201">
        <f>X302/$X$308</f>
        <v>8.1190798376184028E-4</v>
      </c>
      <c r="Z302" s="101">
        <v>728</v>
      </c>
      <c r="AA302" s="201">
        <f t="shared" si="6"/>
        <v>1.1826264378739365E-3</v>
      </c>
      <c r="AB302" s="166"/>
      <c r="AC302" s="178"/>
      <c r="AD302" s="22"/>
      <c r="AE302" s="118"/>
    </row>
    <row r="303" spans="1:31" s="23" customFormat="1" x14ac:dyDescent="0.3">
      <c r="A303" s="48"/>
      <c r="B303" s="100" t="s">
        <v>101</v>
      </c>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00">
        <v>0</v>
      </c>
      <c r="Y303" s="201">
        <f t="shared" si="5"/>
        <v>0</v>
      </c>
      <c r="Z303" s="101">
        <v>0</v>
      </c>
      <c r="AA303" s="201">
        <f t="shared" si="6"/>
        <v>0</v>
      </c>
      <c r="AB303" s="166"/>
      <c r="AC303" s="178"/>
      <c r="AD303" s="22"/>
    </row>
    <row r="304" spans="1:31" s="23" customFormat="1" x14ac:dyDescent="0.3">
      <c r="A304" s="48"/>
      <c r="B304" s="100" t="s">
        <v>102</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00">
        <v>1</v>
      </c>
      <c r="Y304" s="201">
        <f t="shared" si="5"/>
        <v>2.7063599458728013E-4</v>
      </c>
      <c r="Z304" s="101">
        <v>183</v>
      </c>
      <c r="AA304" s="201">
        <f t="shared" si="6"/>
        <v>2.9728109633369562E-4</v>
      </c>
      <c r="AB304" s="166"/>
      <c r="AC304" s="178"/>
      <c r="AD304" s="22"/>
      <c r="AE304" s="118"/>
    </row>
    <row r="305" spans="1:31" s="23" customFormat="1" x14ac:dyDescent="0.3">
      <c r="A305" s="48"/>
      <c r="B305" s="100" t="s">
        <v>103</v>
      </c>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00">
        <v>0</v>
      </c>
      <c r="Y305" s="201">
        <f>X305/$X$308</f>
        <v>0</v>
      </c>
      <c r="Z305" s="101">
        <v>0</v>
      </c>
      <c r="AA305" s="201">
        <f t="shared" si="6"/>
        <v>0</v>
      </c>
      <c r="AB305" s="166"/>
      <c r="AC305" s="178"/>
      <c r="AD305" s="22"/>
    </row>
    <row r="306" spans="1:31" s="23" customFormat="1" x14ac:dyDescent="0.3">
      <c r="A306" s="48"/>
      <c r="B306" s="100" t="s">
        <v>104</v>
      </c>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00">
        <v>0</v>
      </c>
      <c r="Y306" s="201">
        <f t="shared" si="5"/>
        <v>0</v>
      </c>
      <c r="Z306" s="101">
        <v>0</v>
      </c>
      <c r="AA306" s="201">
        <f t="shared" si="6"/>
        <v>0</v>
      </c>
      <c r="AB306" s="166"/>
      <c r="AC306" s="178"/>
      <c r="AD306" s="22"/>
      <c r="AE306" s="118"/>
    </row>
    <row r="307" spans="1:31" s="23" customFormat="1" x14ac:dyDescent="0.3">
      <c r="A307" s="48"/>
      <c r="B307" s="100"/>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00"/>
      <c r="Y307" s="201"/>
      <c r="Z307" s="101"/>
      <c r="AA307" s="201"/>
      <c r="AB307" s="166"/>
      <c r="AC307" s="178"/>
      <c r="AD307" s="22"/>
    </row>
    <row r="308" spans="1:31" s="23" customFormat="1" x14ac:dyDescent="0.3">
      <c r="A308" s="48"/>
      <c r="B308" s="41" t="s">
        <v>80</v>
      </c>
      <c r="C308" s="41"/>
      <c r="D308" s="207"/>
      <c r="E308" s="207"/>
      <c r="F308" s="207"/>
      <c r="G308" s="207"/>
      <c r="H308" s="207"/>
      <c r="I308" s="207"/>
      <c r="J308" s="207"/>
      <c r="K308" s="207"/>
      <c r="L308" s="207"/>
      <c r="M308" s="207"/>
      <c r="N308" s="207"/>
      <c r="O308" s="207"/>
      <c r="P308" s="207"/>
      <c r="Q308" s="207"/>
      <c r="R308" s="207"/>
      <c r="S308" s="207"/>
      <c r="T308" s="207"/>
      <c r="U308" s="207"/>
      <c r="V308" s="207"/>
      <c r="W308" s="207"/>
      <c r="X308" s="100">
        <f>SUM(X299:X307)</f>
        <v>3695</v>
      </c>
      <c r="Y308" s="201">
        <f>SUM(Y299:Y307)</f>
        <v>1</v>
      </c>
      <c r="Z308" s="101">
        <f>SUM(Z299:Z307)</f>
        <v>615579</v>
      </c>
      <c r="AA308" s="201">
        <f>SUM(AA299:AA307)</f>
        <v>0.99999999999999989</v>
      </c>
      <c r="AB308" s="41"/>
      <c r="AC308" s="44"/>
      <c r="AD308" s="22"/>
    </row>
    <row r="309" spans="1:31" x14ac:dyDescent="0.3">
      <c r="A309" s="7"/>
      <c r="B309" s="102"/>
      <c r="C309" s="102"/>
      <c r="D309" s="208"/>
      <c r="E309" s="208"/>
      <c r="F309" s="208"/>
      <c r="G309" s="208"/>
      <c r="H309" s="208"/>
      <c r="I309" s="208"/>
      <c r="J309" s="208"/>
      <c r="K309" s="208"/>
      <c r="L309" s="208"/>
      <c r="M309" s="208"/>
      <c r="N309" s="208"/>
      <c r="O309" s="208"/>
      <c r="P309" s="208"/>
      <c r="Q309" s="208"/>
      <c r="R309" s="208"/>
      <c r="S309" s="208"/>
      <c r="T309" s="208"/>
      <c r="U309" s="208"/>
      <c r="V309" s="208"/>
      <c r="W309" s="208"/>
      <c r="X309" s="103"/>
      <c r="Y309" s="209"/>
      <c r="Z309" s="210"/>
      <c r="AA309" s="209"/>
      <c r="AB309" s="102"/>
      <c r="AC309" s="10"/>
      <c r="AD309" s="5"/>
    </row>
    <row r="310" spans="1:31" x14ac:dyDescent="0.3">
      <c r="A310" s="33"/>
      <c r="B310" s="105" t="s">
        <v>121</v>
      </c>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57" t="s">
        <v>69</v>
      </c>
      <c r="Y310" s="106" t="s">
        <v>70</v>
      </c>
      <c r="Z310" s="157" t="s">
        <v>75</v>
      </c>
      <c r="AA310" s="106" t="s">
        <v>70</v>
      </c>
      <c r="AB310" s="34"/>
      <c r="AC310" s="37"/>
      <c r="AD310" s="5"/>
    </row>
    <row r="311" spans="1:31" s="23" customFormat="1" x14ac:dyDescent="0.3">
      <c r="A311" s="18"/>
      <c r="B311" s="109" t="s">
        <v>59</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09">
        <v>1</v>
      </c>
      <c r="Y311" s="195">
        <v>1</v>
      </c>
      <c r="Z311" s="110">
        <v>498</v>
      </c>
      <c r="AA311" s="195">
        <v>1</v>
      </c>
      <c r="AB311" s="38"/>
      <c r="AC311" s="21"/>
      <c r="AD311" s="22"/>
    </row>
    <row r="312" spans="1:31" s="23" customFormat="1" x14ac:dyDescent="0.3">
      <c r="A312" s="48"/>
      <c r="B312" s="100" t="s">
        <v>60</v>
      </c>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00">
        <v>0</v>
      </c>
      <c r="Y312" s="201">
        <v>0</v>
      </c>
      <c r="Z312" s="101">
        <v>0</v>
      </c>
      <c r="AA312" s="201">
        <v>0</v>
      </c>
      <c r="AB312" s="41"/>
      <c r="AC312" s="44"/>
      <c r="AD312" s="22"/>
    </row>
    <row r="313" spans="1:31" s="23" customFormat="1" x14ac:dyDescent="0.3">
      <c r="A313" s="48"/>
      <c r="B313" s="100" t="s">
        <v>61</v>
      </c>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00">
        <v>0</v>
      </c>
      <c r="Y313" s="201">
        <v>0</v>
      </c>
      <c r="Z313" s="101">
        <v>0</v>
      </c>
      <c r="AA313" s="201">
        <v>0</v>
      </c>
      <c r="AB313" s="41"/>
      <c r="AC313" s="44"/>
      <c r="AD313" s="22"/>
    </row>
    <row r="314" spans="1:31" s="23" customFormat="1" x14ac:dyDescent="0.3">
      <c r="A314" s="48"/>
      <c r="B314" s="100" t="s">
        <v>100</v>
      </c>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00">
        <v>0</v>
      </c>
      <c r="Y314" s="201">
        <v>0</v>
      </c>
      <c r="Z314" s="101">
        <v>0</v>
      </c>
      <c r="AA314" s="201">
        <v>0</v>
      </c>
      <c r="AB314" s="41"/>
      <c r="AC314" s="44"/>
      <c r="AD314" s="22"/>
    </row>
    <row r="315" spans="1:31" s="23" customFormat="1" x14ac:dyDescent="0.3">
      <c r="A315" s="48"/>
      <c r="B315" s="100" t="s">
        <v>101</v>
      </c>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00">
        <v>0</v>
      </c>
      <c r="Y315" s="201">
        <v>0</v>
      </c>
      <c r="Z315" s="101">
        <v>0</v>
      </c>
      <c r="AA315" s="201">
        <v>0</v>
      </c>
      <c r="AB315" s="41"/>
      <c r="AC315" s="44"/>
      <c r="AD315" s="22"/>
    </row>
    <row r="316" spans="1:31" s="23" customFormat="1" x14ac:dyDescent="0.3">
      <c r="A316" s="48"/>
      <c r="B316" s="100" t="s">
        <v>102</v>
      </c>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00">
        <v>0</v>
      </c>
      <c r="Y316" s="201">
        <f>+X316/X320</f>
        <v>0</v>
      </c>
      <c r="Z316" s="101">
        <v>0</v>
      </c>
      <c r="AA316" s="201">
        <v>0</v>
      </c>
      <c r="AB316" s="41"/>
      <c r="AC316" s="44"/>
      <c r="AD316" s="22"/>
    </row>
    <row r="317" spans="1:31" s="23" customFormat="1" x14ac:dyDescent="0.3">
      <c r="A317" s="48"/>
      <c r="B317" s="100" t="s">
        <v>103</v>
      </c>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00">
        <v>0</v>
      </c>
      <c r="Y317" s="201">
        <v>0</v>
      </c>
      <c r="Z317" s="101">
        <v>0</v>
      </c>
      <c r="AA317" s="201">
        <v>0</v>
      </c>
      <c r="AB317" s="41"/>
      <c r="AC317" s="44"/>
      <c r="AD317" s="22"/>
    </row>
    <row r="318" spans="1:31" s="23" customFormat="1" x14ac:dyDescent="0.3">
      <c r="A318" s="48"/>
      <c r="B318" s="100" t="s">
        <v>104</v>
      </c>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00">
        <v>0</v>
      </c>
      <c r="Y318" s="201">
        <v>0</v>
      </c>
      <c r="Z318" s="101">
        <v>0</v>
      </c>
      <c r="AA318" s="201">
        <v>0</v>
      </c>
      <c r="AB318" s="41"/>
      <c r="AC318" s="44"/>
      <c r="AD318" s="22"/>
    </row>
    <row r="319" spans="1:31" s="23" customFormat="1" x14ac:dyDescent="0.3">
      <c r="A319" s="48"/>
      <c r="B319" s="100"/>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00"/>
      <c r="Y319" s="201"/>
      <c r="Z319" s="101"/>
      <c r="AA319" s="201"/>
      <c r="AB319" s="41"/>
      <c r="AC319" s="44"/>
      <c r="AD319" s="22"/>
    </row>
    <row r="320" spans="1:31" s="23" customFormat="1" x14ac:dyDescent="0.3">
      <c r="A320" s="48"/>
      <c r="B320" s="41" t="s">
        <v>80</v>
      </c>
      <c r="C320" s="41"/>
      <c r="D320" s="207"/>
      <c r="E320" s="207"/>
      <c r="F320" s="207"/>
      <c r="G320" s="207"/>
      <c r="H320" s="207"/>
      <c r="I320" s="207"/>
      <c r="J320" s="207"/>
      <c r="K320" s="207"/>
      <c r="L320" s="207"/>
      <c r="M320" s="207"/>
      <c r="N320" s="207"/>
      <c r="O320" s="207"/>
      <c r="P320" s="207"/>
      <c r="Q320" s="207"/>
      <c r="R320" s="207"/>
      <c r="S320" s="207"/>
      <c r="T320" s="207"/>
      <c r="U320" s="207"/>
      <c r="V320" s="207"/>
      <c r="W320" s="207"/>
      <c r="X320" s="100">
        <f>SUM(X311:X319)</f>
        <v>1</v>
      </c>
      <c r="Y320" s="201">
        <f>SUM(Y311:Y319)</f>
        <v>1</v>
      </c>
      <c r="Z320" s="101">
        <f>SUM(Z311:Z319)</f>
        <v>498</v>
      </c>
      <c r="AA320" s="201">
        <f>SUM(AA311:AA319)</f>
        <v>1</v>
      </c>
      <c r="AB320" s="41"/>
      <c r="AC320" s="44"/>
      <c r="AD320" s="22"/>
    </row>
    <row r="321" spans="1:30" s="23" customFormat="1" x14ac:dyDescent="0.3">
      <c r="A321" s="48"/>
      <c r="B321" s="41"/>
      <c r="C321" s="41"/>
      <c r="D321" s="207"/>
      <c r="E321" s="207"/>
      <c r="F321" s="207"/>
      <c r="G321" s="207"/>
      <c r="H321" s="207"/>
      <c r="I321" s="207"/>
      <c r="J321" s="207"/>
      <c r="K321" s="207"/>
      <c r="L321" s="207"/>
      <c r="M321" s="207"/>
      <c r="N321" s="207"/>
      <c r="O321" s="207"/>
      <c r="P321" s="207"/>
      <c r="Q321" s="207"/>
      <c r="R321" s="207"/>
      <c r="S321" s="207"/>
      <c r="T321" s="207"/>
      <c r="U321" s="207"/>
      <c r="V321" s="207"/>
      <c r="W321" s="207"/>
      <c r="X321" s="100"/>
      <c r="Y321" s="201"/>
      <c r="Z321" s="101"/>
      <c r="AA321" s="201"/>
      <c r="AB321" s="41"/>
      <c r="AC321" s="44"/>
      <c r="AD321" s="22"/>
    </row>
    <row r="322" spans="1:30" s="268" customFormat="1" x14ac:dyDescent="0.3">
      <c r="A322" s="243"/>
      <c r="B322" s="244" t="s">
        <v>338</v>
      </c>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65" t="s">
        <v>69</v>
      </c>
      <c r="Y322" s="266" t="s">
        <v>70</v>
      </c>
      <c r="Z322" s="265" t="s">
        <v>75</v>
      </c>
      <c r="AA322" s="266" t="s">
        <v>70</v>
      </c>
      <c r="AB322" s="244"/>
      <c r="AC322" s="244"/>
      <c r="AD322" s="267"/>
    </row>
    <row r="323" spans="1:30" s="268" customFormat="1" x14ac:dyDescent="0.3">
      <c r="A323" s="269"/>
      <c r="B323" s="270" t="s">
        <v>339</v>
      </c>
      <c r="C323" s="271"/>
      <c r="D323" s="272"/>
      <c r="E323" s="272"/>
      <c r="F323" s="272"/>
      <c r="G323" s="272"/>
      <c r="H323" s="272"/>
      <c r="I323" s="272"/>
      <c r="J323" s="272"/>
      <c r="K323" s="272"/>
      <c r="L323" s="272"/>
      <c r="M323" s="272"/>
      <c r="N323" s="272"/>
      <c r="O323" s="272"/>
      <c r="P323" s="272"/>
      <c r="Q323" s="272"/>
      <c r="R323" s="272"/>
      <c r="S323" s="272"/>
      <c r="T323" s="272"/>
      <c r="U323" s="272"/>
      <c r="V323" s="272"/>
      <c r="W323" s="272"/>
      <c r="X323" s="273">
        <v>0</v>
      </c>
      <c r="Y323" s="274">
        <v>0</v>
      </c>
      <c r="Z323" s="275">
        <v>0</v>
      </c>
      <c r="AA323" s="274">
        <v>0</v>
      </c>
      <c r="AB323" s="271"/>
      <c r="AC323" s="276"/>
      <c r="AD323" s="267"/>
    </row>
    <row r="324" spans="1:30" s="268" customFormat="1" x14ac:dyDescent="0.3">
      <c r="A324" s="269"/>
      <c r="B324" s="270" t="s">
        <v>340</v>
      </c>
      <c r="C324" s="271"/>
      <c r="D324" s="272"/>
      <c r="E324" s="272"/>
      <c r="F324" s="272"/>
      <c r="G324" s="272"/>
      <c r="H324" s="272"/>
      <c r="I324" s="272"/>
      <c r="J324" s="272"/>
      <c r="K324" s="272"/>
      <c r="L324" s="272"/>
      <c r="M324" s="272"/>
      <c r="N324" s="272"/>
      <c r="O324" s="272"/>
      <c r="P324" s="272"/>
      <c r="Q324" s="272"/>
      <c r="R324" s="272"/>
      <c r="S324" s="272"/>
      <c r="T324" s="272"/>
      <c r="U324" s="272"/>
      <c r="V324" s="272"/>
      <c r="W324" s="272"/>
      <c r="X324" s="273">
        <v>0</v>
      </c>
      <c r="Y324" s="274">
        <v>0</v>
      </c>
      <c r="Z324" s="275">
        <v>0</v>
      </c>
      <c r="AA324" s="274">
        <v>0</v>
      </c>
      <c r="AB324" s="271"/>
      <c r="AC324" s="276"/>
      <c r="AD324" s="267"/>
    </row>
    <row r="325" spans="1:30" s="268" customFormat="1" x14ac:dyDescent="0.3">
      <c r="A325" s="269"/>
      <c r="B325" s="270" t="s">
        <v>341</v>
      </c>
      <c r="C325" s="271"/>
      <c r="D325" s="272"/>
      <c r="E325" s="272"/>
      <c r="F325" s="272"/>
      <c r="G325" s="272"/>
      <c r="H325" s="272"/>
      <c r="I325" s="272"/>
      <c r="J325" s="272"/>
      <c r="K325" s="272"/>
      <c r="L325" s="272"/>
      <c r="M325" s="272"/>
      <c r="N325" s="272"/>
      <c r="O325" s="272"/>
      <c r="P325" s="272"/>
      <c r="Q325" s="272"/>
      <c r="R325" s="272"/>
      <c r="S325" s="272"/>
      <c r="T325" s="272"/>
      <c r="U325" s="272"/>
      <c r="V325" s="272"/>
      <c r="W325" s="272"/>
      <c r="X325" s="281">
        <v>0</v>
      </c>
      <c r="Y325" s="282">
        <f>X325/X330</f>
        <v>0</v>
      </c>
      <c r="Z325" s="283">
        <v>0</v>
      </c>
      <c r="AA325" s="282">
        <f>Z325/Z330</f>
        <v>0</v>
      </c>
      <c r="AB325" s="271"/>
      <c r="AC325" s="276"/>
      <c r="AD325" s="267"/>
    </row>
    <row r="326" spans="1:30" s="268" customFormat="1" x14ac:dyDescent="0.3">
      <c r="A326" s="269"/>
      <c r="B326" s="270" t="s">
        <v>354</v>
      </c>
      <c r="C326" s="271"/>
      <c r="D326" s="272"/>
      <c r="E326" s="272"/>
      <c r="F326" s="272"/>
      <c r="G326" s="272"/>
      <c r="H326" s="272"/>
      <c r="I326" s="272"/>
      <c r="J326" s="272"/>
      <c r="K326" s="272"/>
      <c r="L326" s="272"/>
      <c r="M326" s="272"/>
      <c r="N326" s="272"/>
      <c r="O326" s="272"/>
      <c r="P326" s="272"/>
      <c r="Q326" s="272"/>
      <c r="R326" s="272"/>
      <c r="S326" s="272"/>
      <c r="T326" s="272"/>
      <c r="U326" s="272"/>
      <c r="V326" s="272"/>
      <c r="W326" s="272"/>
      <c r="X326" s="273">
        <v>0</v>
      </c>
      <c r="Y326" s="274">
        <v>0</v>
      </c>
      <c r="Z326" s="275">
        <v>0</v>
      </c>
      <c r="AA326" s="274">
        <v>0</v>
      </c>
      <c r="AB326" s="271"/>
      <c r="AC326" s="276"/>
      <c r="AD326" s="267"/>
    </row>
    <row r="327" spans="1:30" s="268" customFormat="1" x14ac:dyDescent="0.3">
      <c r="A327" s="269"/>
      <c r="B327" s="270" t="s">
        <v>345</v>
      </c>
      <c r="C327" s="271"/>
      <c r="D327" s="272"/>
      <c r="E327" s="272"/>
      <c r="F327" s="272"/>
      <c r="G327" s="272"/>
      <c r="H327" s="272"/>
      <c r="I327" s="272"/>
      <c r="J327" s="272"/>
      <c r="K327" s="272"/>
      <c r="L327" s="272"/>
      <c r="M327" s="272"/>
      <c r="N327" s="272"/>
      <c r="O327" s="272"/>
      <c r="P327" s="272"/>
      <c r="Q327" s="272"/>
      <c r="R327" s="272"/>
      <c r="S327" s="272"/>
      <c r="T327" s="272"/>
      <c r="U327" s="272"/>
      <c r="V327" s="272"/>
      <c r="W327" s="272"/>
      <c r="X327" s="273">
        <v>1</v>
      </c>
      <c r="Y327" s="274">
        <f>X327/X330</f>
        <v>1</v>
      </c>
      <c r="Z327" s="275">
        <v>498</v>
      </c>
      <c r="AA327" s="274">
        <f>Z327/Z330</f>
        <v>1</v>
      </c>
      <c r="AB327" s="271"/>
      <c r="AC327" s="276"/>
      <c r="AD327" s="267"/>
    </row>
    <row r="328" spans="1:30" s="268" customFormat="1" x14ac:dyDescent="0.3">
      <c r="A328" s="269"/>
      <c r="B328" s="277" t="s">
        <v>344</v>
      </c>
      <c r="C328" s="271"/>
      <c r="D328" s="272"/>
      <c r="E328" s="272"/>
      <c r="F328" s="272"/>
      <c r="G328" s="272"/>
      <c r="H328" s="272"/>
      <c r="I328" s="272"/>
      <c r="J328" s="272"/>
      <c r="K328" s="272"/>
      <c r="L328" s="272"/>
      <c r="M328" s="272"/>
      <c r="N328" s="272"/>
      <c r="O328" s="272"/>
      <c r="P328" s="272"/>
      <c r="Q328" s="272"/>
      <c r="R328" s="272"/>
      <c r="S328" s="272"/>
      <c r="T328" s="272"/>
      <c r="U328" s="272"/>
      <c r="V328" s="272"/>
      <c r="W328" s="272"/>
      <c r="X328" s="273">
        <v>0</v>
      </c>
      <c r="Y328" s="274">
        <v>0</v>
      </c>
      <c r="Z328" s="275">
        <v>0</v>
      </c>
      <c r="AA328" s="274">
        <v>0</v>
      </c>
      <c r="AB328" s="271"/>
      <c r="AC328" s="276"/>
      <c r="AD328" s="267"/>
    </row>
    <row r="329" spans="1:30" s="268" customFormat="1" x14ac:dyDescent="0.3">
      <c r="A329" s="269"/>
      <c r="B329" s="270"/>
      <c r="C329" s="271"/>
      <c r="D329" s="272"/>
      <c r="E329" s="272"/>
      <c r="F329" s="272"/>
      <c r="G329" s="272"/>
      <c r="H329" s="272"/>
      <c r="I329" s="272"/>
      <c r="J329" s="272"/>
      <c r="K329" s="272"/>
      <c r="L329" s="272"/>
      <c r="M329" s="272"/>
      <c r="N329" s="272"/>
      <c r="O329" s="272"/>
      <c r="P329" s="272"/>
      <c r="Q329" s="272"/>
      <c r="R329" s="272"/>
      <c r="S329" s="272"/>
      <c r="T329" s="272"/>
      <c r="U329" s="272"/>
      <c r="V329" s="272"/>
      <c r="W329" s="272"/>
      <c r="X329" s="273"/>
      <c r="Y329" s="274"/>
      <c r="Z329" s="275"/>
      <c r="AA329" s="274"/>
      <c r="AB329" s="271"/>
      <c r="AC329" s="276"/>
      <c r="AD329" s="267"/>
    </row>
    <row r="330" spans="1:30" s="268" customFormat="1" x14ac:dyDescent="0.3">
      <c r="A330" s="269"/>
      <c r="B330" s="270" t="s">
        <v>80</v>
      </c>
      <c r="C330" s="271"/>
      <c r="D330" s="272"/>
      <c r="E330" s="272"/>
      <c r="F330" s="272"/>
      <c r="G330" s="272"/>
      <c r="H330" s="272"/>
      <c r="I330" s="272"/>
      <c r="J330" s="272"/>
      <c r="K330" s="272"/>
      <c r="L330" s="272"/>
      <c r="M330" s="272"/>
      <c r="N330" s="272"/>
      <c r="O330" s="272"/>
      <c r="P330" s="272"/>
      <c r="Q330" s="272"/>
      <c r="R330" s="272"/>
      <c r="S330" s="272"/>
      <c r="T330" s="272"/>
      <c r="U330" s="272"/>
      <c r="V330" s="272"/>
      <c r="W330" s="272"/>
      <c r="X330" s="273">
        <f>SUM(X323:X329)</f>
        <v>1</v>
      </c>
      <c r="Y330" s="274">
        <f>SUM(Y323:Y328)</f>
        <v>1</v>
      </c>
      <c r="Z330" s="275">
        <f>SUM(Z323:Z328)</f>
        <v>498</v>
      </c>
      <c r="AA330" s="274">
        <f>SUM(AA323:AA329)</f>
        <v>1</v>
      </c>
      <c r="AB330" s="271"/>
      <c r="AC330" s="276"/>
      <c r="AD330" s="267"/>
    </row>
    <row r="331" spans="1:30" x14ac:dyDescent="0.3">
      <c r="A331" s="7"/>
      <c r="B331" s="102"/>
      <c r="C331" s="102"/>
      <c r="D331" s="208"/>
      <c r="E331" s="208"/>
      <c r="F331" s="208"/>
      <c r="G331" s="208"/>
      <c r="H331" s="208"/>
      <c r="I331" s="208"/>
      <c r="J331" s="208"/>
      <c r="K331" s="208"/>
      <c r="L331" s="208"/>
      <c r="M331" s="208"/>
      <c r="N331" s="208"/>
      <c r="O331" s="208"/>
      <c r="P331" s="208"/>
      <c r="Q331" s="208"/>
      <c r="R331" s="208"/>
      <c r="S331" s="208"/>
      <c r="T331" s="208"/>
      <c r="U331" s="208"/>
      <c r="V331" s="208"/>
      <c r="W331" s="208"/>
      <c r="X331" s="103"/>
      <c r="Y331" s="209"/>
      <c r="Z331" s="210"/>
      <c r="AA331" s="209"/>
      <c r="AB331" s="102"/>
      <c r="AC331" s="10"/>
      <c r="AD331" s="5"/>
    </row>
    <row r="332" spans="1:30" x14ac:dyDescent="0.3">
      <c r="A332" s="33"/>
      <c r="B332" s="105" t="s">
        <v>106</v>
      </c>
      <c r="C332" s="34"/>
      <c r="D332" s="211"/>
      <c r="E332" s="211"/>
      <c r="F332" s="211"/>
      <c r="G332" s="211"/>
      <c r="H332" s="211"/>
      <c r="I332" s="211"/>
      <c r="J332" s="211"/>
      <c r="K332" s="211"/>
      <c r="L332" s="211"/>
      <c r="M332" s="211"/>
      <c r="N332" s="211"/>
      <c r="O332" s="211"/>
      <c r="P332" s="211"/>
      <c r="Q332" s="211"/>
      <c r="R332" s="211"/>
      <c r="S332" s="211"/>
      <c r="T332" s="211"/>
      <c r="U332" s="211"/>
      <c r="V332" s="211"/>
      <c r="W332" s="211"/>
      <c r="X332" s="157" t="s">
        <v>69</v>
      </c>
      <c r="Y332" s="106" t="s">
        <v>70</v>
      </c>
      <c r="Z332" s="157" t="s">
        <v>75</v>
      </c>
      <c r="AA332" s="106" t="s">
        <v>70</v>
      </c>
      <c r="AB332" s="34"/>
      <c r="AC332" s="37"/>
      <c r="AD332" s="5"/>
    </row>
    <row r="333" spans="1:30" s="23" customFormat="1" x14ac:dyDescent="0.3">
      <c r="A333" s="18"/>
      <c r="B333" s="109" t="s">
        <v>59</v>
      </c>
      <c r="C333" s="38"/>
      <c r="D333" s="212"/>
      <c r="E333" s="212"/>
      <c r="F333" s="212"/>
      <c r="G333" s="212"/>
      <c r="H333" s="212"/>
      <c r="I333" s="212"/>
      <c r="J333" s="212"/>
      <c r="K333" s="212"/>
      <c r="L333" s="212"/>
      <c r="M333" s="212"/>
      <c r="N333" s="212"/>
      <c r="O333" s="212"/>
      <c r="P333" s="212"/>
      <c r="Q333" s="212"/>
      <c r="R333" s="212"/>
      <c r="S333" s="212"/>
      <c r="T333" s="212"/>
      <c r="U333" s="212"/>
      <c r="V333" s="212"/>
      <c r="W333" s="212"/>
      <c r="X333" s="109">
        <v>0</v>
      </c>
      <c r="Y333" s="195">
        <v>0</v>
      </c>
      <c r="Z333" s="110">
        <v>0</v>
      </c>
      <c r="AA333" s="195">
        <v>0</v>
      </c>
      <c r="AB333" s="38"/>
      <c r="AC333" s="21"/>
      <c r="AD333" s="22"/>
    </row>
    <row r="334" spans="1:30" s="23" customFormat="1" x14ac:dyDescent="0.3">
      <c r="A334" s="48"/>
      <c r="B334" s="100" t="s">
        <v>60</v>
      </c>
      <c r="C334" s="41"/>
      <c r="D334" s="207"/>
      <c r="E334" s="207"/>
      <c r="F334" s="207"/>
      <c r="G334" s="207"/>
      <c r="H334" s="207"/>
      <c r="I334" s="207"/>
      <c r="J334" s="207"/>
      <c r="K334" s="207"/>
      <c r="L334" s="207"/>
      <c r="M334" s="207"/>
      <c r="N334" s="207"/>
      <c r="O334" s="207"/>
      <c r="P334" s="207"/>
      <c r="Q334" s="207"/>
      <c r="R334" s="207"/>
      <c r="S334" s="207"/>
      <c r="T334" s="207"/>
      <c r="U334" s="207"/>
      <c r="V334" s="207"/>
      <c r="W334" s="207"/>
      <c r="X334" s="100">
        <v>0</v>
      </c>
      <c r="Y334" s="201">
        <v>0</v>
      </c>
      <c r="Z334" s="101">
        <v>0</v>
      </c>
      <c r="AA334" s="201">
        <v>0</v>
      </c>
      <c r="AB334" s="41"/>
      <c r="AC334" s="44"/>
      <c r="AD334" s="22"/>
    </row>
    <row r="335" spans="1:30" s="23" customFormat="1" x14ac:dyDescent="0.3">
      <c r="A335" s="48"/>
      <c r="B335" s="100" t="s">
        <v>61</v>
      </c>
      <c r="C335" s="41"/>
      <c r="D335" s="207"/>
      <c r="E335" s="207"/>
      <c r="F335" s="207"/>
      <c r="G335" s="207"/>
      <c r="H335" s="207"/>
      <c r="I335" s="207"/>
      <c r="J335" s="207"/>
      <c r="K335" s="207"/>
      <c r="L335" s="207"/>
      <c r="M335" s="207"/>
      <c r="N335" s="207"/>
      <c r="O335" s="207"/>
      <c r="P335" s="207"/>
      <c r="Q335" s="207"/>
      <c r="R335" s="207"/>
      <c r="S335" s="207"/>
      <c r="T335" s="207"/>
      <c r="U335" s="207"/>
      <c r="V335" s="207"/>
      <c r="W335" s="207"/>
      <c r="X335" s="100">
        <v>0</v>
      </c>
      <c r="Y335" s="201">
        <v>0</v>
      </c>
      <c r="Z335" s="101">
        <v>0</v>
      </c>
      <c r="AA335" s="201">
        <v>0</v>
      </c>
      <c r="AB335" s="41"/>
      <c r="AC335" s="44"/>
      <c r="AD335" s="22"/>
    </row>
    <row r="336" spans="1:30" s="23" customFormat="1" x14ac:dyDescent="0.3">
      <c r="A336" s="48"/>
      <c r="B336" s="100" t="s">
        <v>100</v>
      </c>
      <c r="C336" s="41"/>
      <c r="D336" s="207"/>
      <c r="E336" s="207"/>
      <c r="F336" s="207"/>
      <c r="G336" s="207"/>
      <c r="H336" s="207"/>
      <c r="I336" s="207"/>
      <c r="J336" s="207"/>
      <c r="K336" s="207"/>
      <c r="L336" s="207"/>
      <c r="M336" s="207"/>
      <c r="N336" s="207"/>
      <c r="O336" s="207"/>
      <c r="P336" s="207"/>
      <c r="Q336" s="207"/>
      <c r="R336" s="207"/>
      <c r="S336" s="207"/>
      <c r="T336" s="207"/>
      <c r="U336" s="207"/>
      <c r="V336" s="207"/>
      <c r="W336" s="207"/>
      <c r="X336" s="100">
        <v>0</v>
      </c>
      <c r="Y336" s="201">
        <v>0</v>
      </c>
      <c r="Z336" s="101">
        <v>0</v>
      </c>
      <c r="AA336" s="201">
        <v>0</v>
      </c>
      <c r="AB336" s="41"/>
      <c r="AC336" s="44"/>
      <c r="AD336" s="22"/>
    </row>
    <row r="337" spans="1:30" s="23" customFormat="1" x14ac:dyDescent="0.3">
      <c r="A337" s="48"/>
      <c r="B337" s="100" t="s">
        <v>101</v>
      </c>
      <c r="C337" s="41"/>
      <c r="D337" s="207"/>
      <c r="E337" s="207"/>
      <c r="F337" s="207"/>
      <c r="G337" s="207"/>
      <c r="H337" s="207"/>
      <c r="I337" s="207"/>
      <c r="J337" s="207"/>
      <c r="K337" s="207"/>
      <c r="L337" s="207"/>
      <c r="M337" s="207"/>
      <c r="N337" s="207"/>
      <c r="O337" s="207"/>
      <c r="P337" s="207"/>
      <c r="Q337" s="207"/>
      <c r="R337" s="207"/>
      <c r="S337" s="207"/>
      <c r="T337" s="207"/>
      <c r="U337" s="207"/>
      <c r="V337" s="207"/>
      <c r="W337" s="207"/>
      <c r="X337" s="100">
        <v>0</v>
      </c>
      <c r="Y337" s="201">
        <v>0</v>
      </c>
      <c r="Z337" s="101">
        <v>0</v>
      </c>
      <c r="AA337" s="201">
        <v>0</v>
      </c>
      <c r="AB337" s="41"/>
      <c r="AC337" s="44"/>
      <c r="AD337" s="22"/>
    </row>
    <row r="338" spans="1:30" s="23" customFormat="1" x14ac:dyDescent="0.3">
      <c r="A338" s="48"/>
      <c r="B338" s="100" t="s">
        <v>102</v>
      </c>
      <c r="C338" s="41"/>
      <c r="D338" s="207"/>
      <c r="E338" s="207"/>
      <c r="F338" s="207"/>
      <c r="G338" s="207"/>
      <c r="H338" s="207"/>
      <c r="I338" s="207"/>
      <c r="J338" s="207"/>
      <c r="K338" s="207"/>
      <c r="L338" s="207"/>
      <c r="M338" s="207"/>
      <c r="N338" s="207"/>
      <c r="O338" s="207"/>
      <c r="P338" s="207"/>
      <c r="Q338" s="207"/>
      <c r="R338" s="207"/>
      <c r="S338" s="207"/>
      <c r="T338" s="207"/>
      <c r="U338" s="207"/>
      <c r="V338" s="207"/>
      <c r="W338" s="207"/>
      <c r="X338" s="100">
        <v>0</v>
      </c>
      <c r="Y338" s="201">
        <v>0</v>
      </c>
      <c r="Z338" s="101">
        <v>0</v>
      </c>
      <c r="AA338" s="201">
        <v>0</v>
      </c>
      <c r="AB338" s="41"/>
      <c r="AC338" s="44"/>
      <c r="AD338" s="22"/>
    </row>
    <row r="339" spans="1:30" s="23" customFormat="1" x14ac:dyDescent="0.3">
      <c r="A339" s="48"/>
      <c r="B339" s="100" t="s">
        <v>103</v>
      </c>
      <c r="C339" s="41"/>
      <c r="D339" s="207"/>
      <c r="E339" s="207"/>
      <c r="F339" s="207"/>
      <c r="G339" s="207"/>
      <c r="H339" s="207"/>
      <c r="I339" s="207"/>
      <c r="J339" s="207"/>
      <c r="K339" s="207"/>
      <c r="L339" s="207"/>
      <c r="M339" s="207"/>
      <c r="N339" s="207"/>
      <c r="O339" s="207"/>
      <c r="P339" s="207"/>
      <c r="Q339" s="207"/>
      <c r="R339" s="207"/>
      <c r="S339" s="207"/>
      <c r="T339" s="207"/>
      <c r="U339" s="207"/>
      <c r="V339" s="207"/>
      <c r="W339" s="207"/>
      <c r="X339" s="100">
        <v>0</v>
      </c>
      <c r="Y339" s="201">
        <v>0</v>
      </c>
      <c r="Z339" s="101">
        <v>0</v>
      </c>
      <c r="AA339" s="201">
        <v>0</v>
      </c>
      <c r="AB339" s="41"/>
      <c r="AC339" s="44"/>
      <c r="AD339" s="22"/>
    </row>
    <row r="340" spans="1:30" s="23" customFormat="1" x14ac:dyDescent="0.3">
      <c r="A340" s="48"/>
      <c r="B340" s="100" t="s">
        <v>104</v>
      </c>
      <c r="C340" s="41"/>
      <c r="D340" s="207"/>
      <c r="E340" s="207"/>
      <c r="F340" s="207"/>
      <c r="G340" s="207"/>
      <c r="H340" s="207"/>
      <c r="I340" s="207"/>
      <c r="J340" s="207"/>
      <c r="K340" s="207"/>
      <c r="L340" s="207"/>
      <c r="M340" s="207"/>
      <c r="N340" s="207"/>
      <c r="O340" s="207"/>
      <c r="P340" s="207"/>
      <c r="Q340" s="207"/>
      <c r="R340" s="207"/>
      <c r="S340" s="207"/>
      <c r="T340" s="207"/>
      <c r="U340" s="207"/>
      <c r="V340" s="207"/>
      <c r="W340" s="207"/>
      <c r="X340" s="100">
        <v>0</v>
      </c>
      <c r="Y340" s="201">
        <v>0</v>
      </c>
      <c r="Z340" s="101">
        <v>0</v>
      </c>
      <c r="AA340" s="201">
        <v>0</v>
      </c>
      <c r="AB340" s="41"/>
      <c r="AC340" s="44"/>
      <c r="AD340" s="22"/>
    </row>
    <row r="341" spans="1:30" s="23" customFormat="1" x14ac:dyDescent="0.3">
      <c r="A341" s="48"/>
      <c r="B341" s="100"/>
      <c r="C341" s="41"/>
      <c r="D341" s="207"/>
      <c r="E341" s="207"/>
      <c r="F341" s="207"/>
      <c r="G341" s="207"/>
      <c r="H341" s="207"/>
      <c r="I341" s="207"/>
      <c r="J341" s="207"/>
      <c r="K341" s="207"/>
      <c r="L341" s="207"/>
      <c r="M341" s="207"/>
      <c r="N341" s="207"/>
      <c r="O341" s="207"/>
      <c r="P341" s="207"/>
      <c r="Q341" s="207"/>
      <c r="R341" s="207"/>
      <c r="S341" s="207"/>
      <c r="T341" s="207"/>
      <c r="U341" s="207"/>
      <c r="V341" s="207"/>
      <c r="W341" s="207"/>
      <c r="X341" s="100"/>
      <c r="Y341" s="201"/>
      <c r="Z341" s="101"/>
      <c r="AA341" s="201"/>
      <c r="AB341" s="41"/>
      <c r="AC341" s="44"/>
      <c r="AD341" s="22"/>
    </row>
    <row r="342" spans="1:30" s="23" customFormat="1" x14ac:dyDescent="0.3">
      <c r="A342" s="48"/>
      <c r="B342" s="41" t="s">
        <v>80</v>
      </c>
      <c r="C342" s="41"/>
      <c r="D342" s="207"/>
      <c r="E342" s="207"/>
      <c r="F342" s="207"/>
      <c r="G342" s="207"/>
      <c r="H342" s="207"/>
      <c r="I342" s="207"/>
      <c r="J342" s="207"/>
      <c r="K342" s="207"/>
      <c r="L342" s="207"/>
      <c r="M342" s="207"/>
      <c r="N342" s="207"/>
      <c r="O342" s="207"/>
      <c r="P342" s="207"/>
      <c r="Q342" s="207"/>
      <c r="R342" s="207"/>
      <c r="S342" s="207"/>
      <c r="T342" s="207"/>
      <c r="U342" s="207"/>
      <c r="V342" s="207"/>
      <c r="W342" s="207"/>
      <c r="X342" s="100">
        <f>SUM(X333:X340)</f>
        <v>0</v>
      </c>
      <c r="Y342" s="201">
        <f>SUM(Y333:Y340)</f>
        <v>0</v>
      </c>
      <c r="Z342" s="101">
        <f>SUM(Z333:Z340)</f>
        <v>0</v>
      </c>
      <c r="AA342" s="201">
        <f>SUM(AA333:AA340)</f>
        <v>0</v>
      </c>
      <c r="AB342" s="41"/>
      <c r="AC342" s="44"/>
      <c r="AD342" s="22"/>
    </row>
    <row r="343" spans="1:30" s="23" customFormat="1" x14ac:dyDescent="0.3">
      <c r="A343" s="48"/>
      <c r="B343" s="41"/>
      <c r="C343" s="41"/>
      <c r="D343" s="207"/>
      <c r="E343" s="207"/>
      <c r="F343" s="207"/>
      <c r="G343" s="207"/>
      <c r="H343" s="207"/>
      <c r="I343" s="207"/>
      <c r="J343" s="207"/>
      <c r="K343" s="207"/>
      <c r="L343" s="207"/>
      <c r="M343" s="207"/>
      <c r="N343" s="207"/>
      <c r="O343" s="207"/>
      <c r="P343" s="207"/>
      <c r="Q343" s="207"/>
      <c r="R343" s="207"/>
      <c r="S343" s="207"/>
      <c r="T343" s="207"/>
      <c r="U343" s="207"/>
      <c r="V343" s="207"/>
      <c r="W343" s="207"/>
      <c r="X343" s="100"/>
      <c r="Y343" s="201"/>
      <c r="Z343" s="101"/>
      <c r="AA343" s="201"/>
      <c r="AB343" s="41"/>
      <c r="AC343" s="44"/>
      <c r="AD343" s="22"/>
    </row>
    <row r="344" spans="1:30" s="23" customFormat="1" x14ac:dyDescent="0.3">
      <c r="A344" s="243" t="s">
        <v>324</v>
      </c>
      <c r="B344" s="244" t="s">
        <v>325</v>
      </c>
      <c r="C344" s="245"/>
      <c r="D344" s="245"/>
      <c r="E344" s="245"/>
      <c r="F344" s="245"/>
      <c r="G344" s="245"/>
      <c r="H344" s="246"/>
      <c r="I344" s="246"/>
      <c r="J344" s="246"/>
      <c r="K344" s="246"/>
      <c r="L344" s="246"/>
      <c r="M344" s="246"/>
      <c r="N344" s="246"/>
      <c r="O344" s="246"/>
      <c r="P344" s="262"/>
      <c r="Q344" s="262"/>
      <c r="R344" s="262"/>
      <c r="S344" s="262"/>
      <c r="T344" s="262"/>
      <c r="U344" s="262"/>
      <c r="V344" s="262"/>
      <c r="W344" s="262"/>
      <c r="X344" s="157" t="s">
        <v>69</v>
      </c>
      <c r="Y344" s="106" t="s">
        <v>70</v>
      </c>
      <c r="Z344" s="157" t="s">
        <v>75</v>
      </c>
      <c r="AA344" s="106" t="s">
        <v>70</v>
      </c>
      <c r="AB344" s="244" t="s">
        <v>349</v>
      </c>
      <c r="AC344" s="37"/>
      <c r="AD344" s="22"/>
    </row>
    <row r="345" spans="1:30" s="23" customFormat="1" x14ac:dyDescent="0.3">
      <c r="A345" s="247"/>
      <c r="B345" s="248" t="s">
        <v>59</v>
      </c>
      <c r="C345" s="249"/>
      <c r="D345" s="249"/>
      <c r="E345" s="249"/>
      <c r="F345" s="249"/>
      <c r="G345" s="249"/>
      <c r="H345" s="250"/>
      <c r="I345" s="250"/>
      <c r="J345" s="250"/>
      <c r="K345" s="250"/>
      <c r="L345" s="250"/>
      <c r="M345" s="250"/>
      <c r="N345" s="250"/>
      <c r="O345" s="250"/>
      <c r="P345" s="261"/>
      <c r="Q345" s="261"/>
      <c r="R345" s="261"/>
      <c r="S345" s="261"/>
      <c r="T345" s="261"/>
      <c r="U345" s="261"/>
      <c r="V345" s="261"/>
      <c r="W345" s="261"/>
      <c r="X345" s="109">
        <v>182</v>
      </c>
      <c r="Y345" s="195">
        <f>+X345/X354</f>
        <v>0.99453551912568305</v>
      </c>
      <c r="Z345" s="110">
        <v>40338</v>
      </c>
      <c r="AA345" s="195">
        <f>+Z345/Z354</f>
        <v>0.9935467980295567</v>
      </c>
      <c r="AB345" s="38"/>
      <c r="AC345" s="44"/>
      <c r="AD345" s="22"/>
    </row>
    <row r="346" spans="1:30" s="23" customFormat="1" x14ac:dyDescent="0.3">
      <c r="A346" s="251"/>
      <c r="B346" s="252" t="s">
        <v>60</v>
      </c>
      <c r="C346" s="253"/>
      <c r="D346" s="253"/>
      <c r="E346" s="253"/>
      <c r="F346" s="253"/>
      <c r="G346" s="253"/>
      <c r="H346" s="254"/>
      <c r="I346" s="254"/>
      <c r="J346" s="254"/>
      <c r="K346" s="254"/>
      <c r="L346" s="254"/>
      <c r="M346" s="254"/>
      <c r="N346" s="254"/>
      <c r="O346" s="254"/>
      <c r="P346" s="207"/>
      <c r="Q346" s="207"/>
      <c r="R346" s="207"/>
      <c r="S346" s="207"/>
      <c r="T346" s="207"/>
      <c r="U346" s="207"/>
      <c r="V346" s="207"/>
      <c r="W346" s="207"/>
      <c r="X346" s="100">
        <v>1</v>
      </c>
      <c r="Y346" s="263">
        <f>+X346/X354</f>
        <v>5.4644808743169399E-3</v>
      </c>
      <c r="Z346" s="101">
        <v>262</v>
      </c>
      <c r="AA346" s="201">
        <f>+Z346/Z354</f>
        <v>6.4532019704433494E-3</v>
      </c>
      <c r="AB346" s="41"/>
      <c r="AC346" s="44"/>
      <c r="AD346" s="22"/>
    </row>
    <row r="347" spans="1:30" s="23" customFormat="1" x14ac:dyDescent="0.3">
      <c r="A347" s="251"/>
      <c r="B347" s="252" t="s">
        <v>61</v>
      </c>
      <c r="C347" s="253"/>
      <c r="D347" s="253"/>
      <c r="E347" s="253"/>
      <c r="F347" s="253"/>
      <c r="G347" s="253"/>
      <c r="H347" s="254"/>
      <c r="I347" s="254"/>
      <c r="J347" s="254"/>
      <c r="K347" s="254"/>
      <c r="L347" s="254"/>
      <c r="M347" s="254"/>
      <c r="N347" s="254"/>
      <c r="O347" s="254"/>
      <c r="P347" s="207"/>
      <c r="Q347" s="207"/>
      <c r="R347" s="207"/>
      <c r="S347" s="207"/>
      <c r="T347" s="207"/>
      <c r="U347" s="207"/>
      <c r="V347" s="207"/>
      <c r="W347" s="207"/>
      <c r="X347" s="100">
        <v>0</v>
      </c>
      <c r="Y347" s="263">
        <f>+X347/X354</f>
        <v>0</v>
      </c>
      <c r="Z347" s="101">
        <v>0</v>
      </c>
      <c r="AA347" s="201">
        <f>+Z347/Z354</f>
        <v>0</v>
      </c>
      <c r="AB347" s="41"/>
      <c r="AC347" s="44"/>
      <c r="AD347" s="22"/>
    </row>
    <row r="348" spans="1:30" s="23" customFormat="1" x14ac:dyDescent="0.3">
      <c r="A348" s="251"/>
      <c r="B348" s="252" t="s">
        <v>100</v>
      </c>
      <c r="C348" s="253"/>
      <c r="D348" s="253"/>
      <c r="E348" s="253"/>
      <c r="F348" s="253"/>
      <c r="G348" s="253"/>
      <c r="H348" s="254"/>
      <c r="I348" s="254"/>
      <c r="J348" s="254"/>
      <c r="K348" s="254"/>
      <c r="L348" s="254"/>
      <c r="M348" s="254"/>
      <c r="N348" s="254"/>
      <c r="O348" s="254"/>
      <c r="P348" s="207"/>
      <c r="Q348" s="207"/>
      <c r="R348" s="207"/>
      <c r="S348" s="207"/>
      <c r="T348" s="207"/>
      <c r="U348" s="207"/>
      <c r="V348" s="207"/>
      <c r="W348" s="207"/>
      <c r="X348" s="100">
        <v>0</v>
      </c>
      <c r="Y348" s="263">
        <f>+X348/X354</f>
        <v>0</v>
      </c>
      <c r="Z348" s="101">
        <v>0</v>
      </c>
      <c r="AA348" s="201">
        <f>+Z348/Z354</f>
        <v>0</v>
      </c>
      <c r="AB348" s="41"/>
      <c r="AC348" s="44"/>
      <c r="AD348" s="22"/>
    </row>
    <row r="349" spans="1:30" s="23" customFormat="1" x14ac:dyDescent="0.3">
      <c r="A349" s="251"/>
      <c r="B349" s="252" t="s">
        <v>101</v>
      </c>
      <c r="C349" s="253"/>
      <c r="D349" s="253"/>
      <c r="E349" s="253"/>
      <c r="F349" s="253"/>
      <c r="G349" s="253"/>
      <c r="H349" s="254"/>
      <c r="I349" s="254"/>
      <c r="J349" s="254"/>
      <c r="K349" s="254"/>
      <c r="L349" s="254"/>
      <c r="M349" s="254"/>
      <c r="N349" s="254"/>
      <c r="O349" s="254"/>
      <c r="P349" s="207"/>
      <c r="Q349" s="207"/>
      <c r="R349" s="207"/>
      <c r="S349" s="207"/>
      <c r="T349" s="207"/>
      <c r="U349" s="207"/>
      <c r="V349" s="207"/>
      <c r="W349" s="207"/>
      <c r="X349" s="100">
        <v>0</v>
      </c>
      <c r="Y349" s="263">
        <f>+X349/X354</f>
        <v>0</v>
      </c>
      <c r="Z349" s="101">
        <v>0</v>
      </c>
      <c r="AA349" s="201">
        <f>+Z349/Z354</f>
        <v>0</v>
      </c>
      <c r="AB349" s="41"/>
      <c r="AC349" s="44"/>
      <c r="AD349" s="22"/>
    </row>
    <row r="350" spans="1:30" s="23" customFormat="1" x14ac:dyDescent="0.3">
      <c r="A350" s="251"/>
      <c r="B350" s="252" t="s">
        <v>102</v>
      </c>
      <c r="C350" s="253"/>
      <c r="D350" s="253"/>
      <c r="E350" s="253"/>
      <c r="F350" s="253"/>
      <c r="G350" s="253"/>
      <c r="H350" s="254"/>
      <c r="I350" s="254"/>
      <c r="J350" s="254"/>
      <c r="K350" s="254"/>
      <c r="L350" s="254"/>
      <c r="M350" s="254"/>
      <c r="N350" s="254"/>
      <c r="O350" s="254"/>
      <c r="P350" s="207"/>
      <c r="Q350" s="207"/>
      <c r="R350" s="207"/>
      <c r="S350" s="207"/>
      <c r="T350" s="207"/>
      <c r="U350" s="207"/>
      <c r="V350" s="207"/>
      <c r="W350" s="207"/>
      <c r="X350" s="100">
        <v>0</v>
      </c>
      <c r="Y350" s="263">
        <f>+X350/X354</f>
        <v>0</v>
      </c>
      <c r="Z350" s="101">
        <v>0</v>
      </c>
      <c r="AA350" s="201">
        <f>+Z350/Z354</f>
        <v>0</v>
      </c>
      <c r="AB350" s="41"/>
      <c r="AC350" s="44"/>
      <c r="AD350" s="22"/>
    </row>
    <row r="351" spans="1:30" s="23" customFormat="1" x14ac:dyDescent="0.3">
      <c r="A351" s="251"/>
      <c r="B351" s="252" t="s">
        <v>103</v>
      </c>
      <c r="C351" s="253"/>
      <c r="D351" s="253"/>
      <c r="E351" s="253"/>
      <c r="F351" s="253"/>
      <c r="G351" s="253"/>
      <c r="H351" s="254"/>
      <c r="I351" s="254"/>
      <c r="J351" s="254"/>
      <c r="K351" s="254"/>
      <c r="L351" s="254"/>
      <c r="M351" s="254"/>
      <c r="N351" s="254"/>
      <c r="O351" s="254"/>
      <c r="P351" s="207"/>
      <c r="Q351" s="207"/>
      <c r="R351" s="207"/>
      <c r="S351" s="207"/>
      <c r="T351" s="207"/>
      <c r="U351" s="207"/>
      <c r="V351" s="207"/>
      <c r="W351" s="207"/>
      <c r="X351" s="100">
        <v>0</v>
      </c>
      <c r="Y351" s="263">
        <f>+X351/X354</f>
        <v>0</v>
      </c>
      <c r="Z351" s="101">
        <v>0</v>
      </c>
      <c r="AA351" s="201">
        <f>+Z351/Z354</f>
        <v>0</v>
      </c>
      <c r="AB351" s="41"/>
      <c r="AC351" s="44"/>
      <c r="AD351" s="22"/>
    </row>
    <row r="352" spans="1:30" s="23" customFormat="1" x14ac:dyDescent="0.3">
      <c r="A352" s="251"/>
      <c r="B352" s="252" t="s">
        <v>104</v>
      </c>
      <c r="C352" s="253"/>
      <c r="D352" s="253"/>
      <c r="E352" s="253"/>
      <c r="F352" s="253"/>
      <c r="G352" s="253"/>
      <c r="H352" s="254"/>
      <c r="I352" s="254"/>
      <c r="J352" s="254"/>
      <c r="K352" s="254"/>
      <c r="L352" s="254"/>
      <c r="M352" s="254"/>
      <c r="N352" s="254"/>
      <c r="O352" s="254"/>
      <c r="P352" s="207"/>
      <c r="Q352" s="207"/>
      <c r="R352" s="207"/>
      <c r="S352" s="207"/>
      <c r="T352" s="207"/>
      <c r="U352" s="207"/>
      <c r="V352" s="207"/>
      <c r="W352" s="207"/>
      <c r="X352" s="100">
        <v>0</v>
      </c>
      <c r="Y352" s="195">
        <f>+X352/X354</f>
        <v>0</v>
      </c>
      <c r="Z352" s="101">
        <v>0</v>
      </c>
      <c r="AA352" s="201">
        <f>+Z352/Z354</f>
        <v>0</v>
      </c>
      <c r="AB352" s="41"/>
      <c r="AC352" s="44"/>
      <c r="AD352" s="22"/>
    </row>
    <row r="353" spans="1:30" s="23" customFormat="1" x14ac:dyDescent="0.3">
      <c r="A353" s="251"/>
      <c r="B353" s="252"/>
      <c r="C353" s="253"/>
      <c r="D353" s="253"/>
      <c r="E353" s="253"/>
      <c r="F353" s="253"/>
      <c r="G353" s="253"/>
      <c r="H353" s="254"/>
      <c r="I353" s="254"/>
      <c r="J353" s="254"/>
      <c r="K353" s="254"/>
      <c r="L353" s="254"/>
      <c r="M353" s="254"/>
      <c r="N353" s="254"/>
      <c r="O353" s="254"/>
      <c r="P353" s="207"/>
      <c r="Q353" s="207"/>
      <c r="R353" s="207"/>
      <c r="S353" s="207"/>
      <c r="T353" s="207"/>
      <c r="U353" s="207"/>
      <c r="V353" s="207"/>
      <c r="W353" s="207"/>
      <c r="X353" s="100"/>
      <c r="Y353" s="201"/>
      <c r="Z353" s="101"/>
      <c r="AA353" s="201"/>
      <c r="AB353" s="41"/>
      <c r="AC353" s="44"/>
      <c r="AD353" s="22"/>
    </row>
    <row r="354" spans="1:30" s="23" customFormat="1" x14ac:dyDescent="0.3">
      <c r="A354" s="251"/>
      <c r="B354" s="253" t="s">
        <v>80</v>
      </c>
      <c r="C354" s="253"/>
      <c r="D354" s="253"/>
      <c r="E354" s="253"/>
      <c r="F354" s="253"/>
      <c r="G354" s="253"/>
      <c r="H354" s="254"/>
      <c r="I354" s="254"/>
      <c r="J354" s="254"/>
      <c r="K354" s="254"/>
      <c r="L354" s="254"/>
      <c r="M354" s="254"/>
      <c r="N354" s="254"/>
      <c r="O354" s="254"/>
      <c r="P354" s="207"/>
      <c r="Q354" s="207"/>
      <c r="R354" s="207"/>
      <c r="S354" s="207"/>
      <c r="T354" s="207"/>
      <c r="U354" s="207"/>
      <c r="V354" s="207"/>
      <c r="W354" s="207"/>
      <c r="X354" s="284">
        <f>SUM(X345:X352)</f>
        <v>183</v>
      </c>
      <c r="Y354" s="205">
        <f>SUM(Y345:Y352)</f>
        <v>1</v>
      </c>
      <c r="Z354" s="285">
        <f>SUM(Z345:Z352)</f>
        <v>40600</v>
      </c>
      <c r="AA354" s="205">
        <f>SUM(AA345:AA352)</f>
        <v>1</v>
      </c>
      <c r="AB354" s="286"/>
      <c r="AC354" s="44"/>
      <c r="AD354" s="22"/>
    </row>
    <row r="355" spans="1:30" s="268" customFormat="1" ht="16.2" thickBot="1" x14ac:dyDescent="0.35">
      <c r="A355" s="251"/>
      <c r="B355" s="253" t="s">
        <v>343</v>
      </c>
      <c r="C355" s="253"/>
      <c r="D355" s="253"/>
      <c r="E355" s="253"/>
      <c r="F355" s="253"/>
      <c r="G355" s="253"/>
      <c r="H355" s="254"/>
      <c r="I355" s="254"/>
      <c r="J355" s="254"/>
      <c r="K355" s="254"/>
      <c r="L355" s="254"/>
      <c r="M355" s="254"/>
      <c r="N355" s="254"/>
      <c r="O355" s="254"/>
      <c r="P355" s="272"/>
      <c r="Q355" s="272"/>
      <c r="R355" s="272"/>
      <c r="S355" s="272"/>
      <c r="T355" s="272"/>
      <c r="U355" s="272"/>
      <c r="V355" s="272"/>
      <c r="W355" s="272"/>
      <c r="X355" s="291"/>
      <c r="Y355" s="291">
        <f>X354/X359</f>
        <v>4.9512987012987016E-2</v>
      </c>
      <c r="Z355" s="292"/>
      <c r="AA355" s="291">
        <f>Z354/Z359</f>
        <v>6.5900853302428106E-2</v>
      </c>
      <c r="AB355" s="293"/>
      <c r="AC355" s="276"/>
      <c r="AD355" s="267"/>
    </row>
    <row r="356" spans="1:30" s="268" customFormat="1" ht="16.2" thickTop="1" x14ac:dyDescent="0.3">
      <c r="A356" s="251"/>
      <c r="B356" s="253" t="s">
        <v>347</v>
      </c>
      <c r="C356" s="253"/>
      <c r="D356" s="253"/>
      <c r="E356" s="253"/>
      <c r="F356" s="253"/>
      <c r="G356" s="253"/>
      <c r="H356" s="254"/>
      <c r="I356" s="254"/>
      <c r="J356" s="254"/>
      <c r="K356" s="254"/>
      <c r="L356" s="254"/>
      <c r="M356" s="254"/>
      <c r="N356" s="254"/>
      <c r="O356" s="254"/>
      <c r="P356" s="272"/>
      <c r="Q356" s="272"/>
      <c r="R356" s="272"/>
      <c r="S356" s="272"/>
      <c r="T356" s="272"/>
      <c r="U356" s="272"/>
      <c r="V356" s="272"/>
      <c r="W356" s="272"/>
      <c r="X356" s="294">
        <v>53</v>
      </c>
      <c r="Y356" s="295">
        <f>+X356/X354</f>
        <v>0.2896174863387978</v>
      </c>
      <c r="Z356" s="296">
        <v>10569</v>
      </c>
      <c r="AA356" s="295">
        <f>+Z356/Z354</f>
        <v>0.26032019704433496</v>
      </c>
      <c r="AB356" s="297">
        <v>0.26016260162601629</v>
      </c>
      <c r="AC356" s="276"/>
      <c r="AD356" s="267"/>
    </row>
    <row r="357" spans="1:30" s="268" customFormat="1" ht="16.2" thickBot="1" x14ac:dyDescent="0.35">
      <c r="A357" s="251"/>
      <c r="B357" s="253" t="s">
        <v>348</v>
      </c>
      <c r="C357" s="253"/>
      <c r="D357" s="253"/>
      <c r="E357" s="253"/>
      <c r="F357" s="253"/>
      <c r="G357" s="253"/>
      <c r="H357" s="254"/>
      <c r="I357" s="254"/>
      <c r="J357" s="254"/>
      <c r="K357" s="254"/>
      <c r="L357" s="254"/>
      <c r="M357" s="254"/>
      <c r="N357" s="254"/>
      <c r="O357" s="254"/>
      <c r="P357" s="272"/>
      <c r="Q357" s="272"/>
      <c r="R357" s="272"/>
      <c r="S357" s="272"/>
      <c r="T357" s="272"/>
      <c r="U357" s="272"/>
      <c r="V357" s="272"/>
      <c r="W357" s="272"/>
      <c r="X357" s="287">
        <v>130</v>
      </c>
      <c r="Y357" s="288">
        <f>+X357/X354</f>
        <v>0.7103825136612022</v>
      </c>
      <c r="Z357" s="289">
        <v>30031</v>
      </c>
      <c r="AA357" s="288">
        <f>+Z357/Z354</f>
        <v>0.73967980295566504</v>
      </c>
      <c r="AB357" s="290">
        <v>1.6109181141439206</v>
      </c>
      <c r="AC357" s="276"/>
      <c r="AD357" s="267"/>
    </row>
    <row r="358" spans="1:30" s="23" customFormat="1" ht="16.2" thickTop="1" x14ac:dyDescent="0.3">
      <c r="A358" s="48"/>
      <c r="B358" s="41"/>
      <c r="C358" s="41"/>
      <c r="D358" s="207"/>
      <c r="E358" s="207"/>
      <c r="F358" s="207"/>
      <c r="G358" s="207"/>
      <c r="H358" s="207"/>
      <c r="I358" s="207"/>
      <c r="J358" s="207"/>
      <c r="K358" s="207"/>
      <c r="L358" s="207"/>
      <c r="M358" s="207"/>
      <c r="N358" s="207"/>
      <c r="O358" s="207"/>
      <c r="P358" s="207"/>
      <c r="Q358" s="207"/>
      <c r="R358" s="207"/>
      <c r="S358" s="207"/>
      <c r="T358" s="207"/>
      <c r="U358" s="207"/>
      <c r="V358" s="207"/>
      <c r="W358" s="207"/>
      <c r="X358" s="284"/>
      <c r="Y358" s="205"/>
      <c r="Z358" s="285"/>
      <c r="AA358" s="205"/>
      <c r="AB358" s="286"/>
      <c r="AC358" s="44"/>
      <c r="AD358" s="22"/>
    </row>
    <row r="359" spans="1:30" s="23" customFormat="1" x14ac:dyDescent="0.3">
      <c r="A359" s="48"/>
      <c r="B359" s="45" t="s">
        <v>139</v>
      </c>
      <c r="C359" s="41"/>
      <c r="D359" s="207"/>
      <c r="E359" s="207"/>
      <c r="F359" s="207"/>
      <c r="G359" s="207"/>
      <c r="H359" s="207"/>
      <c r="I359" s="207"/>
      <c r="J359" s="207"/>
      <c r="K359" s="207"/>
      <c r="L359" s="207"/>
      <c r="M359" s="207"/>
      <c r="N359" s="207"/>
      <c r="O359" s="207"/>
      <c r="P359" s="207"/>
      <c r="Q359" s="207"/>
      <c r="R359" s="207"/>
      <c r="S359" s="207"/>
      <c r="T359" s="207"/>
      <c r="U359" s="207"/>
      <c r="V359" s="207"/>
      <c r="W359" s="207"/>
      <c r="X359" s="213">
        <f>X342+X320+X308</f>
        <v>3696</v>
      </c>
      <c r="Y359" s="201"/>
      <c r="Z359" s="214">
        <f>+Z342+Z320+Z308</f>
        <v>616077</v>
      </c>
      <c r="AA359" s="201"/>
      <c r="AB359" s="41"/>
      <c r="AC359" s="44"/>
      <c r="AD359" s="22"/>
    </row>
    <row r="360" spans="1:30" s="23" customFormat="1" x14ac:dyDescent="0.3">
      <c r="A360" s="48"/>
      <c r="B360" s="45" t="s">
        <v>253</v>
      </c>
      <c r="C360" s="45"/>
      <c r="D360" s="215"/>
      <c r="E360" s="215"/>
      <c r="F360" s="215"/>
      <c r="G360" s="215"/>
      <c r="H360" s="215"/>
      <c r="I360" s="215"/>
      <c r="J360" s="215"/>
      <c r="K360" s="215"/>
      <c r="L360" s="215"/>
      <c r="M360" s="215"/>
      <c r="N360" s="215"/>
      <c r="O360" s="215"/>
      <c r="P360" s="215"/>
      <c r="Q360" s="215"/>
      <c r="R360" s="215"/>
      <c r="S360" s="215"/>
      <c r="T360" s="215"/>
      <c r="U360" s="215"/>
      <c r="V360" s="215"/>
      <c r="W360" s="215"/>
      <c r="X360" s="213"/>
      <c r="Y360" s="216"/>
      <c r="Z360" s="214">
        <f>+AB63+AB64</f>
        <v>305</v>
      </c>
      <c r="AA360" s="201"/>
      <c r="AB360" s="41"/>
      <c r="AC360" s="44"/>
      <c r="AD360" s="22"/>
    </row>
    <row r="361" spans="1:30" s="23" customFormat="1" x14ac:dyDescent="0.3">
      <c r="A361" s="48"/>
      <c r="B361" s="45" t="s">
        <v>107</v>
      </c>
      <c r="C361" s="45"/>
      <c r="D361" s="215"/>
      <c r="E361" s="215"/>
      <c r="F361" s="215"/>
      <c r="G361" s="215"/>
      <c r="H361" s="215"/>
      <c r="I361" s="215"/>
      <c r="J361" s="215"/>
      <c r="K361" s="215"/>
      <c r="L361" s="215"/>
      <c r="M361" s="215"/>
      <c r="N361" s="215"/>
      <c r="O361" s="215"/>
      <c r="P361" s="215"/>
      <c r="Q361" s="215"/>
      <c r="R361" s="215"/>
      <c r="S361" s="215"/>
      <c r="T361" s="215"/>
      <c r="U361" s="215"/>
      <c r="V361" s="215"/>
      <c r="W361" s="215"/>
      <c r="X361" s="213"/>
      <c r="Y361" s="216"/>
      <c r="Z361" s="214">
        <f>+Z359+Z360</f>
        <v>616382</v>
      </c>
      <c r="AA361" s="201"/>
      <c r="AB361" s="41"/>
      <c r="AC361" s="44"/>
      <c r="AD361" s="22"/>
    </row>
    <row r="362" spans="1:30" s="23" customFormat="1" x14ac:dyDescent="0.3">
      <c r="A362" s="48"/>
      <c r="B362" s="45" t="s">
        <v>275</v>
      </c>
      <c r="C362" s="41"/>
      <c r="D362" s="207"/>
      <c r="E362" s="207"/>
      <c r="F362" s="207"/>
      <c r="G362" s="207"/>
      <c r="H362" s="207"/>
      <c r="I362" s="207"/>
      <c r="J362" s="207"/>
      <c r="K362" s="207"/>
      <c r="L362" s="207"/>
      <c r="M362" s="207"/>
      <c r="N362" s="207"/>
      <c r="O362" s="207"/>
      <c r="P362" s="207"/>
      <c r="Q362" s="207"/>
      <c r="R362" s="207"/>
      <c r="S362" s="207"/>
      <c r="T362" s="207"/>
      <c r="U362" s="207"/>
      <c r="V362" s="207"/>
      <c r="W362" s="207"/>
      <c r="X362" s="213"/>
      <c r="Y362" s="201"/>
      <c r="Z362" s="214">
        <f>+AB66</f>
        <v>616382</v>
      </c>
      <c r="AA362" s="201"/>
      <c r="AB362" s="41"/>
      <c r="AC362" s="44"/>
      <c r="AD362" s="22"/>
    </row>
    <row r="363" spans="1:30" s="23" customFormat="1" x14ac:dyDescent="0.3">
      <c r="A363" s="48"/>
      <c r="B363" s="45"/>
      <c r="C363" s="41"/>
      <c r="D363" s="207"/>
      <c r="E363" s="207"/>
      <c r="F363" s="207"/>
      <c r="G363" s="207"/>
      <c r="H363" s="207"/>
      <c r="I363" s="207"/>
      <c r="J363" s="207"/>
      <c r="K363" s="207"/>
      <c r="L363" s="207"/>
      <c r="M363" s="207"/>
      <c r="N363" s="207"/>
      <c r="O363" s="207"/>
      <c r="P363" s="207"/>
      <c r="Q363" s="207"/>
      <c r="R363" s="207"/>
      <c r="S363" s="207"/>
      <c r="T363" s="207"/>
      <c r="U363" s="207"/>
      <c r="V363" s="207"/>
      <c r="W363" s="207"/>
      <c r="X363" s="213"/>
      <c r="Y363" s="201"/>
      <c r="Z363" s="214"/>
      <c r="AA363" s="201"/>
      <c r="AB363" s="41"/>
      <c r="AC363" s="44"/>
      <c r="AD363" s="22"/>
    </row>
    <row r="364" spans="1:30" s="23" customFormat="1" x14ac:dyDescent="0.3">
      <c r="A364" s="48"/>
      <c r="B364" s="45" t="s">
        <v>318</v>
      </c>
      <c r="C364" s="41"/>
      <c r="D364" s="207"/>
      <c r="E364" s="207"/>
      <c r="F364" s="207"/>
      <c r="G364" s="207"/>
      <c r="H364" s="207"/>
      <c r="I364" s="207"/>
      <c r="J364" s="207"/>
      <c r="K364" s="207"/>
      <c r="L364" s="207"/>
      <c r="M364" s="207"/>
      <c r="N364" s="207"/>
      <c r="O364" s="207"/>
      <c r="P364" s="207"/>
      <c r="Q364" s="207"/>
      <c r="R364" s="207"/>
      <c r="S364" s="207"/>
      <c r="T364" s="207"/>
      <c r="U364" s="207"/>
      <c r="V364" s="207"/>
      <c r="W364" s="207"/>
      <c r="X364" s="213"/>
      <c r="Y364" s="201"/>
      <c r="Z364" s="239">
        <f>(D30*0.375+F30*0.05+H30*0.05+J30+L30)/AB30</f>
        <v>0.38445842026535493</v>
      </c>
      <c r="AA364" s="201"/>
      <c r="AB364" s="41"/>
      <c r="AC364" s="44"/>
      <c r="AD364" s="22"/>
    </row>
    <row r="365" spans="1:30" s="23" customFormat="1" x14ac:dyDescent="0.3">
      <c r="A365" s="18"/>
      <c r="B365" s="20"/>
      <c r="C365" s="20"/>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8"/>
      <c r="AA365" s="217"/>
      <c r="AB365" s="20"/>
      <c r="AC365" s="21"/>
      <c r="AD365" s="22"/>
    </row>
    <row r="366" spans="1:30" s="23" customFormat="1" x14ac:dyDescent="0.3">
      <c r="A366" s="18"/>
      <c r="B366" s="19" t="s">
        <v>62</v>
      </c>
      <c r="C366" s="20"/>
      <c r="D366" s="219" t="s">
        <v>66</v>
      </c>
      <c r="E366" s="19"/>
      <c r="F366" s="19" t="s">
        <v>67</v>
      </c>
      <c r="G366" s="20"/>
      <c r="H366" s="19"/>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20" t="s">
        <v>122</v>
      </c>
      <c r="E368" s="19"/>
      <c r="F368" s="19" t="s">
        <v>170</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t="s">
        <v>153</v>
      </c>
      <c r="C369" s="19"/>
      <c r="D369" s="220" t="s">
        <v>98</v>
      </c>
      <c r="E369" s="19"/>
      <c r="F369" s="19" t="s">
        <v>171</v>
      </c>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19"/>
      <c r="C370" s="19"/>
      <c r="D370" s="220"/>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s="23" customFormat="1" x14ac:dyDescent="0.3">
      <c r="A371" s="18"/>
      <c r="B371" s="255" t="s">
        <v>337</v>
      </c>
      <c r="C371" s="256"/>
      <c r="D371" s="256"/>
      <c r="E371" s="256"/>
      <c r="F371" s="257"/>
      <c r="G371" s="256"/>
      <c r="H371" s="258"/>
      <c r="I371" s="255"/>
      <c r="J371" s="255"/>
      <c r="K371" s="255"/>
      <c r="L371" s="255"/>
      <c r="M371" s="255"/>
      <c r="N371" s="255"/>
      <c r="O371" s="255"/>
      <c r="P371" s="255"/>
      <c r="Q371" s="20"/>
      <c r="R371" s="20"/>
      <c r="S371" s="20"/>
      <c r="T371" s="20"/>
      <c r="U371" s="20"/>
      <c r="V371" s="20"/>
      <c r="W371" s="20"/>
      <c r="X371" s="20"/>
      <c r="Y371" s="20"/>
      <c r="Z371" s="20"/>
      <c r="AA371" s="20"/>
      <c r="AB371" s="20"/>
      <c r="AC371" s="21"/>
      <c r="AD371" s="22"/>
    </row>
    <row r="372" spans="1:30" s="23" customFormat="1" x14ac:dyDescent="0.3">
      <c r="A372" s="18"/>
      <c r="B372" s="256"/>
      <c r="C372" s="256"/>
      <c r="D372" s="256"/>
      <c r="E372" s="256"/>
      <c r="F372" s="257"/>
      <c r="G372" s="256"/>
      <c r="H372" s="258"/>
      <c r="I372" s="255"/>
      <c r="J372" s="255"/>
      <c r="K372" s="255"/>
      <c r="L372" s="255"/>
      <c r="M372" s="255"/>
      <c r="N372" s="255"/>
      <c r="O372" s="255"/>
      <c r="P372" s="255"/>
      <c r="Q372" s="20"/>
      <c r="R372" s="20"/>
      <c r="S372" s="20"/>
      <c r="T372" s="20"/>
      <c r="U372" s="20"/>
      <c r="V372" s="20"/>
      <c r="W372" s="20"/>
      <c r="X372" s="20"/>
      <c r="Y372" s="20"/>
      <c r="Z372" s="20"/>
      <c r="AA372" s="20"/>
      <c r="AB372" s="20"/>
      <c r="AC372" s="21"/>
      <c r="AD372" s="22"/>
    </row>
    <row r="373" spans="1:30" s="23" customFormat="1" ht="18" x14ac:dyDescent="0.35">
      <c r="A373" s="18"/>
      <c r="B373" s="259" t="s">
        <v>109</v>
      </c>
      <c r="C373" s="256"/>
      <c r="D373" s="256"/>
      <c r="E373" s="256"/>
      <c r="F373" s="257"/>
      <c r="G373" s="256"/>
      <c r="H373" s="258"/>
      <c r="I373" s="255"/>
      <c r="J373" s="255"/>
      <c r="K373" s="255"/>
      <c r="L373" s="255"/>
      <c r="M373" s="255"/>
      <c r="N373" s="255"/>
      <c r="O373" s="255"/>
      <c r="P373" s="260" t="s">
        <v>169</v>
      </c>
      <c r="Q373" s="20"/>
      <c r="R373" s="20"/>
      <c r="S373" s="20"/>
      <c r="T373" s="20"/>
      <c r="U373" s="20"/>
      <c r="V373" s="20"/>
      <c r="W373" s="20"/>
      <c r="X373" s="20"/>
      <c r="Y373" s="20"/>
      <c r="Z373" s="20"/>
      <c r="AA373" s="20"/>
      <c r="AB373" s="20"/>
      <c r="AC373" s="21"/>
      <c r="AD373" s="22"/>
    </row>
    <row r="374" spans="1:30" x14ac:dyDescent="0.3">
      <c r="A374" s="221"/>
      <c r="B374" s="222"/>
      <c r="C374" s="222"/>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4"/>
      <c r="AD374" s="5"/>
    </row>
    <row r="375" spans="1:30" x14ac:dyDescent="0.3">
      <c r="A375" s="221"/>
      <c r="B375" s="222"/>
      <c r="C375" s="222"/>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4"/>
      <c r="AD375" s="5"/>
    </row>
    <row r="376" spans="1:30" ht="18.600000000000001" thickBot="1" x14ac:dyDescent="0.4">
      <c r="A376" s="221"/>
      <c r="B376" s="225" t="str">
        <f>B244</f>
        <v>PM25 INVESTOR REPORT QUARTER ENDING JULY 2020</v>
      </c>
      <c r="C376" s="222"/>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6"/>
      <c r="AD376" s="5"/>
    </row>
    <row r="377" spans="1:30"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row>
    <row r="378" spans="1:30" x14ac:dyDescent="0.3">
      <c r="B378" s="280" t="s">
        <v>326</v>
      </c>
    </row>
    <row r="379" spans="1:30" x14ac:dyDescent="0.3">
      <c r="B379" s="264" t="s">
        <v>327</v>
      </c>
    </row>
    <row r="380" spans="1:30" x14ac:dyDescent="0.3">
      <c r="B380" s="264" t="s">
        <v>328</v>
      </c>
    </row>
    <row r="381" spans="1:30" x14ac:dyDescent="0.3">
      <c r="B381" s="264" t="s">
        <v>329</v>
      </c>
    </row>
    <row r="382" spans="1:30" x14ac:dyDescent="0.3">
      <c r="B382" s="264" t="s">
        <v>330</v>
      </c>
    </row>
    <row r="383" spans="1:30" x14ac:dyDescent="0.3">
      <c r="B383" s="264" t="s">
        <v>331</v>
      </c>
    </row>
    <row r="384" spans="1:30" x14ac:dyDescent="0.3">
      <c r="B384" s="264" t="s">
        <v>332</v>
      </c>
    </row>
    <row r="385" spans="2:2" x14ac:dyDescent="0.3">
      <c r="B385" s="264" t="s">
        <v>333</v>
      </c>
    </row>
    <row r="386" spans="2:2" x14ac:dyDescent="0.3">
      <c r="B386" s="264"/>
    </row>
    <row r="387" spans="2:2" s="264" customFormat="1" x14ac:dyDescent="0.3">
      <c r="B387" s="280" t="s">
        <v>350</v>
      </c>
    </row>
    <row r="388" spans="2:2" s="264" customFormat="1" x14ac:dyDescent="0.3">
      <c r="B388" s="264" t="s">
        <v>351</v>
      </c>
    </row>
    <row r="389" spans="2:2" s="264" customFormat="1" x14ac:dyDescent="0.3">
      <c r="B389" s="264" t="s">
        <v>352</v>
      </c>
    </row>
    <row r="390" spans="2:2" s="264" customFormat="1" x14ac:dyDescent="0.3">
      <c r="B390" s="264" t="s">
        <v>353</v>
      </c>
    </row>
    <row r="391" spans="2:2" x14ac:dyDescent="0.3">
      <c r="B391" s="264"/>
    </row>
    <row r="392" spans="2:2" x14ac:dyDescent="0.3">
      <c r="B392" s="280" t="s">
        <v>334</v>
      </c>
    </row>
    <row r="393" spans="2:2" x14ac:dyDescent="0.3">
      <c r="B393" s="264" t="s">
        <v>335</v>
      </c>
    </row>
    <row r="394" spans="2:2" x14ac:dyDescent="0.3">
      <c r="B394" s="264" t="s">
        <v>336</v>
      </c>
    </row>
  </sheetData>
  <hyperlinks>
    <hyperlink ref="X284" r:id="rId1" display="http://www.paragon-group.co.uk" xr:uid="{9584B1AE-43CF-47EA-9CF0-0DEDE05E8FD8}"/>
    <hyperlink ref="K9" r:id="rId2" display="http://www.paragon-group.co.uk" xr:uid="{D21578D3-5ADF-4F79-B939-D1F0E5794556}"/>
    <hyperlink ref="P373" r:id="rId3" xr:uid="{161E9910-FC27-4BAC-872B-E1B6920EF353}"/>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5" max="18" man="1"/>
    <brk id="244" max="18" man="1"/>
  </rowBreaks>
  <colBreaks count="1" manualBreakCount="1">
    <brk id="29" max="299" man="1"/>
  </col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100</vt:i4>
      </vt:variant>
    </vt:vector>
  </HeadingPairs>
  <TitlesOfParts>
    <vt:vector size="120" baseType="lpstr">
      <vt:lpstr>July 18</vt:lpstr>
      <vt:lpstr>Oct 18</vt:lpstr>
      <vt:lpstr>Jan 19</vt:lpstr>
      <vt:lpstr>April 19</vt:lpstr>
      <vt:lpstr>July 19</vt:lpstr>
      <vt:lpstr>Oct 19</vt:lpstr>
      <vt:lpstr>Jan 20</vt:lpstr>
      <vt:lpstr>April 20</vt:lpstr>
      <vt:lpstr>July 20</vt:lpstr>
      <vt:lpstr>Oct 20</vt:lpstr>
      <vt:lpstr>Jan 21</vt:lpstr>
      <vt:lpstr>April 21</vt:lpstr>
      <vt:lpstr>July 21</vt:lpstr>
      <vt:lpstr>Oct 21</vt:lpstr>
      <vt:lpstr>Jan 22</vt:lpstr>
      <vt:lpstr>April 22</vt:lpstr>
      <vt:lpstr>July 22  </vt:lpstr>
      <vt:lpstr>October 22 </vt:lpstr>
      <vt:lpstr>Jan 23</vt:lpstr>
      <vt:lpstr>April 23</vt:lpstr>
      <vt:lpstr>'April 19'!_1PAGE_1</vt:lpstr>
      <vt:lpstr>'April 20'!_1PAGE_1</vt:lpstr>
      <vt:lpstr>'April 21'!_1PAGE_1</vt:lpstr>
      <vt:lpstr>'April 22'!_1PAGE_1</vt:lpstr>
      <vt:lpstr>'April 23'!_1PAGE_1</vt:lpstr>
      <vt:lpstr>'Jan 19'!_1PAGE_1</vt:lpstr>
      <vt:lpstr>'Jan 20'!_1PAGE_1</vt:lpstr>
      <vt:lpstr>'Jan 21'!_1PAGE_1</vt:lpstr>
      <vt:lpstr>'Jan 22'!_1PAGE_1</vt:lpstr>
      <vt:lpstr>'Jan 23'!_1PAGE_1</vt:lpstr>
      <vt:lpstr>'July 18'!_1PAGE_1</vt:lpstr>
      <vt:lpstr>'July 19'!_1PAGE_1</vt:lpstr>
      <vt:lpstr>'July 20'!_1PAGE_1</vt:lpstr>
      <vt:lpstr>'July 21'!_1PAGE_1</vt:lpstr>
      <vt:lpstr>'July 22  '!_1PAGE_1</vt:lpstr>
      <vt:lpstr>'Oct 18'!_1PAGE_1</vt:lpstr>
      <vt:lpstr>'Oct 19'!_1PAGE_1</vt:lpstr>
      <vt:lpstr>'Oct 20'!_1PAGE_1</vt:lpstr>
      <vt:lpstr>'Oct 21'!_1PAGE_1</vt:lpstr>
      <vt:lpstr>'October 22 '!_1PAGE_1</vt:lpstr>
      <vt:lpstr>'April 19'!_3PAGE_2</vt:lpstr>
      <vt:lpstr>'April 20'!_3PAGE_2</vt:lpstr>
      <vt:lpstr>'April 21'!_3PAGE_2</vt:lpstr>
      <vt:lpstr>'April 22'!_3PAGE_2</vt:lpstr>
      <vt:lpstr>'April 23'!_3PAGE_2</vt:lpstr>
      <vt:lpstr>'Jan 19'!_3PAGE_2</vt:lpstr>
      <vt:lpstr>'Jan 20'!_3PAGE_2</vt:lpstr>
      <vt:lpstr>'Jan 21'!_3PAGE_2</vt:lpstr>
      <vt:lpstr>'Jan 22'!_3PAGE_2</vt:lpstr>
      <vt:lpstr>'Jan 23'!_3PAGE_2</vt:lpstr>
      <vt:lpstr>'July 18'!_3PAGE_2</vt:lpstr>
      <vt:lpstr>'July 19'!_3PAGE_2</vt:lpstr>
      <vt:lpstr>'July 20'!_3PAGE_2</vt:lpstr>
      <vt:lpstr>'July 21'!_3PAGE_2</vt:lpstr>
      <vt:lpstr>'July 22  '!_3PAGE_2</vt:lpstr>
      <vt:lpstr>'Oct 18'!_3PAGE_2</vt:lpstr>
      <vt:lpstr>'Oct 19'!_3PAGE_2</vt:lpstr>
      <vt:lpstr>'Oct 20'!_3PAGE_2</vt:lpstr>
      <vt:lpstr>'Oct 21'!_3PAGE_2</vt:lpstr>
      <vt:lpstr>'October 22 '!_3PAGE_2</vt:lpstr>
      <vt:lpstr>'April 19'!_5PAGE_3</vt:lpstr>
      <vt:lpstr>'April 20'!_5PAGE_3</vt:lpstr>
      <vt:lpstr>'April 21'!_5PAGE_3</vt:lpstr>
      <vt:lpstr>'April 22'!_5PAGE_3</vt:lpstr>
      <vt:lpstr>'April 23'!_5PAGE_3</vt:lpstr>
      <vt:lpstr>'Jan 19'!_5PAGE_3</vt:lpstr>
      <vt:lpstr>'Jan 20'!_5PAGE_3</vt:lpstr>
      <vt:lpstr>'Jan 21'!_5PAGE_3</vt:lpstr>
      <vt:lpstr>'Jan 22'!_5PAGE_3</vt:lpstr>
      <vt:lpstr>'Jan 23'!_5PAGE_3</vt:lpstr>
      <vt:lpstr>'July 18'!_5PAGE_3</vt:lpstr>
      <vt:lpstr>'July 19'!_5PAGE_3</vt:lpstr>
      <vt:lpstr>'July 20'!_5PAGE_3</vt:lpstr>
      <vt:lpstr>'July 21'!_5PAGE_3</vt:lpstr>
      <vt:lpstr>'July 22  '!_5PAGE_3</vt:lpstr>
      <vt:lpstr>'Oct 18'!_5PAGE_3</vt:lpstr>
      <vt:lpstr>'Oct 19'!_5PAGE_3</vt:lpstr>
      <vt:lpstr>'Oct 20'!_5PAGE_3</vt:lpstr>
      <vt:lpstr>'Oct 21'!_5PAGE_3</vt:lpstr>
      <vt:lpstr>'October 22 '!_5PAGE_3</vt:lpstr>
      <vt:lpstr>'April 19'!_7PAGE_4</vt:lpstr>
      <vt:lpstr>'April 20'!_7PAGE_4</vt:lpstr>
      <vt:lpstr>'April 21'!_7PAGE_4</vt:lpstr>
      <vt:lpstr>'April 22'!_7PAGE_4</vt:lpstr>
      <vt:lpstr>'April 23'!_7PAGE_4</vt:lpstr>
      <vt:lpstr>'Jan 19'!_7PAGE_4</vt:lpstr>
      <vt:lpstr>'Jan 20'!_7PAGE_4</vt:lpstr>
      <vt:lpstr>'Jan 21'!_7PAGE_4</vt:lpstr>
      <vt:lpstr>'Jan 22'!_7PAGE_4</vt:lpstr>
      <vt:lpstr>'Jan 23'!_7PAGE_4</vt:lpstr>
      <vt:lpstr>'July 18'!_7PAGE_4</vt:lpstr>
      <vt:lpstr>'July 19'!_7PAGE_4</vt:lpstr>
      <vt:lpstr>'July 20'!_7PAGE_4</vt:lpstr>
      <vt:lpstr>'July 21'!_7PAGE_4</vt:lpstr>
      <vt:lpstr>'July 22  '!_7PAGE_4</vt:lpstr>
      <vt:lpstr>'Oct 18'!_7PAGE_4</vt:lpstr>
      <vt:lpstr>'Oct 19'!_7PAGE_4</vt:lpstr>
      <vt:lpstr>'Oct 20'!_7PAGE_4</vt:lpstr>
      <vt:lpstr>'Oct 21'!_7PAGE_4</vt:lpstr>
      <vt:lpstr>'October 22 '!_7PAGE_4</vt:lpstr>
      <vt:lpstr>'April 19'!Print_Area</vt:lpstr>
      <vt:lpstr>'April 20'!Print_Area</vt:lpstr>
      <vt:lpstr>'April 21'!Print_Area</vt:lpstr>
      <vt:lpstr>'April 22'!Print_Area</vt:lpstr>
      <vt:lpstr>'April 23'!Print_Area</vt:lpstr>
      <vt:lpstr>'Jan 19'!Print_Area</vt:lpstr>
      <vt:lpstr>'Jan 20'!Print_Area</vt:lpstr>
      <vt:lpstr>'Jan 21'!Print_Area</vt:lpstr>
      <vt:lpstr>'Jan 22'!Print_Area</vt:lpstr>
      <vt:lpstr>'Jan 23'!Print_Area</vt:lpstr>
      <vt:lpstr>'July 18'!Print_Area</vt:lpstr>
      <vt:lpstr>'July 19'!Print_Area</vt:lpstr>
      <vt:lpstr>'July 20'!Print_Area</vt:lpstr>
      <vt:lpstr>'July 21'!Print_Area</vt:lpstr>
      <vt:lpstr>'July 22  '!Print_Area</vt:lpstr>
      <vt:lpstr>'Oct 18'!Print_Area</vt:lpstr>
      <vt:lpstr>'Oct 19'!Print_Area</vt:lpstr>
      <vt:lpstr>'Oct 20'!Print_Area</vt:lpstr>
      <vt:lpstr>'Oct 21'!Print_Area</vt:lpstr>
      <vt:lpstr>'October 22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2019-11-19T14:43:43Z</cp:lastPrinted>
  <dcterms:created xsi:type="dcterms:W3CDTF">2003-11-18T07:58:35Z</dcterms:created>
  <dcterms:modified xsi:type="dcterms:W3CDTF">2023-05-17T07:30:14Z</dcterms:modified>
</cp:coreProperties>
</file>