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dia/image2.bin" ContentType="image/unknown"/>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heckCompatibility="1"/>
  <mc:AlternateContent xmlns:mc="http://schemas.openxmlformats.org/markup-compatibility/2006">
    <mc:Choice Requires="x15">
      <x15ac:absPath xmlns:x15ac="http://schemas.microsoft.com/office/spreadsheetml/2010/11/ac" url="N:\JPG\Investor Reporting\Paragon Finance\PM12\"/>
    </mc:Choice>
  </mc:AlternateContent>
  <xr:revisionPtr revIDLastSave="0" documentId="13_ncr:1_{1C9781DB-FC68-4833-B7ED-AA02E600DBA0}" xr6:coauthVersionLast="47" xr6:coauthVersionMax="47" xr10:uidLastSave="{00000000-0000-0000-0000-000000000000}"/>
  <bookViews>
    <workbookView xWindow="20052" yWindow="-108" windowWidth="20376" windowHeight="12216" firstSheet="60" activeTab="69" xr2:uid="{00000000-000D-0000-FFFF-FFFF00000000}"/>
  </bookViews>
  <sheets>
    <sheet name="Oct 06" sheetId="1" r:id="rId1"/>
    <sheet name="Jan 07" sheetId="2" r:id="rId2"/>
    <sheet name="April 07" sheetId="3" r:id="rId3"/>
    <sheet name="July 07" sheetId="4" r:id="rId4"/>
    <sheet name="Oct 07" sheetId="5" r:id="rId5"/>
    <sheet name="Jan 08" sheetId="6" r:id="rId6"/>
    <sheet name="April 08" sheetId="7" r:id="rId7"/>
    <sheet name="July 08" sheetId="9" r:id="rId8"/>
    <sheet name="Oct 08" sheetId="10" r:id="rId9"/>
    <sheet name="Jan 09" sheetId="11" r:id="rId10"/>
    <sheet name="April 09" sheetId="12" r:id="rId11"/>
    <sheet name="July 09" sheetId="13" r:id="rId12"/>
    <sheet name="Oct 09" sheetId="14" r:id="rId13"/>
    <sheet name="Jan 10" sheetId="15" r:id="rId14"/>
    <sheet name="April 10" sheetId="16" r:id="rId15"/>
    <sheet name="July 10" sheetId="17" r:id="rId16"/>
    <sheet name="Oct 10" sheetId="18" r:id="rId17"/>
    <sheet name="Jan 11" sheetId="19" r:id="rId18"/>
    <sheet name="April 11" sheetId="20" r:id="rId19"/>
    <sheet name="July 11" sheetId="21" r:id="rId20"/>
    <sheet name="Oct 11" sheetId="22" r:id="rId21"/>
    <sheet name="Jan 12" sheetId="23" r:id="rId22"/>
    <sheet name="April 12" sheetId="24" r:id="rId23"/>
    <sheet name="July 12" sheetId="25" r:id="rId24"/>
    <sheet name="Oct 12" sheetId="26" r:id="rId25"/>
    <sheet name="Jan 13" sheetId="27" r:id="rId26"/>
    <sheet name="April 13" sheetId="28" r:id="rId27"/>
    <sheet name="July 13" sheetId="29" r:id="rId28"/>
    <sheet name="Oct 13" sheetId="30" r:id="rId29"/>
    <sheet name="Jan 14" sheetId="31" r:id="rId30"/>
    <sheet name="April 14" sheetId="32" r:id="rId31"/>
    <sheet name="July 14" sheetId="33" r:id="rId32"/>
    <sheet name="Oct 14" sheetId="34" r:id="rId33"/>
    <sheet name="Jan 15" sheetId="35" r:id="rId34"/>
    <sheet name="April 15" sheetId="36" r:id="rId35"/>
    <sheet name="July 15" sheetId="37" r:id="rId36"/>
    <sheet name="Oct 15" sheetId="38" r:id="rId37"/>
    <sheet name="Jan 16" sheetId="39" r:id="rId38"/>
    <sheet name="Apr 16" sheetId="40" r:id="rId39"/>
    <sheet name="July 16" sheetId="41" r:id="rId40"/>
    <sheet name="Oct 16" sheetId="42" r:id="rId41"/>
    <sheet name="Jan 17" sheetId="43" r:id="rId42"/>
    <sheet name="April 17" sheetId="44" r:id="rId43"/>
    <sheet name="July 17" sheetId="45" r:id="rId44"/>
    <sheet name="Oct 17" sheetId="46" r:id="rId45"/>
    <sheet name="Jan 18" sheetId="47" r:id="rId46"/>
    <sheet name="April 18" sheetId="48" r:id="rId47"/>
    <sheet name="July 18" sheetId="49" r:id="rId48"/>
    <sheet name="Oct 18" sheetId="50" r:id="rId49"/>
    <sheet name="Jan 19" sheetId="51" r:id="rId50"/>
    <sheet name="April 19" sheetId="52" r:id="rId51"/>
    <sheet name="July 19" sheetId="53" r:id="rId52"/>
    <sheet name="Oct 19" sheetId="54" r:id="rId53"/>
    <sheet name="Jan 20" sheetId="55" r:id="rId54"/>
    <sheet name="April 20" sheetId="56" r:id="rId55"/>
    <sheet name="July 20" sheetId="57" r:id="rId56"/>
    <sheet name="Oct 20" sheetId="58" r:id="rId57"/>
    <sheet name="Jan 21" sheetId="59" r:id="rId58"/>
    <sheet name="April 21" sheetId="60" r:id="rId59"/>
    <sheet name="July 21" sheetId="61" r:id="rId60"/>
    <sheet name="Oct 21" sheetId="62" r:id="rId61"/>
    <sheet name="Jan 22" sheetId="63" r:id="rId62"/>
    <sheet name="April 22" sheetId="64" r:id="rId63"/>
    <sheet name="July 22" sheetId="65" r:id="rId64"/>
    <sheet name="Oct 22" sheetId="66" r:id="rId65"/>
    <sheet name="Jan 23" sheetId="67" r:id="rId66"/>
    <sheet name="April 23" sheetId="68" r:id="rId67"/>
    <sheet name="July 23" sheetId="69" r:id="rId68"/>
    <sheet name="Oct 23" sheetId="70" r:id="rId69"/>
    <sheet name="Jan 24" sheetId="71" r:id="rId70"/>
  </sheets>
  <definedNames>
    <definedName name="_100PAGE_4" localSheetId="9">'Jan 09'!$A$196:$W$278</definedName>
    <definedName name="_101PAGE_4" localSheetId="13">'Jan 10'!$A$197:$W$279</definedName>
    <definedName name="_102PAGE_4" localSheetId="17">'Jan 11'!$A$196:$W$290</definedName>
    <definedName name="_103PAGE_4" localSheetId="21">'Jan 12'!$A$196:$W$290</definedName>
    <definedName name="_104PAGE_4" localSheetId="25">'Jan 13'!$A$197:$W$291</definedName>
    <definedName name="_105PAGE_4" localSheetId="38">'Apr 16'!$A$197:$W$291</definedName>
    <definedName name="_105PAGE_4" localSheetId="30">'April 14'!$A$197:$W$291</definedName>
    <definedName name="_105PAGE_4" localSheetId="34">'April 15'!$A$197:$W$291</definedName>
    <definedName name="_105PAGE_4" localSheetId="42">'April 17'!$A$197:$W$290</definedName>
    <definedName name="_105PAGE_4" localSheetId="46">'April 18'!$A$197:$W$290</definedName>
    <definedName name="_105PAGE_4" localSheetId="50">'April 19'!$A$197:$W$292</definedName>
    <definedName name="_105PAGE_4" localSheetId="54">'April 20'!$A$203:$W$323</definedName>
    <definedName name="_105PAGE_4" localSheetId="58">'April 21'!$A$203:$W$325</definedName>
    <definedName name="_105PAGE_4" localSheetId="62">'April 22'!$A$203:$W$307</definedName>
    <definedName name="_105PAGE_4" localSheetId="66">'April 23'!$A$203:$W$307</definedName>
    <definedName name="_105PAGE_4" localSheetId="29">'Jan 14'!$A$197:$W$291</definedName>
    <definedName name="_105PAGE_4" localSheetId="33">'Jan 15'!$A$197:$W$291</definedName>
    <definedName name="_105PAGE_4" localSheetId="37">'Jan 16'!$A$197:$W$291</definedName>
    <definedName name="_105PAGE_4" localSheetId="41">'Jan 17'!$A$197:$W$290</definedName>
    <definedName name="_105PAGE_4" localSheetId="45">'Jan 18'!$A$197:$W$290</definedName>
    <definedName name="_105PAGE_4" localSheetId="49">'Jan 19'!$A$197:$W$290</definedName>
    <definedName name="_105PAGE_4" localSheetId="53">'Jan 20'!$A$203:$W$295</definedName>
    <definedName name="_105PAGE_4" localSheetId="57">'Jan 21'!$A$203:$W$325</definedName>
    <definedName name="_105PAGE_4" localSheetId="61">'Jan 22'!$A$203:$W$307</definedName>
    <definedName name="_105PAGE_4" localSheetId="65">'Jan 23'!$A$203:$W$307</definedName>
    <definedName name="_105PAGE_4" localSheetId="69">'Jan 24'!$A$203:$W$307</definedName>
    <definedName name="_105PAGE_4" localSheetId="31">'July 14'!$A$197:$W$291</definedName>
    <definedName name="_105PAGE_4" localSheetId="35">'July 15'!$A$197:$W$291</definedName>
    <definedName name="_105PAGE_4" localSheetId="39">'July 16'!$A$197:$W$291</definedName>
    <definedName name="_105PAGE_4" localSheetId="43">'July 17'!$A$197:$W$290</definedName>
    <definedName name="_105PAGE_4" localSheetId="47">'July 18'!$A$197:$W$290</definedName>
    <definedName name="_105PAGE_4" localSheetId="51">'July 19'!$A$202:$W$294</definedName>
    <definedName name="_105PAGE_4" localSheetId="55">'July 20'!$A$203:$W$325</definedName>
    <definedName name="_105PAGE_4" localSheetId="59">'July 21'!$A$203:$W$325</definedName>
    <definedName name="_105PAGE_4" localSheetId="63">'July 22'!$A$203:$W$308</definedName>
    <definedName name="_105PAGE_4" localSheetId="67">'July 23'!$A$203:$W$307</definedName>
    <definedName name="_105PAGE_4" localSheetId="32">'Oct 14'!$A$197:$W$291</definedName>
    <definedName name="_105PAGE_4" localSheetId="36">'Oct 15'!$A$197:$W$291</definedName>
    <definedName name="_105PAGE_4" localSheetId="40">'Oct 16'!$A$197:$W$291</definedName>
    <definedName name="_105PAGE_4" localSheetId="44">'Oct 17'!$A$197:$W$290</definedName>
    <definedName name="_105PAGE_4" localSheetId="48">'Oct 18'!$A$197:$W$290</definedName>
    <definedName name="_105PAGE_4" localSheetId="52">'Oct 19'!$A$203:$W$295</definedName>
    <definedName name="_105PAGE_4" localSheetId="56">'Oct 20'!$A$203:$W$325</definedName>
    <definedName name="_105PAGE_4" localSheetId="60">'Oct 21'!$A$203:$W$307</definedName>
    <definedName name="_105PAGE_4" localSheetId="64">'Oct 22'!$A$203:$W$308</definedName>
    <definedName name="_105PAGE_4" localSheetId="68">'Oct 23'!$A$203:$W$307</definedName>
    <definedName name="_106PAGE_4" localSheetId="3">'July 07'!$A$195:$W$277</definedName>
    <definedName name="_107PAGE_4" localSheetId="7">'July 08'!$A$196:$W$278</definedName>
    <definedName name="_108PAGE_4" localSheetId="11">'July 09'!$A$196:$W$278</definedName>
    <definedName name="_109PAGE_4" localSheetId="15">'July 10'!$A$196:$W$290</definedName>
    <definedName name="_10PAGE_1" localSheetId="9">'Jan 09'!$A$1:$W$64</definedName>
    <definedName name="_110PAGE_4" localSheetId="19">'July 11'!$A$196:$W$290</definedName>
    <definedName name="_111PAGE_4" localSheetId="23">'July 12'!$A$196:$W$290</definedName>
    <definedName name="_112PAGE_4" localSheetId="27">'July 13'!$A$197:$W$291</definedName>
    <definedName name="_113PAGE_4" localSheetId="4">'Oct 07'!$A$195:$W$277</definedName>
    <definedName name="_114PAGE_4" localSheetId="8">'Oct 08'!$A$196:$W$278</definedName>
    <definedName name="_115PAGE_4" localSheetId="12">'Oct 09'!$A$197:$W$279</definedName>
    <definedName name="_116PAGE_4" localSheetId="16">'Oct 10'!$A$196:$W$290</definedName>
    <definedName name="_117PAGE_4" localSheetId="20">'Oct 11'!$A$196:$W$290</definedName>
    <definedName name="_118PAGE_4" localSheetId="24">'Oct 12'!$A$196:$W$290</definedName>
    <definedName name="_119PAGE_4" localSheetId="28">'Oct 13'!$A$197:$W$291</definedName>
    <definedName name="_11PAGE_1" localSheetId="13">'Jan 10'!$A$1:$W$64</definedName>
    <definedName name="_120PAGE_4">'Oct 06'!$A$194:$W$276</definedName>
    <definedName name="_12PAGE_1" localSheetId="17">'Jan 11'!$A$1:$W$64</definedName>
    <definedName name="_13PAGE_1" localSheetId="21">'Jan 12'!$A$1:$W$64</definedName>
    <definedName name="_14PAGE_1" localSheetId="25">'Jan 13'!$A$1:$W$64</definedName>
    <definedName name="_15PAGE_1" localSheetId="38">'Apr 16'!$A$1:$W$64</definedName>
    <definedName name="_15PAGE_1" localSheetId="30">'April 14'!$A$1:$W$64</definedName>
    <definedName name="_15PAGE_1" localSheetId="34">'April 15'!$A$1:$W$64</definedName>
    <definedName name="_15PAGE_1" localSheetId="42">'April 17'!$A$1:$W$64</definedName>
    <definedName name="_15PAGE_1" localSheetId="46">'April 18'!$A$1:$W$64</definedName>
    <definedName name="_15PAGE_1" localSheetId="50">'April 19'!$A$1:$W$64</definedName>
    <definedName name="_15PAGE_1" localSheetId="54">'April 20'!$A$1:$W$64</definedName>
    <definedName name="_15PAGE_1" localSheetId="58">'April 21'!$A$1:$W$64</definedName>
    <definedName name="_15PAGE_1" localSheetId="62">'April 22'!$A$1:$W$64</definedName>
    <definedName name="_15PAGE_1" localSheetId="66">'April 23'!$A$1:$W$64</definedName>
    <definedName name="_15PAGE_1" localSheetId="29">'Jan 14'!$A$1:$W$64</definedName>
    <definedName name="_15PAGE_1" localSheetId="33">'Jan 15'!$A$1:$W$64</definedName>
    <definedName name="_15PAGE_1" localSheetId="37">'Jan 16'!$A$1:$W$64</definedName>
    <definedName name="_15PAGE_1" localSheetId="41">'Jan 17'!$A$1:$W$64</definedName>
    <definedName name="_15PAGE_1" localSheetId="45">'Jan 18'!$A$1:$W$64</definedName>
    <definedName name="_15PAGE_1" localSheetId="49">'Jan 19'!$A$1:$W$64</definedName>
    <definedName name="_15PAGE_1" localSheetId="53">'Jan 20'!$A$1:$W$64</definedName>
    <definedName name="_15PAGE_1" localSheetId="57">'Jan 21'!$A$1:$W$64</definedName>
    <definedName name="_15PAGE_1" localSheetId="61">'Jan 22'!$A$1:$W$64</definedName>
    <definedName name="_15PAGE_1" localSheetId="65">'Jan 23'!$A$1:$W$64</definedName>
    <definedName name="_15PAGE_1" localSheetId="69">'Jan 24'!$A$1:$W$64</definedName>
    <definedName name="_15PAGE_1" localSheetId="31">'July 14'!$A$1:$W$64</definedName>
    <definedName name="_15PAGE_1" localSheetId="35">'July 15'!$A$1:$W$64</definedName>
    <definedName name="_15PAGE_1" localSheetId="39">'July 16'!$A$1:$W$64</definedName>
    <definedName name="_15PAGE_1" localSheetId="43">'July 17'!$A$1:$W$64</definedName>
    <definedName name="_15PAGE_1" localSheetId="47">'July 18'!$A$1:$W$64</definedName>
    <definedName name="_15PAGE_1" localSheetId="51">'July 19'!$A$1:$W$64</definedName>
    <definedName name="_15PAGE_1" localSheetId="55">'July 20'!$A$1:$W$64</definedName>
    <definedName name="_15PAGE_1" localSheetId="59">'July 21'!$A$1:$W$64</definedName>
    <definedName name="_15PAGE_1" localSheetId="63">'July 22'!$A$1:$W$64</definedName>
    <definedName name="_15PAGE_1" localSheetId="67">'July 23'!$A$1:$W$64</definedName>
    <definedName name="_15PAGE_1" localSheetId="32">'Oct 14'!$A$1:$W$64</definedName>
    <definedName name="_15PAGE_1" localSheetId="36">'Oct 15'!$A$1:$W$64</definedName>
    <definedName name="_15PAGE_1" localSheetId="40">'Oct 16'!$A$1:$W$64</definedName>
    <definedName name="_15PAGE_1" localSheetId="44">'Oct 17'!$A$1:$W$64</definedName>
    <definedName name="_15PAGE_1" localSheetId="48">'Oct 18'!$A$1:$W$64</definedName>
    <definedName name="_15PAGE_1" localSheetId="52">'Oct 19'!$A$1:$W$64</definedName>
    <definedName name="_15PAGE_1" localSheetId="56">'Oct 20'!$A$1:$W$64</definedName>
    <definedName name="_15PAGE_1" localSheetId="60">'Oct 21'!$A$1:$W$64</definedName>
    <definedName name="_15PAGE_1" localSheetId="64">'Oct 22'!$A$1:$W$64</definedName>
    <definedName name="_15PAGE_1" localSheetId="68">'Oct 23'!$A$1:$W$64</definedName>
    <definedName name="_16PAGE_1" localSheetId="3">'July 07'!$A$1:$W$64</definedName>
    <definedName name="_17PAGE_1" localSheetId="7">'July 08'!$A$1:$W$64</definedName>
    <definedName name="_18PAGE_1" localSheetId="11">'July 09'!$A$1:$W$64</definedName>
    <definedName name="_19PAGE_1" localSheetId="15">'July 10'!$A$1:$W$64</definedName>
    <definedName name="_1PAGE_1" localSheetId="2">'April 07'!$A$1:$W$64</definedName>
    <definedName name="_20PAGE_1" localSheetId="19">'July 11'!$A$1:$W$64</definedName>
    <definedName name="_21PAGE_1" localSheetId="23">'July 12'!$A$1:$W$64</definedName>
    <definedName name="_22PAGE_1" localSheetId="27">'July 13'!$A$1:$W$64</definedName>
    <definedName name="_23PAGE_1" localSheetId="4">'Oct 07'!$A$1:$W$64</definedName>
    <definedName name="_24PAGE_1" localSheetId="8">'Oct 08'!$A$1:$W$64</definedName>
    <definedName name="_25PAGE_1" localSheetId="12">'Oct 09'!$A$1:$W$64</definedName>
    <definedName name="_26PAGE_1" localSheetId="16">'Oct 10'!$A$1:$W$64</definedName>
    <definedName name="_27PAGE_1" localSheetId="20">'Oct 11'!$A$1:$W$64</definedName>
    <definedName name="_28PAGE_1" localSheetId="24">'Oct 12'!$A$1:$W$64</definedName>
    <definedName name="_29PAGE_1" localSheetId="28">'Oct 13'!$A$1:$W$64</definedName>
    <definedName name="_2PAGE_1" localSheetId="6">'April 08'!$A$1:$W$64</definedName>
    <definedName name="_30PAGE_1">'Oct 06'!$A$1:$W$64</definedName>
    <definedName name="_31PAGE_2" localSheetId="2">'April 07'!$A$65:$W$135</definedName>
    <definedName name="_32PAGE_2" localSheetId="6">'April 08'!$A$65:$W$136</definedName>
    <definedName name="_33PAGE_2" localSheetId="10">'April 09'!$A$65:$W$136</definedName>
    <definedName name="_34PAGE_2" localSheetId="14">'April 10'!$A$65:$W$136</definedName>
    <definedName name="_35PAGE_2" localSheetId="18">'April 11'!$A$65:$W$135</definedName>
    <definedName name="_36PAGE_2" localSheetId="22">'April 12'!$A$65:$W$135</definedName>
    <definedName name="_37PAGE_2" localSheetId="26">'April 13'!$A$65:$W$136</definedName>
    <definedName name="_38PAGE_2" localSheetId="1">'Jan 07'!$A$65:$W$135</definedName>
    <definedName name="_39PAGE_2" localSheetId="5">'Jan 08'!$A$65:$W$136</definedName>
    <definedName name="_3PAGE_1" localSheetId="10">'April 09'!$A$1:$W$64</definedName>
    <definedName name="_40PAGE_2" localSheetId="9">'Jan 09'!$A$65:$W$136</definedName>
    <definedName name="_41PAGE_2" localSheetId="13">'Jan 10'!$A$65:$W$136</definedName>
    <definedName name="_42PAGE_2" localSheetId="17">'Jan 11'!$A$65:$W$135</definedName>
    <definedName name="_43PAGE_2" localSheetId="21">'Jan 12'!$A$65:$W$135</definedName>
    <definedName name="_44PAGE_2" localSheetId="25">'Jan 13'!$A$65:$W$136</definedName>
    <definedName name="_45PAGE_2" localSheetId="38">'Apr 16'!$A$65:$W$136</definedName>
    <definedName name="_45PAGE_2" localSheetId="30">'April 14'!$A$65:$W$136</definedName>
    <definedName name="_45PAGE_2" localSheetId="34">'April 15'!$A$65:$W$136</definedName>
    <definedName name="_45PAGE_2" localSheetId="42">'April 17'!$A$65:$W$136</definedName>
    <definedName name="_45PAGE_2" localSheetId="46">'April 18'!$A$65:$W$136</definedName>
    <definedName name="_45PAGE_2" localSheetId="50">'April 19'!$A$65:$W$136</definedName>
    <definedName name="_45PAGE_2" localSheetId="54">'April 20'!$A$65:$W$141</definedName>
    <definedName name="_45PAGE_2" localSheetId="58">'April 21'!$A$65:$W$141</definedName>
    <definedName name="_45PAGE_2" localSheetId="62">'April 22'!$A$65:$W$141</definedName>
    <definedName name="_45PAGE_2" localSheetId="66">'April 23'!$A$65:$W$141</definedName>
    <definedName name="_45PAGE_2" localSheetId="29">'Jan 14'!$A$65:$W$136</definedName>
    <definedName name="_45PAGE_2" localSheetId="33">'Jan 15'!$A$65:$W$136</definedName>
    <definedName name="_45PAGE_2" localSheetId="37">'Jan 16'!$A$65:$W$136</definedName>
    <definedName name="_45PAGE_2" localSheetId="41">'Jan 17'!$A$65:$W$136</definedName>
    <definedName name="_45PAGE_2" localSheetId="45">'Jan 18'!$A$65:$W$136</definedName>
    <definedName name="_45PAGE_2" localSheetId="49">'Jan 19'!$A$65:$W$136</definedName>
    <definedName name="_45PAGE_2" localSheetId="53">'Jan 20'!$A$65:$W$141</definedName>
    <definedName name="_45PAGE_2" localSheetId="57">'Jan 21'!$A$65:$W$141</definedName>
    <definedName name="_45PAGE_2" localSheetId="61">'Jan 22'!$A$65:$W$141</definedName>
    <definedName name="_45PAGE_2" localSheetId="65">'Jan 23'!$A$65:$W$141</definedName>
    <definedName name="_45PAGE_2" localSheetId="69">'Jan 24'!$A$65:$W$141</definedName>
    <definedName name="_45PAGE_2" localSheetId="31">'July 14'!$A$65:$W$136</definedName>
    <definedName name="_45PAGE_2" localSheetId="35">'July 15'!$A$65:$W$136</definedName>
    <definedName name="_45PAGE_2" localSheetId="39">'July 16'!$A$65:$W$136</definedName>
    <definedName name="_45PAGE_2" localSheetId="43">'July 17'!$A$65:$W$136</definedName>
    <definedName name="_45PAGE_2" localSheetId="47">'July 18'!$A$65:$W$136</definedName>
    <definedName name="_45PAGE_2" localSheetId="51">'July 19'!$A$65:$W$141</definedName>
    <definedName name="_45PAGE_2" localSheetId="55">'July 20'!$A$65:$W$141</definedName>
    <definedName name="_45PAGE_2" localSheetId="59">'July 21'!$A$65:$W$141</definedName>
    <definedName name="_45PAGE_2" localSheetId="63">'July 22'!$A$65:$W$141</definedName>
    <definedName name="_45PAGE_2" localSheetId="67">'July 23'!$A$65:$W$141</definedName>
    <definedName name="_45PAGE_2" localSheetId="32">'Oct 14'!$A$65:$W$136</definedName>
    <definedName name="_45PAGE_2" localSheetId="36">'Oct 15'!$A$65:$W$136</definedName>
    <definedName name="_45PAGE_2" localSheetId="40">'Oct 16'!$A$65:$W$136</definedName>
    <definedName name="_45PAGE_2" localSheetId="44">'Oct 17'!$A$65:$W$136</definedName>
    <definedName name="_45PAGE_2" localSheetId="48">'Oct 18'!$A$65:$W$136</definedName>
    <definedName name="_45PAGE_2" localSheetId="52">'Oct 19'!$A$65:$W$141</definedName>
    <definedName name="_45PAGE_2" localSheetId="56">'Oct 20'!$A$65:$W$141</definedName>
    <definedName name="_45PAGE_2" localSheetId="60">'Oct 21'!$A$65:$W$141</definedName>
    <definedName name="_45PAGE_2" localSheetId="64">'Oct 22'!$A$65:$W$141</definedName>
    <definedName name="_45PAGE_2" localSheetId="68">'Oct 23'!$A$65:$W$141</definedName>
    <definedName name="_46PAGE_2" localSheetId="3">'July 07'!$A$65:$W$135</definedName>
    <definedName name="_47PAGE_2" localSheetId="7">'July 08'!$A$65:$W$136</definedName>
    <definedName name="_48PAGE_2" localSheetId="11">'July 09'!$A$65:$W$136</definedName>
    <definedName name="_49PAGE_2" localSheetId="15">'July 10'!$A$65:$W$135</definedName>
    <definedName name="_4PAGE_1" localSheetId="14">'April 10'!$A$1:$W$64</definedName>
    <definedName name="_50PAGE_2" localSheetId="19">'July 11'!$A$65:$W$135</definedName>
    <definedName name="_51PAGE_2" localSheetId="23">'July 12'!$A$65:$W$135</definedName>
    <definedName name="_52PAGE_2" localSheetId="27">'July 13'!$A$65:$W$136</definedName>
    <definedName name="_53PAGE_2" localSheetId="4">'Oct 07'!$A$65:$W$135</definedName>
    <definedName name="_54PAGE_2" localSheetId="8">'Oct 08'!$A$65:$W$136</definedName>
    <definedName name="_55PAGE_2" localSheetId="12">'Oct 09'!$A$65:$W$136</definedName>
    <definedName name="_56PAGE_2" localSheetId="16">'Oct 10'!$A$65:$W$135</definedName>
    <definedName name="_57PAGE_2" localSheetId="20">'Oct 11'!$A$65:$W$135</definedName>
    <definedName name="_58PAGE_2" localSheetId="24">'Oct 12'!$A$65:$W$135</definedName>
    <definedName name="_59PAGE_2" localSheetId="28">'Oct 13'!$A$65:$W$136</definedName>
    <definedName name="_5PAGE_1" localSheetId="18">'April 11'!$A$1:$W$64</definedName>
    <definedName name="_60PAGE_2">'Oct 06'!$A$65:$W$134</definedName>
    <definedName name="_61PAGE_3" localSheetId="2">'April 07'!$A$136:$W$194</definedName>
    <definedName name="_62PAGE_3" localSheetId="6">'April 08'!$A$137:$W$195</definedName>
    <definedName name="_63PAGE_3" localSheetId="10">'April 09'!$A$137:$W$195</definedName>
    <definedName name="_64PAGE_3" localSheetId="14">'April 10'!$A$137:$W$196</definedName>
    <definedName name="_65PAGE_3" localSheetId="18">'April 11'!$A$136:$W$195</definedName>
    <definedName name="_66PAGE_3" localSheetId="22">'April 12'!$A$136:$W$195</definedName>
    <definedName name="_67PAGE_3" localSheetId="26">'April 13'!$A$137:$W$196</definedName>
    <definedName name="_68PAGE_3" localSheetId="1">'Jan 07'!$A$136:$W$194</definedName>
    <definedName name="_69PAGE_3" localSheetId="5">'Jan 08'!$A$137:$W$195</definedName>
    <definedName name="_6PAGE_1" localSheetId="22">'April 12'!$A$1:$W$64</definedName>
    <definedName name="_70PAGE_3" localSheetId="9">'Jan 09'!$A$137:$W$195</definedName>
    <definedName name="_71PAGE_3" localSheetId="13">'Jan 10'!$A$137:$W$196</definedName>
    <definedName name="_72PAGE_3" localSheetId="17">'Jan 11'!$A$136:$W$195</definedName>
    <definedName name="_73PAGE_3" localSheetId="21">'Jan 12'!$A$136:$W$195</definedName>
    <definedName name="_74PAGE_3" localSheetId="25">'Jan 13'!$A$137:$W$196</definedName>
    <definedName name="_75PAGE_3" localSheetId="38">'Apr 16'!$A$137:$W$196</definedName>
    <definedName name="_75PAGE_3" localSheetId="30">'April 14'!$A$137:$W$196</definedName>
    <definedName name="_75PAGE_3" localSheetId="34">'April 15'!$A$137:$W$196</definedName>
    <definedName name="_75PAGE_3" localSheetId="42">'April 17'!$A$137:$W$196</definedName>
    <definedName name="_75PAGE_3" localSheetId="46">'April 18'!$A$137:$W$196</definedName>
    <definedName name="_75PAGE_3" localSheetId="50">'April 19'!$A$137:$W$196</definedName>
    <definedName name="_75PAGE_3" localSheetId="54">'April 20'!$A$142:$W$202</definedName>
    <definedName name="_75PAGE_3" localSheetId="58">'April 21'!$A$142:$W$202</definedName>
    <definedName name="_75PAGE_3" localSheetId="62">'April 22'!$A$142:$W$202</definedName>
    <definedName name="_75PAGE_3" localSheetId="66">'April 23'!$A$142:$W$202</definedName>
    <definedName name="_75PAGE_3" localSheetId="29">'Jan 14'!$A$137:$W$196</definedName>
    <definedName name="_75PAGE_3" localSheetId="33">'Jan 15'!$A$137:$W$196</definedName>
    <definedName name="_75PAGE_3" localSheetId="37">'Jan 16'!$A$137:$W$196</definedName>
    <definedName name="_75PAGE_3" localSheetId="41">'Jan 17'!$A$137:$W$196</definedName>
    <definedName name="_75PAGE_3" localSheetId="45">'Jan 18'!$A$137:$W$196</definedName>
    <definedName name="_75PAGE_3" localSheetId="49">'Jan 19'!$A$137:$W$196</definedName>
    <definedName name="_75PAGE_3" localSheetId="53">'Jan 20'!$A$142:$W$202</definedName>
    <definedName name="_75PAGE_3" localSheetId="57">'Jan 21'!$A$142:$W$202</definedName>
    <definedName name="_75PAGE_3" localSheetId="61">'Jan 22'!$A$142:$W$202</definedName>
    <definedName name="_75PAGE_3" localSheetId="65">'Jan 23'!$A$142:$W$202</definedName>
    <definedName name="_75PAGE_3" localSheetId="69">'Jan 24'!$A$142:$W$202</definedName>
    <definedName name="_75PAGE_3" localSheetId="31">'July 14'!$A$137:$W$196</definedName>
    <definedName name="_75PAGE_3" localSheetId="35">'July 15'!$A$137:$W$196</definedName>
    <definedName name="_75PAGE_3" localSheetId="39">'July 16'!$A$137:$W$196</definedName>
    <definedName name="_75PAGE_3" localSheetId="43">'July 17'!$A$137:$W$196</definedName>
    <definedName name="_75PAGE_3" localSheetId="47">'July 18'!$A$137:$W$196</definedName>
    <definedName name="_75PAGE_3" localSheetId="51">'July 19'!$A$142:$W$201</definedName>
    <definedName name="_75PAGE_3" localSheetId="55">'July 20'!$A$142:$W$202</definedName>
    <definedName name="_75PAGE_3" localSheetId="59">'July 21'!$A$142:$W$202</definedName>
    <definedName name="_75PAGE_3" localSheetId="63">'July 22'!$A$142:$W$202</definedName>
    <definedName name="_75PAGE_3" localSheetId="67">'July 23'!$A$142:$W$202</definedName>
    <definedName name="_75PAGE_3" localSheetId="32">'Oct 14'!$A$137:$W$196</definedName>
    <definedName name="_75PAGE_3" localSheetId="36">'Oct 15'!$A$137:$W$196</definedName>
    <definedName name="_75PAGE_3" localSheetId="40">'Oct 16'!$A$137:$W$196</definedName>
    <definedName name="_75PAGE_3" localSheetId="44">'Oct 17'!$A$137:$W$196</definedName>
    <definedName name="_75PAGE_3" localSheetId="48">'Oct 18'!$A$137:$W$196</definedName>
    <definedName name="_75PAGE_3" localSheetId="52">'Oct 19'!$A$142:$W$202</definedName>
    <definedName name="_75PAGE_3" localSheetId="56">'Oct 20'!$A$142:$W$202</definedName>
    <definedName name="_75PAGE_3" localSheetId="60">'Oct 21'!$A$142:$W$202</definedName>
    <definedName name="_75PAGE_3" localSheetId="64">'Oct 22'!$A$142:$W$202</definedName>
    <definedName name="_75PAGE_3" localSheetId="68">'Oct 23'!$A$142:$W$202</definedName>
    <definedName name="_76PAGE_3" localSheetId="3">'July 07'!$A$136:$W$194</definedName>
    <definedName name="_77PAGE_3" localSheetId="7">'July 08'!$A$137:$W$195</definedName>
    <definedName name="_78PAGE_3" localSheetId="11">'July 09'!$A$137:$W$195</definedName>
    <definedName name="_79PAGE_3" localSheetId="15">'July 10'!$A$136:$W$195</definedName>
    <definedName name="_7PAGE_1" localSheetId="26">'April 13'!$A$1:$W$64</definedName>
    <definedName name="_80PAGE_3" localSheetId="19">'July 11'!$A$136:$W$195</definedName>
    <definedName name="_81PAGE_3" localSheetId="23">'July 12'!$A$136:$W$195</definedName>
    <definedName name="_82PAGE_3" localSheetId="27">'July 13'!$A$137:$W$196</definedName>
    <definedName name="_83PAGE_3" localSheetId="4">'Oct 07'!$A$136:$W$194</definedName>
    <definedName name="_84PAGE_3" localSheetId="8">'Oct 08'!$A$137:$W$195</definedName>
    <definedName name="_85PAGE_3" localSheetId="12">'Oct 09'!$A$137:$W$196</definedName>
    <definedName name="_86PAGE_3" localSheetId="16">'Oct 10'!$A$136:$W$195</definedName>
    <definedName name="_87PAGE_3" localSheetId="20">'Oct 11'!$A$136:$W$195</definedName>
    <definedName name="_88PAGE_3" localSheetId="24">'Oct 12'!$A$136:$W$195</definedName>
    <definedName name="_89PAGE_3" localSheetId="28">'Oct 13'!$A$137:$W$196</definedName>
    <definedName name="_8PAGE_1" localSheetId="1">'Jan 07'!$A$1:$W$64</definedName>
    <definedName name="_90PAGE_3">'Oct 06'!$A$135:$W$193</definedName>
    <definedName name="_91PAGE_4" localSheetId="2">'April 07'!$A$195:$W$277</definedName>
    <definedName name="_92PAGE_4" localSheetId="6">'April 08'!$A$196:$W$278</definedName>
    <definedName name="_93PAGE_4" localSheetId="10">'April 09'!$A$196:$W$278</definedName>
    <definedName name="_94PAGE_4" localSheetId="14">'April 10'!$A$197:$W$279</definedName>
    <definedName name="_95PAGE_4" localSheetId="18">'April 11'!$A$196:$W$290</definedName>
    <definedName name="_96PAGE_4" localSheetId="22">'April 12'!$A$196:$W$290</definedName>
    <definedName name="_97PAGE_4" localSheetId="26">'April 13'!$A$197:$W$291</definedName>
    <definedName name="_98PAGE_4" localSheetId="1">'Jan 07'!$A$195:$W$277</definedName>
    <definedName name="_99PAGE_4" localSheetId="5">'Jan 08'!$A$196:$W$278</definedName>
    <definedName name="_9PAGE_1" localSheetId="5">'Jan 08'!$A$1:$W$64</definedName>
    <definedName name="_xlnm.Print_Area" localSheetId="38">'Apr 16'!$A$1:$X$292</definedName>
    <definedName name="_xlnm.Print_Area" localSheetId="2">'April 07'!$A$1:$X$278</definedName>
    <definedName name="_xlnm.Print_Area" localSheetId="6">'April 08'!$A$1:$X$279</definedName>
    <definedName name="_xlnm.Print_Area" localSheetId="10">'April 09'!$A$1:$X$279</definedName>
    <definedName name="_xlnm.Print_Area" localSheetId="14">'April 10'!$A$1:$X$280</definedName>
    <definedName name="_xlnm.Print_Area" localSheetId="18">'April 11'!$A$1:$X$291</definedName>
    <definedName name="_xlnm.Print_Area" localSheetId="22">'April 12'!$A$1:$X$291</definedName>
    <definedName name="_xlnm.Print_Area" localSheetId="26">'April 13'!$A$1:$X$292</definedName>
    <definedName name="_xlnm.Print_Area" localSheetId="30">'April 14'!$A$1:$X$292</definedName>
    <definedName name="_xlnm.Print_Area" localSheetId="34">'April 15'!$A$1:$X$292</definedName>
    <definedName name="_xlnm.Print_Area" localSheetId="42">'April 17'!$A$1:$X$291</definedName>
    <definedName name="_xlnm.Print_Area" localSheetId="46">'April 18'!$A$1:$X$291</definedName>
    <definedName name="_xlnm.Print_Area" localSheetId="50">'April 19'!$A$1:$X$293</definedName>
    <definedName name="_xlnm.Print_Area" localSheetId="54">'April 20'!$A$1:$X$324</definedName>
    <definedName name="_xlnm.Print_Area" localSheetId="58">'April 21'!$A$1:$X$326</definedName>
    <definedName name="_xlnm.Print_Area" localSheetId="62">'April 22'!$A$1:$X$308</definedName>
    <definedName name="_xlnm.Print_Area" localSheetId="66">'April 23'!$A$1:$X$308</definedName>
    <definedName name="_xlnm.Print_Area" localSheetId="1">'Jan 07'!$A$1:$X$278</definedName>
    <definedName name="_xlnm.Print_Area" localSheetId="5">'Jan 08'!$A$1:$X$279</definedName>
    <definedName name="_xlnm.Print_Area" localSheetId="9">'Jan 09'!$A$1:$X$279</definedName>
    <definedName name="_xlnm.Print_Area" localSheetId="13">'Jan 10'!$A$1:$X$280</definedName>
    <definedName name="_xlnm.Print_Area" localSheetId="17">'Jan 11'!$A$1:$X$291</definedName>
    <definedName name="_xlnm.Print_Area" localSheetId="21">'Jan 12'!$A$1:$X$291</definedName>
    <definedName name="_xlnm.Print_Area" localSheetId="25">'Jan 13'!$A$1:$X$292</definedName>
    <definedName name="_xlnm.Print_Area" localSheetId="29">'Jan 14'!$A$1:$X$292</definedName>
    <definedName name="_xlnm.Print_Area" localSheetId="33">'Jan 15'!$A$1:$X$292</definedName>
    <definedName name="_xlnm.Print_Area" localSheetId="37">'Jan 16'!$A$1:$X$292</definedName>
    <definedName name="_xlnm.Print_Area" localSheetId="41">'Jan 17'!$A$1:$X$291</definedName>
    <definedName name="_xlnm.Print_Area" localSheetId="45">'Jan 18'!$A$1:$X$291</definedName>
    <definedName name="_xlnm.Print_Area" localSheetId="49">'Jan 19'!$A$1:$X$291</definedName>
    <definedName name="_xlnm.Print_Area" localSheetId="53">'Jan 20'!$A$1:$X$296</definedName>
    <definedName name="_xlnm.Print_Area" localSheetId="57">'Jan 21'!$A$1:$X$326</definedName>
    <definedName name="_xlnm.Print_Area" localSheetId="61">'Jan 22'!$A$1:$X$308</definedName>
    <definedName name="_xlnm.Print_Area" localSheetId="65">'Jan 23'!$A$1:$X$308</definedName>
    <definedName name="_xlnm.Print_Area" localSheetId="69">'Jan 24'!$A$1:$X$308</definedName>
    <definedName name="_xlnm.Print_Area" localSheetId="3">'July 07'!$A$1:$X$278</definedName>
    <definedName name="_xlnm.Print_Area" localSheetId="7">'July 08'!$A$1:$X$279</definedName>
    <definedName name="_xlnm.Print_Area" localSheetId="11">'July 09'!$A$1:$X$279</definedName>
    <definedName name="_xlnm.Print_Area" localSheetId="15">'July 10'!$A$1:$X$291</definedName>
    <definedName name="_xlnm.Print_Area" localSheetId="19">'July 11'!$A$1:$X$291</definedName>
    <definedName name="_xlnm.Print_Area" localSheetId="23">'July 12'!$A$1:$X$291</definedName>
    <definedName name="_xlnm.Print_Area" localSheetId="27">'July 13'!$A$1:$X$292</definedName>
    <definedName name="_xlnm.Print_Area" localSheetId="31">'July 14'!$A$1:$X$292</definedName>
    <definedName name="_xlnm.Print_Area" localSheetId="35">'July 15'!$A$1:$X$292</definedName>
    <definedName name="_xlnm.Print_Area" localSheetId="39">'July 16'!$A$1:$X$292</definedName>
    <definedName name="_xlnm.Print_Area" localSheetId="43">'July 17'!$A$1:$X$291</definedName>
    <definedName name="_xlnm.Print_Area" localSheetId="47">'July 18'!$A$1:$X$291</definedName>
    <definedName name="_xlnm.Print_Area" localSheetId="51">'July 19'!$A$1:$X$295</definedName>
    <definedName name="_xlnm.Print_Area" localSheetId="55">'July 20'!$A$1:$X$326</definedName>
    <definedName name="_xlnm.Print_Area" localSheetId="59">'July 21'!$A$1:$X$326</definedName>
    <definedName name="_xlnm.Print_Area" localSheetId="63">'July 22'!$A$1:$X$309</definedName>
    <definedName name="_xlnm.Print_Area" localSheetId="67">'July 23'!$A$1:$X$308</definedName>
    <definedName name="_xlnm.Print_Area" localSheetId="0">'Oct 06'!$A$1:$X$277</definedName>
    <definedName name="_xlnm.Print_Area" localSheetId="4">'Oct 07'!$A$1:$X$278</definedName>
    <definedName name="_xlnm.Print_Area" localSheetId="8">'Oct 08'!$A$1:$X$279</definedName>
    <definedName name="_xlnm.Print_Area" localSheetId="12">'Oct 09'!$A$1:$X$280</definedName>
    <definedName name="_xlnm.Print_Area" localSheetId="16">'Oct 10'!$A$1:$X$291</definedName>
    <definedName name="_xlnm.Print_Area" localSheetId="20">'Oct 11'!$A$1:$X$291</definedName>
    <definedName name="_xlnm.Print_Area" localSheetId="24">'Oct 12'!$A$1:$X$291</definedName>
    <definedName name="_xlnm.Print_Area" localSheetId="28">'Oct 13'!$A$1:$X$292</definedName>
    <definedName name="_xlnm.Print_Area" localSheetId="32">'Oct 14'!$A$1:$X$292</definedName>
    <definedName name="_xlnm.Print_Area" localSheetId="36">'Oct 15'!$A$1:$X$292</definedName>
    <definedName name="_xlnm.Print_Area" localSheetId="40">'Oct 16'!$A$1:$X$292</definedName>
    <definedName name="_xlnm.Print_Area" localSheetId="44">'Oct 17'!$A$1:$X$291</definedName>
    <definedName name="_xlnm.Print_Area" localSheetId="48">'Oct 18'!$A$1:$X$291</definedName>
    <definedName name="_xlnm.Print_Area" localSheetId="52">'Oct 19'!$A$1:$X$296</definedName>
    <definedName name="_xlnm.Print_Area" localSheetId="56">'Oct 20'!$A$1:$X$326</definedName>
    <definedName name="_xlnm.Print_Area" localSheetId="60">'Oct 21'!$A$1:$X$308</definedName>
    <definedName name="_xlnm.Print_Area" localSheetId="64">'Oct 22'!$A$1:$X$309</definedName>
    <definedName name="_xlnm.Print_Area" localSheetId="68">'Oct 23'!$A$1:$X$308</definedName>
    <definedName name="_xlnm.Print_Area">'Oct 06'!$A$1:$W$64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38" i="71" l="1"/>
  <c r="T137" i="71"/>
  <c r="V146" i="71" l="1"/>
  <c r="V104" i="71"/>
  <c r="V91" i="71"/>
  <c r="V90" i="71"/>
  <c r="T89" i="71"/>
  <c r="V36" i="71"/>
  <c r="P44" i="71" l="1"/>
  <c r="L44" i="71"/>
  <c r="F44" i="71"/>
  <c r="D44" i="71"/>
  <c r="U272" i="71"/>
  <c r="T186" i="71" l="1"/>
  <c r="T188" i="71" s="1"/>
  <c r="S186" i="71"/>
  <c r="S188" i="71" s="1"/>
  <c r="U296" i="71"/>
  <c r="T296" i="71"/>
  <c r="S296" i="71"/>
  <c r="R296" i="71"/>
  <c r="T284" i="71"/>
  <c r="U282" i="71" s="1"/>
  <c r="R284" i="71"/>
  <c r="S280" i="71" s="1"/>
  <c r="T274" i="71"/>
  <c r="R274" i="71"/>
  <c r="S270" i="71" s="1"/>
  <c r="T262" i="71"/>
  <c r="U259" i="71" s="1"/>
  <c r="R262" i="71"/>
  <c r="S260" i="71" s="1"/>
  <c r="T248" i="71"/>
  <c r="R248" i="71"/>
  <c r="T247" i="71"/>
  <c r="R247" i="71"/>
  <c r="T246" i="71"/>
  <c r="R246" i="71"/>
  <c r="T245" i="71"/>
  <c r="R245" i="71"/>
  <c r="T244" i="71"/>
  <c r="R244" i="71"/>
  <c r="T243" i="71"/>
  <c r="R243" i="71"/>
  <c r="T242" i="71"/>
  <c r="R242" i="71"/>
  <c r="T241" i="71"/>
  <c r="R241" i="71"/>
  <c r="T223" i="71"/>
  <c r="T217" i="71"/>
  <c r="T206" i="71"/>
  <c r="T207" i="71" s="1"/>
  <c r="V187" i="71"/>
  <c r="V173" i="71"/>
  <c r="V171" i="71"/>
  <c r="V172" i="71" s="1"/>
  <c r="V174" i="71" s="1"/>
  <c r="V152" i="71"/>
  <c r="V155" i="71" s="1"/>
  <c r="B141" i="71"/>
  <c r="B202" i="71" s="1"/>
  <c r="B307" i="71" s="1"/>
  <c r="T128" i="71"/>
  <c r="T126" i="71"/>
  <c r="T114" i="71"/>
  <c r="A114" i="71"/>
  <c r="A115" i="71" s="1"/>
  <c r="A116" i="71" s="1"/>
  <c r="A117" i="71" s="1"/>
  <c r="A118" i="71" s="1"/>
  <c r="A119" i="71" s="1"/>
  <c r="A120" i="71" s="1"/>
  <c r="A121" i="71" s="1"/>
  <c r="A122" i="71" s="1"/>
  <c r="V137" i="71"/>
  <c r="A104" i="71"/>
  <c r="A103" i="71"/>
  <c r="T98" i="71"/>
  <c r="T97" i="71"/>
  <c r="T96" i="71"/>
  <c r="T100" i="71" s="1"/>
  <c r="N87" i="71"/>
  <c r="V82" i="71"/>
  <c r="V81" i="71"/>
  <c r="T71" i="71"/>
  <c r="R71" i="71"/>
  <c r="P71" i="71"/>
  <c r="N71" i="71"/>
  <c r="N84" i="71" s="1"/>
  <c r="L71" i="71"/>
  <c r="L84" i="71" s="1"/>
  <c r="V69" i="71"/>
  <c r="V68" i="71"/>
  <c r="V71" i="71" s="1"/>
  <c r="R58" i="71"/>
  <c r="R57" i="71"/>
  <c r="V50" i="71"/>
  <c r="P43" i="71"/>
  <c r="L43" i="71"/>
  <c r="F43" i="71"/>
  <c r="D43" i="71"/>
  <c r="R36" i="71"/>
  <c r="P36" i="71"/>
  <c r="N36" i="71"/>
  <c r="L36" i="71"/>
  <c r="J36" i="71"/>
  <c r="H36" i="71"/>
  <c r="F36" i="71"/>
  <c r="D36" i="71"/>
  <c r="R35" i="71"/>
  <c r="P35" i="71"/>
  <c r="N35" i="71"/>
  <c r="L35" i="71"/>
  <c r="J35" i="71"/>
  <c r="H35" i="71"/>
  <c r="F35" i="71"/>
  <c r="D35" i="71"/>
  <c r="V34" i="71"/>
  <c r="V52" i="71" s="1"/>
  <c r="R33" i="71"/>
  <c r="P33" i="71"/>
  <c r="N33" i="71"/>
  <c r="L33" i="71"/>
  <c r="J33" i="71"/>
  <c r="H33" i="71"/>
  <c r="F33" i="71"/>
  <c r="D33" i="71"/>
  <c r="R32" i="71"/>
  <c r="P32" i="71"/>
  <c r="N32" i="71"/>
  <c r="L32" i="71"/>
  <c r="J32" i="71"/>
  <c r="H32" i="71"/>
  <c r="F32" i="71"/>
  <c r="D32" i="71"/>
  <c r="V152" i="70"/>
  <c r="V155" i="70" s="1"/>
  <c r="V35" i="71" l="1"/>
  <c r="V43" i="71" s="1"/>
  <c r="T209" i="71" s="1"/>
  <c r="T210" i="71" s="1"/>
  <c r="U257" i="71"/>
  <c r="U260" i="71"/>
  <c r="U253" i="71"/>
  <c r="U256" i="71"/>
  <c r="S277" i="71"/>
  <c r="S281" i="71"/>
  <c r="U280" i="71"/>
  <c r="U279" i="71"/>
  <c r="U281" i="71"/>
  <c r="S282" i="71"/>
  <c r="V51" i="71"/>
  <c r="T227" i="71"/>
  <c r="T228" i="71" s="1"/>
  <c r="U277" i="71"/>
  <c r="V96" i="71"/>
  <c r="V100" i="71" s="1"/>
  <c r="V193" i="71" s="1"/>
  <c r="V145" i="71"/>
  <c r="S278" i="71"/>
  <c r="S279" i="71"/>
  <c r="U265" i="71"/>
  <c r="U267" i="71"/>
  <c r="U266" i="71"/>
  <c r="U269" i="71"/>
  <c r="U271" i="71"/>
  <c r="T298" i="71"/>
  <c r="U270" i="71"/>
  <c r="T222" i="71"/>
  <c r="S267" i="71"/>
  <c r="S269" i="71"/>
  <c r="S265" i="71"/>
  <c r="S222" i="71"/>
  <c r="S272" i="71"/>
  <c r="R298" i="71"/>
  <c r="S271" i="71"/>
  <c r="S268" i="71"/>
  <c r="S223" i="71"/>
  <c r="T250" i="71"/>
  <c r="U242" i="71" s="1"/>
  <c r="V188" i="71"/>
  <c r="V186" i="71"/>
  <c r="V84" i="71"/>
  <c r="V181" i="71" s="1"/>
  <c r="V180" i="71"/>
  <c r="S253" i="71"/>
  <c r="S258" i="71"/>
  <c r="S185" i="71"/>
  <c r="S189" i="71" s="1"/>
  <c r="U254" i="71"/>
  <c r="U258" i="71"/>
  <c r="U268" i="71"/>
  <c r="U278" i="71"/>
  <c r="S257" i="71"/>
  <c r="R250" i="71"/>
  <c r="S244" i="71" s="1"/>
  <c r="S255" i="71"/>
  <c r="S259" i="71"/>
  <c r="U255" i="71"/>
  <c r="S254" i="71"/>
  <c r="S256" i="71"/>
  <c r="S266" i="71"/>
  <c r="V104" i="70"/>
  <c r="V137" i="70" s="1"/>
  <c r="V91" i="70"/>
  <c r="V96" i="70" s="1"/>
  <c r="V100" i="70" s="1"/>
  <c r="V90" i="70"/>
  <c r="T89" i="70"/>
  <c r="T96" i="70" s="1"/>
  <c r="P44" i="70"/>
  <c r="L44" i="70"/>
  <c r="F44" i="70"/>
  <c r="D44" i="70"/>
  <c r="T186" i="70"/>
  <c r="S186" i="70"/>
  <c r="V186" i="70" s="1"/>
  <c r="U296" i="70"/>
  <c r="T296" i="70"/>
  <c r="S296" i="70"/>
  <c r="R296" i="70"/>
  <c r="S223" i="70" s="1"/>
  <c r="T284" i="70"/>
  <c r="U279" i="70" s="1"/>
  <c r="R284" i="70"/>
  <c r="S281" i="70" s="1"/>
  <c r="S277" i="70"/>
  <c r="T274" i="70"/>
  <c r="U269" i="70" s="1"/>
  <c r="R274" i="70"/>
  <c r="S271" i="70" s="1"/>
  <c r="T262" i="70"/>
  <c r="U259" i="70" s="1"/>
  <c r="R262" i="70"/>
  <c r="S259" i="70" s="1"/>
  <c r="T248" i="70"/>
  <c r="R248" i="70"/>
  <c r="T247" i="70"/>
  <c r="R247" i="70"/>
  <c r="T246" i="70"/>
  <c r="R246" i="70"/>
  <c r="T245" i="70"/>
  <c r="R245" i="70"/>
  <c r="T244" i="70"/>
  <c r="R244" i="70"/>
  <c r="T243" i="70"/>
  <c r="R243" i="70"/>
  <c r="T242" i="70"/>
  <c r="R242" i="70"/>
  <c r="T241" i="70"/>
  <c r="R241" i="70"/>
  <c r="T217" i="70"/>
  <c r="T206" i="70"/>
  <c r="T207" i="70" s="1"/>
  <c r="V187" i="70"/>
  <c r="T188" i="70"/>
  <c r="V173" i="70"/>
  <c r="V171" i="70"/>
  <c r="V172" i="70" s="1"/>
  <c r="V174" i="70" s="1"/>
  <c r="B141" i="70"/>
  <c r="B202" i="70" s="1"/>
  <c r="B307" i="70" s="1"/>
  <c r="T128" i="70"/>
  <c r="T126" i="70"/>
  <c r="T137" i="70" s="1"/>
  <c r="A115" i="70"/>
  <c r="A116" i="70" s="1"/>
  <c r="A117" i="70" s="1"/>
  <c r="A118" i="70" s="1"/>
  <c r="A119" i="70" s="1"/>
  <c r="A120" i="70" s="1"/>
  <c r="A121" i="70" s="1"/>
  <c r="A122" i="70" s="1"/>
  <c r="T114" i="70"/>
  <c r="A114" i="70"/>
  <c r="A103" i="70"/>
  <c r="A104" i="70" s="1"/>
  <c r="T98" i="70"/>
  <c r="T97" i="70"/>
  <c r="N87" i="70"/>
  <c r="V82" i="70"/>
  <c r="V81" i="70"/>
  <c r="T71" i="70"/>
  <c r="R71" i="70"/>
  <c r="P71" i="70"/>
  <c r="N71" i="70"/>
  <c r="N84" i="70" s="1"/>
  <c r="L71" i="70"/>
  <c r="L84" i="70" s="1"/>
  <c r="V69" i="70"/>
  <c r="V68" i="70"/>
  <c r="V71" i="70" s="1"/>
  <c r="R58" i="70"/>
  <c r="R57" i="70"/>
  <c r="V50" i="70"/>
  <c r="P43" i="70"/>
  <c r="L43" i="70"/>
  <c r="F43" i="70"/>
  <c r="D43" i="70"/>
  <c r="R36" i="70"/>
  <c r="P36" i="70"/>
  <c r="N36" i="70"/>
  <c r="L36" i="70"/>
  <c r="J36" i="70"/>
  <c r="H36" i="70"/>
  <c r="F36" i="70"/>
  <c r="D36" i="70"/>
  <c r="R35" i="70"/>
  <c r="P35" i="70"/>
  <c r="N35" i="70"/>
  <c r="L35" i="70"/>
  <c r="J35" i="70"/>
  <c r="H35" i="70"/>
  <c r="F35" i="70"/>
  <c r="D35" i="70"/>
  <c r="V34" i="70"/>
  <c r="V52" i="70" s="1"/>
  <c r="R33" i="70"/>
  <c r="P33" i="70"/>
  <c r="N33" i="70"/>
  <c r="L33" i="70"/>
  <c r="J33" i="70"/>
  <c r="H33" i="70"/>
  <c r="F33" i="70"/>
  <c r="D33" i="70"/>
  <c r="R32" i="70"/>
  <c r="P32" i="70"/>
  <c r="N32" i="70"/>
  <c r="L32" i="70"/>
  <c r="J32" i="70"/>
  <c r="H32" i="70"/>
  <c r="F32" i="70"/>
  <c r="D32" i="70"/>
  <c r="V43" i="69"/>
  <c r="T211" i="71" l="1"/>
  <c r="V195" i="71"/>
  <c r="V197" i="71"/>
  <c r="S284" i="71"/>
  <c r="U262" i="71"/>
  <c r="U284" i="71"/>
  <c r="V138" i="71"/>
  <c r="U243" i="71"/>
  <c r="U245" i="71"/>
  <c r="U247" i="71"/>
  <c r="U274" i="71"/>
  <c r="U248" i="71"/>
  <c r="S274" i="71"/>
  <c r="U244" i="71"/>
  <c r="U246" i="71"/>
  <c r="U241" i="71"/>
  <c r="S262" i="71"/>
  <c r="S242" i="71"/>
  <c r="S245" i="71"/>
  <c r="S247" i="71"/>
  <c r="S241" i="71"/>
  <c r="S246" i="71"/>
  <c r="S248" i="71"/>
  <c r="S243" i="71"/>
  <c r="S185" i="70"/>
  <c r="U266" i="70"/>
  <c r="U270" i="70"/>
  <c r="T100" i="70"/>
  <c r="T138" i="70" s="1"/>
  <c r="V145" i="70"/>
  <c r="S278" i="70"/>
  <c r="S279" i="70"/>
  <c r="S280" i="70"/>
  <c r="V35" i="70"/>
  <c r="V43" i="70"/>
  <c r="T209" i="70" s="1"/>
  <c r="T210" i="70" s="1"/>
  <c r="V36" i="70"/>
  <c r="V51" i="70"/>
  <c r="U280" i="70"/>
  <c r="S282" i="70"/>
  <c r="T222" i="70"/>
  <c r="S270" i="70"/>
  <c r="S265" i="70"/>
  <c r="S266" i="70"/>
  <c r="S272" i="70"/>
  <c r="S222" i="70"/>
  <c r="S267" i="70"/>
  <c r="S268" i="70"/>
  <c r="S269" i="70"/>
  <c r="U256" i="70"/>
  <c r="T298" i="70"/>
  <c r="U260" i="70"/>
  <c r="T250" i="70"/>
  <c r="U242" i="70" s="1"/>
  <c r="U244" i="70"/>
  <c r="S257" i="70"/>
  <c r="S253" i="70"/>
  <c r="S258" i="70"/>
  <c r="R298" i="70"/>
  <c r="S254" i="70"/>
  <c r="S260" i="70"/>
  <c r="S255" i="70"/>
  <c r="S256" i="70"/>
  <c r="V197" i="70"/>
  <c r="V195" i="70"/>
  <c r="T211" i="70"/>
  <c r="V193" i="70"/>
  <c r="V138" i="70"/>
  <c r="V84" i="70"/>
  <c r="V181" i="70" s="1"/>
  <c r="V180" i="70"/>
  <c r="S188" i="70"/>
  <c r="V188" i="70" s="1"/>
  <c r="T223" i="70"/>
  <c r="U253" i="70"/>
  <c r="U257" i="70"/>
  <c r="U267" i="70"/>
  <c r="U271" i="70"/>
  <c r="U277" i="70"/>
  <c r="U281" i="70"/>
  <c r="T227" i="70"/>
  <c r="T228" i="70" s="1"/>
  <c r="U254" i="70"/>
  <c r="U258" i="70"/>
  <c r="U268" i="70"/>
  <c r="U272" i="70"/>
  <c r="U278" i="70"/>
  <c r="U282" i="70"/>
  <c r="R250" i="70"/>
  <c r="S246" i="70" s="1"/>
  <c r="U255" i="70"/>
  <c r="U265" i="70"/>
  <c r="V106" i="69"/>
  <c r="V104" i="69"/>
  <c r="V91" i="69"/>
  <c r="V90" i="69"/>
  <c r="T89" i="69"/>
  <c r="U250" i="71" l="1"/>
  <c r="S250" i="71"/>
  <c r="S284" i="70"/>
  <c r="S274" i="70"/>
  <c r="S189" i="70"/>
  <c r="U274" i="70"/>
  <c r="S245" i="70"/>
  <c r="U246" i="70"/>
  <c r="U241" i="70"/>
  <c r="U248" i="70"/>
  <c r="U243" i="70"/>
  <c r="U247" i="70"/>
  <c r="U245" i="70"/>
  <c r="S262" i="70"/>
  <c r="S247" i="70"/>
  <c r="S241" i="70"/>
  <c r="S243" i="70"/>
  <c r="U284" i="70"/>
  <c r="S248" i="70"/>
  <c r="S244" i="70"/>
  <c r="U262" i="70"/>
  <c r="S242" i="70"/>
  <c r="P44" i="69"/>
  <c r="L44" i="69"/>
  <c r="F44" i="69"/>
  <c r="D44" i="69"/>
  <c r="T284" i="69"/>
  <c r="U250" i="70" l="1"/>
  <c r="S250" i="70"/>
  <c r="T186" i="69"/>
  <c r="T188" i="69" s="1"/>
  <c r="S186" i="69"/>
  <c r="U296" i="69"/>
  <c r="T296" i="69"/>
  <c r="S296" i="69"/>
  <c r="R296" i="69"/>
  <c r="U279" i="69"/>
  <c r="R284" i="69"/>
  <c r="S282" i="69" s="1"/>
  <c r="S280" i="69"/>
  <c r="S279" i="69"/>
  <c r="T274" i="69"/>
  <c r="U269" i="69" s="1"/>
  <c r="R274" i="69"/>
  <c r="S272" i="69" s="1"/>
  <c r="T262" i="69"/>
  <c r="U259" i="69" s="1"/>
  <c r="R262" i="69"/>
  <c r="S258" i="69" s="1"/>
  <c r="S259" i="69"/>
  <c r="T248" i="69"/>
  <c r="R248" i="69"/>
  <c r="T247" i="69"/>
  <c r="R247" i="69"/>
  <c r="T246" i="69"/>
  <c r="R246" i="69"/>
  <c r="T245" i="69"/>
  <c r="R245" i="69"/>
  <c r="T244" i="69"/>
  <c r="R244" i="69"/>
  <c r="T243" i="69"/>
  <c r="R243" i="69"/>
  <c r="T242" i="69"/>
  <c r="R242" i="69"/>
  <c r="T241" i="69"/>
  <c r="R241" i="69"/>
  <c r="T223" i="69"/>
  <c r="S223" i="69"/>
  <c r="T217" i="69"/>
  <c r="T206" i="69"/>
  <c r="T207" i="69" s="1"/>
  <c r="V187" i="69"/>
  <c r="V173" i="69"/>
  <c r="V172" i="69"/>
  <c r="V174" i="69" s="1"/>
  <c r="V171" i="69"/>
  <c r="T227" i="69" s="1"/>
  <c r="T228" i="69" s="1"/>
  <c r="V155" i="69"/>
  <c r="B141" i="69"/>
  <c r="B202" i="69" s="1"/>
  <c r="B307" i="69" s="1"/>
  <c r="V137" i="69"/>
  <c r="T137" i="69"/>
  <c r="T128" i="69"/>
  <c r="T126" i="69"/>
  <c r="A115" i="69"/>
  <c r="A116" i="69" s="1"/>
  <c r="A117" i="69" s="1"/>
  <c r="A118" i="69" s="1"/>
  <c r="A119" i="69" s="1"/>
  <c r="A120" i="69" s="1"/>
  <c r="A121" i="69" s="1"/>
  <c r="A122" i="69" s="1"/>
  <c r="T114" i="69"/>
  <c r="A114" i="69"/>
  <c r="A104" i="69"/>
  <c r="A103" i="69"/>
  <c r="T100" i="69"/>
  <c r="T98" i="69"/>
  <c r="T97" i="69"/>
  <c r="T96" i="69"/>
  <c r="V96" i="69"/>
  <c r="V100" i="69" s="1"/>
  <c r="N87" i="69"/>
  <c r="V82" i="69"/>
  <c r="V81" i="69"/>
  <c r="T71" i="69"/>
  <c r="R71" i="69"/>
  <c r="P71" i="69"/>
  <c r="N71" i="69"/>
  <c r="N84" i="69" s="1"/>
  <c r="L71" i="69"/>
  <c r="L84" i="69" s="1"/>
  <c r="V69" i="69"/>
  <c r="V68" i="69"/>
  <c r="V71" i="69" s="1"/>
  <c r="R58" i="69"/>
  <c r="R57" i="69"/>
  <c r="V50" i="69"/>
  <c r="P43" i="69"/>
  <c r="L43" i="69"/>
  <c r="F43" i="69"/>
  <c r="D43" i="69"/>
  <c r="R36" i="69"/>
  <c r="P36" i="69"/>
  <c r="N36" i="69"/>
  <c r="L36" i="69"/>
  <c r="J36" i="69"/>
  <c r="H36" i="69"/>
  <c r="F36" i="69"/>
  <c r="D36" i="69"/>
  <c r="R35" i="69"/>
  <c r="P35" i="69"/>
  <c r="N35" i="69"/>
  <c r="L35" i="69"/>
  <c r="J35" i="69"/>
  <c r="H35" i="69"/>
  <c r="F35" i="69"/>
  <c r="D35" i="69"/>
  <c r="V35" i="69" s="1"/>
  <c r="T209" i="69" s="1"/>
  <c r="T210" i="69" s="1"/>
  <c r="V34" i="69"/>
  <c r="V52" i="69" s="1"/>
  <c r="R33" i="69"/>
  <c r="P33" i="69"/>
  <c r="N33" i="69"/>
  <c r="L33" i="69"/>
  <c r="J33" i="69"/>
  <c r="H33" i="69"/>
  <c r="F33" i="69"/>
  <c r="D33" i="69"/>
  <c r="R32" i="69"/>
  <c r="P32" i="69"/>
  <c r="N32" i="69"/>
  <c r="L32" i="69"/>
  <c r="J32" i="69"/>
  <c r="H32" i="69"/>
  <c r="F32" i="69"/>
  <c r="D32" i="69"/>
  <c r="V106" i="68"/>
  <c r="V104" i="68"/>
  <c r="V91" i="68"/>
  <c r="V90" i="68"/>
  <c r="T89" i="68"/>
  <c r="T138" i="69" l="1"/>
  <c r="V36" i="69"/>
  <c r="V51" i="69"/>
  <c r="U254" i="69"/>
  <c r="U258" i="69"/>
  <c r="U256" i="69"/>
  <c r="U280" i="69"/>
  <c r="U260" i="69"/>
  <c r="T222" i="69"/>
  <c r="T298" i="69"/>
  <c r="U266" i="69"/>
  <c r="U270" i="69"/>
  <c r="R298" i="69"/>
  <c r="S269" i="69"/>
  <c r="S222" i="69"/>
  <c r="S265" i="69"/>
  <c r="S266" i="69"/>
  <c r="S270" i="69"/>
  <c r="T250" i="69"/>
  <c r="U246" i="69" s="1"/>
  <c r="S253" i="69"/>
  <c r="S260" i="69"/>
  <c r="S255" i="69"/>
  <c r="S256" i="69"/>
  <c r="S257" i="69"/>
  <c r="V186" i="69"/>
  <c r="S188" i="69"/>
  <c r="V188" i="69" s="1"/>
  <c r="V197" i="69"/>
  <c r="V195" i="69"/>
  <c r="T211" i="69"/>
  <c r="V193" i="69"/>
  <c r="V138" i="69"/>
  <c r="V84" i="69"/>
  <c r="V181" i="69" s="1"/>
  <c r="V180" i="69"/>
  <c r="S267" i="69"/>
  <c r="S271" i="69"/>
  <c r="S277" i="69"/>
  <c r="S281" i="69"/>
  <c r="U253" i="69"/>
  <c r="U257" i="69"/>
  <c r="U267" i="69"/>
  <c r="U271" i="69"/>
  <c r="U277" i="69"/>
  <c r="U281" i="69"/>
  <c r="S254" i="69"/>
  <c r="S268" i="69"/>
  <c r="S278" i="69"/>
  <c r="V145" i="69"/>
  <c r="S185" i="69"/>
  <c r="S189" i="69" s="1"/>
  <c r="U268" i="69"/>
  <c r="U272" i="69"/>
  <c r="U278" i="69"/>
  <c r="U282" i="69"/>
  <c r="R250" i="69"/>
  <c r="S241" i="69" s="1"/>
  <c r="U255" i="69"/>
  <c r="U265" i="69"/>
  <c r="P44" i="68"/>
  <c r="L44" i="68"/>
  <c r="F44" i="68"/>
  <c r="D44" i="68"/>
  <c r="T228" i="68"/>
  <c r="T186" i="68"/>
  <c r="T188" i="68" s="1"/>
  <c r="S186" i="68"/>
  <c r="S188" i="68" s="1"/>
  <c r="U296" i="68"/>
  <c r="T296" i="68"/>
  <c r="S296" i="68"/>
  <c r="R296" i="68"/>
  <c r="T284" i="68"/>
  <c r="U279" i="68" s="1"/>
  <c r="R284" i="68"/>
  <c r="S282" i="68" s="1"/>
  <c r="T274" i="68"/>
  <c r="U268" i="68" s="1"/>
  <c r="R274" i="68"/>
  <c r="S269" i="68" s="1"/>
  <c r="U272" i="68"/>
  <c r="S270" i="68"/>
  <c r="T262" i="68"/>
  <c r="U257" i="68" s="1"/>
  <c r="R262" i="68"/>
  <c r="S258" i="68" s="1"/>
  <c r="T248" i="68"/>
  <c r="R248" i="68"/>
  <c r="T247" i="68"/>
  <c r="R247" i="68"/>
  <c r="T246" i="68"/>
  <c r="R246" i="68"/>
  <c r="T245" i="68"/>
  <c r="R245" i="68"/>
  <c r="T244" i="68"/>
  <c r="R244" i="68"/>
  <c r="T243" i="68"/>
  <c r="R243" i="68"/>
  <c r="T242" i="68"/>
  <c r="R242" i="68"/>
  <c r="T241" i="68"/>
  <c r="R241" i="68"/>
  <c r="T223" i="68"/>
  <c r="S223" i="68"/>
  <c r="T217" i="68"/>
  <c r="T206" i="68"/>
  <c r="T207" i="68" s="1"/>
  <c r="V187" i="68"/>
  <c r="S185" i="68"/>
  <c r="V173" i="68"/>
  <c r="V171" i="68"/>
  <c r="T227" i="68" s="1"/>
  <c r="V155" i="68"/>
  <c r="V145" i="68"/>
  <c r="B141" i="68"/>
  <c r="B202" i="68" s="1"/>
  <c r="B307" i="68" s="1"/>
  <c r="T128" i="68"/>
  <c r="T126" i="68"/>
  <c r="T137" i="68" s="1"/>
  <c r="A115" i="68"/>
  <c r="A116" i="68" s="1"/>
  <c r="A117" i="68" s="1"/>
  <c r="A118" i="68" s="1"/>
  <c r="A119" i="68" s="1"/>
  <c r="A120" i="68" s="1"/>
  <c r="A121" i="68" s="1"/>
  <c r="A122" i="68" s="1"/>
  <c r="T114" i="68"/>
  <c r="A114" i="68"/>
  <c r="V137" i="68"/>
  <c r="A104" i="68"/>
  <c r="A103" i="68"/>
  <c r="T98" i="68"/>
  <c r="T97" i="68"/>
  <c r="V96" i="68"/>
  <c r="V100" i="68" s="1"/>
  <c r="V195" i="68" s="1"/>
  <c r="T96" i="68"/>
  <c r="T100" i="68" s="1"/>
  <c r="T138" i="68" s="1"/>
  <c r="N87" i="68"/>
  <c r="V82" i="68"/>
  <c r="V81" i="68"/>
  <c r="T71" i="68"/>
  <c r="R71" i="68"/>
  <c r="P71" i="68"/>
  <c r="N71" i="68"/>
  <c r="N84" i="68" s="1"/>
  <c r="L71" i="68"/>
  <c r="L84" i="68" s="1"/>
  <c r="V69" i="68"/>
  <c r="V68" i="68"/>
  <c r="V71" i="68" s="1"/>
  <c r="R58" i="68"/>
  <c r="R57" i="68"/>
  <c r="V52" i="68"/>
  <c r="V50" i="68"/>
  <c r="P43" i="68"/>
  <c r="L43" i="68"/>
  <c r="F43" i="68"/>
  <c r="D43" i="68"/>
  <c r="R36" i="68"/>
  <c r="P36" i="68"/>
  <c r="N36" i="68"/>
  <c r="L36" i="68"/>
  <c r="J36" i="68"/>
  <c r="H36" i="68"/>
  <c r="F36" i="68"/>
  <c r="D36" i="68"/>
  <c r="R35" i="68"/>
  <c r="P35" i="68"/>
  <c r="N35" i="68"/>
  <c r="L35" i="68"/>
  <c r="J35" i="68"/>
  <c r="H35" i="68"/>
  <c r="F35" i="68"/>
  <c r="D35" i="68"/>
  <c r="V35" i="68" s="1"/>
  <c r="V34" i="68"/>
  <c r="R33" i="68"/>
  <c r="P33" i="68"/>
  <c r="N33" i="68"/>
  <c r="L33" i="68"/>
  <c r="J33" i="68"/>
  <c r="H33" i="68"/>
  <c r="F33" i="68"/>
  <c r="D33" i="68"/>
  <c r="R32" i="68"/>
  <c r="P32" i="68"/>
  <c r="N32" i="68"/>
  <c r="L32" i="68"/>
  <c r="J32" i="68"/>
  <c r="H32" i="68"/>
  <c r="F32" i="68"/>
  <c r="D32" i="68"/>
  <c r="T89" i="67"/>
  <c r="U284" i="69" l="1"/>
  <c r="U244" i="69"/>
  <c r="U242" i="69"/>
  <c r="U243" i="69"/>
  <c r="U247" i="69"/>
  <c r="U245" i="69"/>
  <c r="U241" i="69"/>
  <c r="U248" i="69"/>
  <c r="S274" i="69"/>
  <c r="S248" i="69"/>
  <c r="S247" i="69"/>
  <c r="S262" i="69"/>
  <c r="U274" i="69"/>
  <c r="S243" i="69"/>
  <c r="U262" i="69"/>
  <c r="S284" i="69"/>
  <c r="S244" i="69"/>
  <c r="S246" i="69"/>
  <c r="S245" i="69"/>
  <c r="S242" i="69"/>
  <c r="V172" i="68"/>
  <c r="V174" i="68" s="1"/>
  <c r="V43" i="68"/>
  <c r="T209" i="68" s="1"/>
  <c r="T210" i="68" s="1"/>
  <c r="V36" i="68"/>
  <c r="V51" i="68"/>
  <c r="U278" i="68"/>
  <c r="U282" i="68"/>
  <c r="S280" i="68"/>
  <c r="S279" i="68"/>
  <c r="S265" i="68"/>
  <c r="S266" i="68"/>
  <c r="S222" i="68"/>
  <c r="T250" i="68"/>
  <c r="U242" i="68" s="1"/>
  <c r="U254" i="68"/>
  <c r="U255" i="68"/>
  <c r="T298" i="68"/>
  <c r="U258" i="68"/>
  <c r="U259" i="68"/>
  <c r="S253" i="68"/>
  <c r="S257" i="68"/>
  <c r="S254" i="68"/>
  <c r="R298" i="68"/>
  <c r="S255" i="68"/>
  <c r="S259" i="68"/>
  <c r="S256" i="68"/>
  <c r="S260" i="68"/>
  <c r="V188" i="68"/>
  <c r="V180" i="68"/>
  <c r="V84" i="68"/>
  <c r="V181" i="68" s="1"/>
  <c r="S189" i="68"/>
  <c r="T222" i="68"/>
  <c r="U256" i="68"/>
  <c r="U260" i="68"/>
  <c r="U266" i="68"/>
  <c r="U270" i="68"/>
  <c r="U280" i="68"/>
  <c r="V186" i="68"/>
  <c r="S267" i="68"/>
  <c r="S271" i="68"/>
  <c r="S277" i="68"/>
  <c r="S281" i="68"/>
  <c r="V197" i="68"/>
  <c r="V138" i="68"/>
  <c r="U253" i="68"/>
  <c r="U267" i="68"/>
  <c r="U271" i="68"/>
  <c r="U277" i="68"/>
  <c r="U281" i="68"/>
  <c r="S268" i="68"/>
  <c r="S272" i="68"/>
  <c r="S278" i="68"/>
  <c r="V193" i="68"/>
  <c r="T211" i="68"/>
  <c r="R250" i="68"/>
  <c r="S247" i="68" s="1"/>
  <c r="U265" i="68"/>
  <c r="U269" i="68"/>
  <c r="V104" i="67"/>
  <c r="V91" i="67"/>
  <c r="V90" i="67"/>
  <c r="U250" i="69" l="1"/>
  <c r="S250" i="69"/>
  <c r="U244" i="68"/>
  <c r="S274" i="68"/>
  <c r="U245" i="68"/>
  <c r="U241" i="68"/>
  <c r="U248" i="68"/>
  <c r="U247" i="68"/>
  <c r="U246" i="68"/>
  <c r="U243" i="68"/>
  <c r="S246" i="68"/>
  <c r="S243" i="68"/>
  <c r="S242" i="68"/>
  <c r="S244" i="68"/>
  <c r="S245" i="68"/>
  <c r="S262" i="68"/>
  <c r="S248" i="68"/>
  <c r="U274" i="68"/>
  <c r="U284" i="68"/>
  <c r="S241" i="68"/>
  <c r="S284" i="68"/>
  <c r="U262" i="68"/>
  <c r="P44" i="67"/>
  <c r="L44" i="67"/>
  <c r="F44" i="67"/>
  <c r="D44" i="67"/>
  <c r="T228" i="67"/>
  <c r="T186" i="67"/>
  <c r="S186" i="67"/>
  <c r="U296" i="67"/>
  <c r="T296" i="67"/>
  <c r="S296" i="67"/>
  <c r="R296" i="67"/>
  <c r="T284" i="67"/>
  <c r="U279" i="67" s="1"/>
  <c r="R284" i="67"/>
  <c r="S282" i="67" s="1"/>
  <c r="T274" i="67"/>
  <c r="U270" i="67" s="1"/>
  <c r="R274" i="67"/>
  <c r="S272" i="67" s="1"/>
  <c r="T262" i="67"/>
  <c r="U260" i="67" s="1"/>
  <c r="R262" i="67"/>
  <c r="T248" i="67"/>
  <c r="R248" i="67"/>
  <c r="T247" i="67"/>
  <c r="R247" i="67"/>
  <c r="T246" i="67"/>
  <c r="R246" i="67"/>
  <c r="T245" i="67"/>
  <c r="R245" i="67"/>
  <c r="T244" i="67"/>
  <c r="R244" i="67"/>
  <c r="T243" i="67"/>
  <c r="R243" i="67"/>
  <c r="T242" i="67"/>
  <c r="R242" i="67"/>
  <c r="T241" i="67"/>
  <c r="R241" i="67"/>
  <c r="T223" i="67"/>
  <c r="S223" i="67"/>
  <c r="T217" i="67"/>
  <c r="T206" i="67"/>
  <c r="T207" i="67" s="1"/>
  <c r="S188" i="67"/>
  <c r="V187" i="67"/>
  <c r="V173" i="67"/>
  <c r="V171" i="67"/>
  <c r="T227" i="67" s="1"/>
  <c r="V155" i="67"/>
  <c r="B141" i="67"/>
  <c r="B202" i="67" s="1"/>
  <c r="B307" i="67" s="1"/>
  <c r="T128" i="67"/>
  <c r="T126" i="67"/>
  <c r="T137" i="67" s="1"/>
  <c r="T114" i="67"/>
  <c r="A114" i="67"/>
  <c r="A115" i="67" s="1"/>
  <c r="A116" i="67" s="1"/>
  <c r="A117" i="67" s="1"/>
  <c r="A118" i="67" s="1"/>
  <c r="A119" i="67" s="1"/>
  <c r="A120" i="67" s="1"/>
  <c r="A121" i="67" s="1"/>
  <c r="A122" i="67" s="1"/>
  <c r="V137" i="67"/>
  <c r="A103" i="67"/>
  <c r="A104" i="67" s="1"/>
  <c r="T98" i="67"/>
  <c r="T97" i="67"/>
  <c r="V96" i="67"/>
  <c r="V100" i="67" s="1"/>
  <c r="T96" i="67"/>
  <c r="T100" i="67" s="1"/>
  <c r="N87" i="67"/>
  <c r="V82" i="67"/>
  <c r="V81" i="67"/>
  <c r="T71" i="67"/>
  <c r="R71" i="67"/>
  <c r="P71" i="67"/>
  <c r="N71" i="67"/>
  <c r="N84" i="67" s="1"/>
  <c r="L71" i="67"/>
  <c r="L84" i="67" s="1"/>
  <c r="V69" i="67"/>
  <c r="V68" i="67"/>
  <c r="R58" i="67"/>
  <c r="R57" i="67"/>
  <c r="V50" i="67"/>
  <c r="P43" i="67"/>
  <c r="L43" i="67"/>
  <c r="F43" i="67"/>
  <c r="D43" i="67"/>
  <c r="R36" i="67"/>
  <c r="P36" i="67"/>
  <c r="N36" i="67"/>
  <c r="L36" i="67"/>
  <c r="J36" i="67"/>
  <c r="H36" i="67"/>
  <c r="F36" i="67"/>
  <c r="D36" i="67"/>
  <c r="R35" i="67"/>
  <c r="P35" i="67"/>
  <c r="N35" i="67"/>
  <c r="L35" i="67"/>
  <c r="J35" i="67"/>
  <c r="H35" i="67"/>
  <c r="F35" i="67"/>
  <c r="D35" i="67"/>
  <c r="V34" i="67"/>
  <c r="V52" i="67" s="1"/>
  <c r="R33" i="67"/>
  <c r="P33" i="67"/>
  <c r="N33" i="67"/>
  <c r="L33" i="67"/>
  <c r="J33" i="67"/>
  <c r="H33" i="67"/>
  <c r="F33" i="67"/>
  <c r="D33" i="67"/>
  <c r="R32" i="67"/>
  <c r="P32" i="67"/>
  <c r="N32" i="67"/>
  <c r="L32" i="67"/>
  <c r="J32" i="67"/>
  <c r="H32" i="67"/>
  <c r="F32" i="67"/>
  <c r="D32" i="67"/>
  <c r="T138" i="66"/>
  <c r="U250" i="68" l="1"/>
  <c r="S250" i="68"/>
  <c r="V186" i="67"/>
  <c r="V35" i="67"/>
  <c r="V43" i="67" s="1"/>
  <c r="T209" i="67" s="1"/>
  <c r="T210" i="67" s="1"/>
  <c r="V51" i="67"/>
  <c r="V71" i="67"/>
  <c r="V84" i="67" s="1"/>
  <c r="V181" i="67" s="1"/>
  <c r="T138" i="67"/>
  <c r="V172" i="67"/>
  <c r="V174" i="67" s="1"/>
  <c r="V36" i="67"/>
  <c r="S277" i="67"/>
  <c r="S279" i="67"/>
  <c r="S280" i="67"/>
  <c r="S265" i="67"/>
  <c r="S266" i="67"/>
  <c r="R298" i="67"/>
  <c r="S267" i="67"/>
  <c r="S222" i="67"/>
  <c r="S269" i="67"/>
  <c r="S270" i="67"/>
  <c r="S271" i="67"/>
  <c r="U259" i="67"/>
  <c r="T298" i="67"/>
  <c r="U253" i="67"/>
  <c r="U255" i="67"/>
  <c r="U257" i="67"/>
  <c r="U254" i="67"/>
  <c r="U258" i="67"/>
  <c r="T188" i="67"/>
  <c r="V188" i="67" s="1"/>
  <c r="V197" i="67"/>
  <c r="V195" i="67"/>
  <c r="T211" i="67"/>
  <c r="V193" i="67"/>
  <c r="V138" i="67"/>
  <c r="V180" i="67"/>
  <c r="S257" i="67"/>
  <c r="U271" i="67"/>
  <c r="S254" i="67"/>
  <c r="S258" i="67"/>
  <c r="S268" i="67"/>
  <c r="S281" i="67"/>
  <c r="U280" i="67"/>
  <c r="V145" i="67"/>
  <c r="S185" i="67"/>
  <c r="S189" i="67" s="1"/>
  <c r="U268" i="67"/>
  <c r="U272" i="67"/>
  <c r="U281" i="67"/>
  <c r="S253" i="67"/>
  <c r="R250" i="67"/>
  <c r="S246" i="67" s="1"/>
  <c r="S255" i="67"/>
  <c r="S259" i="67"/>
  <c r="S278" i="67"/>
  <c r="U267" i="67"/>
  <c r="U277" i="67"/>
  <c r="U265" i="67"/>
  <c r="U269" i="67"/>
  <c r="U278" i="67"/>
  <c r="U282" i="67"/>
  <c r="T250" i="67"/>
  <c r="U242" i="67" s="1"/>
  <c r="S256" i="67"/>
  <c r="S260" i="67"/>
  <c r="T222" i="67"/>
  <c r="U256" i="67"/>
  <c r="U266" i="67"/>
  <c r="V104" i="66"/>
  <c r="V137" i="66" s="1"/>
  <c r="V91" i="66"/>
  <c r="V90" i="66"/>
  <c r="T89" i="66"/>
  <c r="P44" i="66"/>
  <c r="L44" i="66"/>
  <c r="F44" i="66"/>
  <c r="D44" i="66"/>
  <c r="T186" i="66"/>
  <c r="T188" i="66" s="1"/>
  <c r="S186" i="66"/>
  <c r="U297" i="66"/>
  <c r="T297" i="66"/>
  <c r="S297" i="66"/>
  <c r="R297" i="66"/>
  <c r="T285" i="66"/>
  <c r="U283" i="66" s="1"/>
  <c r="R285" i="66"/>
  <c r="S281" i="66" s="1"/>
  <c r="T274" i="66"/>
  <c r="R274" i="66"/>
  <c r="S271" i="66" s="1"/>
  <c r="T262" i="66"/>
  <c r="U260" i="66" s="1"/>
  <c r="R262" i="66"/>
  <c r="S259" i="66" s="1"/>
  <c r="S257" i="66"/>
  <c r="T248" i="66"/>
  <c r="R248" i="66"/>
  <c r="T247" i="66"/>
  <c r="R247" i="66"/>
  <c r="T246" i="66"/>
  <c r="R246" i="66"/>
  <c r="T245" i="66"/>
  <c r="R245" i="66"/>
  <c r="T244" i="66"/>
  <c r="R244" i="66"/>
  <c r="T243" i="66"/>
  <c r="R243" i="66"/>
  <c r="T242" i="66"/>
  <c r="R242" i="66"/>
  <c r="T241" i="66"/>
  <c r="R241" i="66"/>
  <c r="T223" i="66"/>
  <c r="S223" i="66"/>
  <c r="T207" i="66"/>
  <c r="T206" i="66"/>
  <c r="S188" i="66"/>
  <c r="V187" i="66"/>
  <c r="V173" i="66"/>
  <c r="V171" i="66"/>
  <c r="T227" i="66" s="1"/>
  <c r="T228" i="66" s="1"/>
  <c r="V155" i="66"/>
  <c r="B141" i="66"/>
  <c r="B202" i="66" s="1"/>
  <c r="B308" i="66" s="1"/>
  <c r="T137" i="66"/>
  <c r="T128" i="66"/>
  <c r="T126" i="66"/>
  <c r="T114" i="66"/>
  <c r="A114" i="66"/>
  <c r="A115" i="66" s="1"/>
  <c r="A116" i="66" s="1"/>
  <c r="A117" i="66" s="1"/>
  <c r="A118" i="66" s="1"/>
  <c r="A119" i="66" s="1"/>
  <c r="A120" i="66" s="1"/>
  <c r="A121" i="66" s="1"/>
  <c r="A122" i="66" s="1"/>
  <c r="A103" i="66"/>
  <c r="A104" i="66" s="1"/>
  <c r="T98" i="66"/>
  <c r="T97" i="66"/>
  <c r="T96" i="66"/>
  <c r="T100" i="66" s="1"/>
  <c r="N87" i="66"/>
  <c r="V82" i="66"/>
  <c r="V81" i="66"/>
  <c r="T71" i="66"/>
  <c r="R71" i="66"/>
  <c r="N71" i="66"/>
  <c r="N84" i="66" s="1"/>
  <c r="L71" i="66"/>
  <c r="L84" i="66" s="1"/>
  <c r="V69" i="66"/>
  <c r="V68" i="66"/>
  <c r="V71" i="66" s="1"/>
  <c r="R58" i="66"/>
  <c r="R57" i="66"/>
  <c r="V50" i="66"/>
  <c r="P43" i="66"/>
  <c r="L43" i="66"/>
  <c r="F43" i="66"/>
  <c r="D43" i="66"/>
  <c r="R36" i="66"/>
  <c r="P36" i="66"/>
  <c r="N36" i="66"/>
  <c r="L36" i="66"/>
  <c r="J36" i="66"/>
  <c r="H36" i="66"/>
  <c r="F36" i="66"/>
  <c r="D36" i="66"/>
  <c r="R35" i="66"/>
  <c r="P35" i="66"/>
  <c r="N35" i="66"/>
  <c r="L35" i="66"/>
  <c r="J35" i="66"/>
  <c r="H35" i="66"/>
  <c r="F35" i="66"/>
  <c r="D35" i="66"/>
  <c r="V35" i="66" s="1"/>
  <c r="V34" i="66"/>
  <c r="V52" i="66" s="1"/>
  <c r="R33" i="66"/>
  <c r="P33" i="66"/>
  <c r="N33" i="66"/>
  <c r="L33" i="66"/>
  <c r="J33" i="66"/>
  <c r="H33" i="66"/>
  <c r="F33" i="66"/>
  <c r="D33" i="66"/>
  <c r="R32" i="66"/>
  <c r="P32" i="66"/>
  <c r="N32" i="66"/>
  <c r="L32" i="66"/>
  <c r="J32" i="66"/>
  <c r="H32" i="66"/>
  <c r="F32" i="66"/>
  <c r="D32" i="66"/>
  <c r="U278" i="65"/>
  <c r="S278" i="65"/>
  <c r="T285" i="65"/>
  <c r="S284" i="67" l="1"/>
  <c r="U274" i="67"/>
  <c r="S274" i="67"/>
  <c r="U241" i="67"/>
  <c r="U262" i="67"/>
  <c r="S245" i="67"/>
  <c r="S241" i="67"/>
  <c r="S248" i="67"/>
  <c r="S244" i="67"/>
  <c r="U284" i="67"/>
  <c r="U247" i="67"/>
  <c r="U243" i="67"/>
  <c r="U245" i="67"/>
  <c r="U248" i="67"/>
  <c r="S247" i="67"/>
  <c r="U246" i="67"/>
  <c r="U244" i="67"/>
  <c r="S243" i="67"/>
  <c r="S262" i="67"/>
  <c r="S242" i="67"/>
  <c r="V96" i="66"/>
  <c r="V100" i="66" s="1"/>
  <c r="T211" i="66" s="1"/>
  <c r="V172" i="66"/>
  <c r="V174" i="66" s="1"/>
  <c r="V43" i="66"/>
  <c r="T209" i="66" s="1"/>
  <c r="T210" i="66" s="1"/>
  <c r="V36" i="66"/>
  <c r="V51" i="66"/>
  <c r="U280" i="66"/>
  <c r="U281" i="66"/>
  <c r="U282" i="66"/>
  <c r="U277" i="66"/>
  <c r="U278" i="66"/>
  <c r="U279" i="66"/>
  <c r="U257" i="66"/>
  <c r="U253" i="66"/>
  <c r="U258" i="66"/>
  <c r="T299" i="66"/>
  <c r="U256" i="66"/>
  <c r="U254" i="66"/>
  <c r="U259" i="66"/>
  <c r="U255" i="66"/>
  <c r="S254" i="66"/>
  <c r="S260" i="66"/>
  <c r="S255" i="66"/>
  <c r="S258" i="66"/>
  <c r="S253" i="66"/>
  <c r="S256" i="66"/>
  <c r="U270" i="66"/>
  <c r="R250" i="66"/>
  <c r="S247" i="66" s="1"/>
  <c r="S222" i="66"/>
  <c r="S265" i="66"/>
  <c r="S269" i="66"/>
  <c r="S270" i="66"/>
  <c r="S266" i="66"/>
  <c r="S268" i="66"/>
  <c r="R299" i="66"/>
  <c r="V188" i="66"/>
  <c r="V186" i="66"/>
  <c r="S262" i="66"/>
  <c r="V84" i="66"/>
  <c r="V181" i="66" s="1"/>
  <c r="V180" i="66"/>
  <c r="S272" i="66"/>
  <c r="S278" i="66"/>
  <c r="S282" i="66"/>
  <c r="U267" i="66"/>
  <c r="V145" i="66"/>
  <c r="S185" i="66"/>
  <c r="S189" i="66" s="1"/>
  <c r="U268" i="66"/>
  <c r="U272" i="66"/>
  <c r="U271" i="66"/>
  <c r="P71" i="66"/>
  <c r="S279" i="66"/>
  <c r="S283" i="66"/>
  <c r="T250" i="66"/>
  <c r="U242" i="66" s="1"/>
  <c r="T217" i="66"/>
  <c r="U265" i="66"/>
  <c r="U269" i="66"/>
  <c r="S280" i="66"/>
  <c r="T222" i="66"/>
  <c r="U266" i="66"/>
  <c r="S267" i="66"/>
  <c r="S277" i="66"/>
  <c r="V104" i="65"/>
  <c r="V91" i="65"/>
  <c r="V90" i="65"/>
  <c r="U250" i="67" l="1"/>
  <c r="S250" i="67"/>
  <c r="V138" i="66"/>
  <c r="V193" i="66"/>
  <c r="V195" i="66"/>
  <c r="V197" i="66"/>
  <c r="U285" i="66"/>
  <c r="U262" i="66"/>
  <c r="S243" i="66"/>
  <c r="S242" i="66"/>
  <c r="S245" i="66"/>
  <c r="S244" i="66"/>
  <c r="S246" i="66"/>
  <c r="S241" i="66"/>
  <c r="S248" i="66"/>
  <c r="U247" i="66"/>
  <c r="U243" i="66"/>
  <c r="U245" i="66"/>
  <c r="S274" i="66"/>
  <c r="U274" i="66"/>
  <c r="S285" i="66"/>
  <c r="U248" i="66"/>
  <c r="U246" i="66"/>
  <c r="U244" i="66"/>
  <c r="U241" i="66"/>
  <c r="T89" i="65"/>
  <c r="T96" i="65" s="1"/>
  <c r="P68" i="65"/>
  <c r="V68" i="65" s="1"/>
  <c r="P44" i="65"/>
  <c r="L44" i="65"/>
  <c r="F44" i="65"/>
  <c r="D44" i="65"/>
  <c r="T186" i="65"/>
  <c r="T188" i="65" s="1"/>
  <c r="S186" i="65"/>
  <c r="U297" i="65"/>
  <c r="T297" i="65"/>
  <c r="T223" i="65" s="1"/>
  <c r="S297" i="65"/>
  <c r="R297" i="65"/>
  <c r="U282" i="65"/>
  <c r="R285" i="65"/>
  <c r="T274" i="65"/>
  <c r="U271" i="65" s="1"/>
  <c r="R274" i="65"/>
  <c r="S270" i="65" s="1"/>
  <c r="S271" i="65"/>
  <c r="T262" i="65"/>
  <c r="U259" i="65" s="1"/>
  <c r="R262" i="65"/>
  <c r="S259" i="65" s="1"/>
  <c r="T248" i="65"/>
  <c r="R248" i="65"/>
  <c r="T247" i="65"/>
  <c r="R247" i="65"/>
  <c r="T246" i="65"/>
  <c r="R246" i="65"/>
  <c r="T245" i="65"/>
  <c r="R245" i="65"/>
  <c r="T244" i="65"/>
  <c r="R244" i="65"/>
  <c r="T243" i="65"/>
  <c r="R243" i="65"/>
  <c r="T242" i="65"/>
  <c r="R242" i="65"/>
  <c r="T241" i="65"/>
  <c r="R241" i="65"/>
  <c r="S223" i="65"/>
  <c r="T206" i="65"/>
  <c r="T207" i="65" s="1"/>
  <c r="V187" i="65"/>
  <c r="V173" i="65"/>
  <c r="V171" i="65"/>
  <c r="T227" i="65" s="1"/>
  <c r="T228" i="65" s="1"/>
  <c r="V155" i="65"/>
  <c r="B141" i="65"/>
  <c r="B202" i="65" s="1"/>
  <c r="B308" i="65" s="1"/>
  <c r="V137" i="65"/>
  <c r="T128" i="65"/>
  <c r="T126" i="65"/>
  <c r="T137" i="65" s="1"/>
  <c r="T114" i="65"/>
  <c r="A114" i="65"/>
  <c r="A115" i="65" s="1"/>
  <c r="A116" i="65" s="1"/>
  <c r="A117" i="65" s="1"/>
  <c r="A118" i="65" s="1"/>
  <c r="A119" i="65" s="1"/>
  <c r="A120" i="65" s="1"/>
  <c r="A121" i="65" s="1"/>
  <c r="A122" i="65" s="1"/>
  <c r="A103" i="65"/>
  <c r="A104" i="65" s="1"/>
  <c r="T98" i="65"/>
  <c r="T97" i="65"/>
  <c r="V96" i="65"/>
  <c r="V100" i="65" s="1"/>
  <c r="N87" i="65"/>
  <c r="V82" i="65"/>
  <c r="V81" i="65"/>
  <c r="T71" i="65"/>
  <c r="R71" i="65"/>
  <c r="N71" i="65"/>
  <c r="N84" i="65" s="1"/>
  <c r="L71" i="65"/>
  <c r="L84" i="65" s="1"/>
  <c r="V69" i="65"/>
  <c r="R58" i="65"/>
  <c r="R57" i="65"/>
  <c r="V50" i="65"/>
  <c r="P43" i="65"/>
  <c r="L43" i="65"/>
  <c r="F43" i="65"/>
  <c r="D43" i="65"/>
  <c r="R36" i="65"/>
  <c r="P36" i="65"/>
  <c r="N36" i="65"/>
  <c r="L36" i="65"/>
  <c r="J36" i="65"/>
  <c r="H36" i="65"/>
  <c r="F36" i="65"/>
  <c r="D36" i="65"/>
  <c r="R35" i="65"/>
  <c r="P35" i="65"/>
  <c r="N35" i="65"/>
  <c r="L35" i="65"/>
  <c r="J35" i="65"/>
  <c r="H35" i="65"/>
  <c r="F35" i="65"/>
  <c r="D35" i="65"/>
  <c r="V34" i="65"/>
  <c r="V52" i="65" s="1"/>
  <c r="R33" i="65"/>
  <c r="P33" i="65"/>
  <c r="N33" i="65"/>
  <c r="L33" i="65"/>
  <c r="J33" i="65"/>
  <c r="H33" i="65"/>
  <c r="F33" i="65"/>
  <c r="D33" i="65"/>
  <c r="R32" i="65"/>
  <c r="P32" i="65"/>
  <c r="N32" i="65"/>
  <c r="L32" i="65"/>
  <c r="J32" i="65"/>
  <c r="H32" i="65"/>
  <c r="F32" i="65"/>
  <c r="D32" i="65"/>
  <c r="T284" i="64"/>
  <c r="S250" i="66" l="1"/>
  <c r="U250" i="66"/>
  <c r="S222" i="65"/>
  <c r="S283" i="65"/>
  <c r="S253" i="65"/>
  <c r="S260" i="65"/>
  <c r="U258" i="65"/>
  <c r="S265" i="65"/>
  <c r="S266" i="65"/>
  <c r="S267" i="65"/>
  <c r="U256" i="65"/>
  <c r="S268" i="65"/>
  <c r="V71" i="65"/>
  <c r="V180" i="65" s="1"/>
  <c r="T100" i="65"/>
  <c r="T138" i="65"/>
  <c r="P71" i="65"/>
  <c r="T217" i="65"/>
  <c r="V51" i="65"/>
  <c r="V36" i="65"/>
  <c r="V35" i="65"/>
  <c r="V43" i="65" s="1"/>
  <c r="T209" i="65" s="1"/>
  <c r="T210" i="65" s="1"/>
  <c r="U283" i="65"/>
  <c r="U279" i="65"/>
  <c r="U277" i="65"/>
  <c r="U280" i="65"/>
  <c r="S280" i="65"/>
  <c r="S277" i="65"/>
  <c r="S282" i="65"/>
  <c r="U281" i="65"/>
  <c r="S279" i="65"/>
  <c r="S281" i="65"/>
  <c r="U265" i="65"/>
  <c r="U267" i="65"/>
  <c r="U270" i="65"/>
  <c r="U266" i="65"/>
  <c r="U268" i="65"/>
  <c r="U272" i="65"/>
  <c r="T222" i="65"/>
  <c r="U269" i="65"/>
  <c r="S272" i="65"/>
  <c r="S269" i="65"/>
  <c r="U253" i="65"/>
  <c r="T250" i="65"/>
  <c r="U246" i="65" s="1"/>
  <c r="U254" i="65"/>
  <c r="U255" i="65"/>
  <c r="U260" i="65"/>
  <c r="T299" i="65"/>
  <c r="S256" i="65"/>
  <c r="S254" i="65"/>
  <c r="S255" i="65"/>
  <c r="S257" i="65"/>
  <c r="S258" i="65"/>
  <c r="R299" i="65"/>
  <c r="V186" i="65"/>
  <c r="V197" i="65"/>
  <c r="V195" i="65"/>
  <c r="V138" i="65"/>
  <c r="T211" i="65"/>
  <c r="V193" i="65"/>
  <c r="S188" i="65"/>
  <c r="V188" i="65" s="1"/>
  <c r="R250" i="65"/>
  <c r="S247" i="65" s="1"/>
  <c r="V145" i="65"/>
  <c r="S185" i="65"/>
  <c r="U257" i="65"/>
  <c r="V172" i="65"/>
  <c r="V174" i="65" s="1"/>
  <c r="V104" i="64"/>
  <c r="V91" i="64"/>
  <c r="V90" i="64"/>
  <c r="T89" i="64"/>
  <c r="P44" i="64"/>
  <c r="L44" i="64"/>
  <c r="F44" i="64"/>
  <c r="D44" i="64"/>
  <c r="S285" i="65" l="1"/>
  <c r="V84" i="65"/>
  <c r="V181" i="65" s="1"/>
  <c r="S274" i="65"/>
  <c r="U285" i="65"/>
  <c r="U274" i="65"/>
  <c r="U248" i="65"/>
  <c r="U247" i="65"/>
  <c r="U242" i="65"/>
  <c r="U241" i="65"/>
  <c r="U243" i="65"/>
  <c r="U244" i="65"/>
  <c r="U245" i="65"/>
  <c r="U262" i="65"/>
  <c r="S262" i="65"/>
  <c r="S242" i="65"/>
  <c r="S244" i="65"/>
  <c r="S241" i="65"/>
  <c r="S243" i="65"/>
  <c r="S248" i="65"/>
  <c r="S245" i="65"/>
  <c r="S189" i="65"/>
  <c r="S246" i="65"/>
  <c r="T186" i="64"/>
  <c r="T188" i="64" s="1"/>
  <c r="S186" i="64"/>
  <c r="U296" i="64"/>
  <c r="T296" i="64"/>
  <c r="T223" i="64" s="1"/>
  <c r="S296" i="64"/>
  <c r="R296" i="64"/>
  <c r="S223" i="64" s="1"/>
  <c r="U279" i="64"/>
  <c r="R284" i="64"/>
  <c r="S281" i="64" s="1"/>
  <c r="T274" i="64"/>
  <c r="U271" i="64" s="1"/>
  <c r="R274" i="64"/>
  <c r="S271" i="64" s="1"/>
  <c r="T262" i="64"/>
  <c r="U259" i="64" s="1"/>
  <c r="R262" i="64"/>
  <c r="S255" i="64" s="1"/>
  <c r="T248" i="64"/>
  <c r="R248" i="64"/>
  <c r="T247" i="64"/>
  <c r="R247" i="64"/>
  <c r="T246" i="64"/>
  <c r="R246" i="64"/>
  <c r="T245" i="64"/>
  <c r="R245" i="64"/>
  <c r="T244" i="64"/>
  <c r="R244" i="64"/>
  <c r="T243" i="64"/>
  <c r="R243" i="64"/>
  <c r="T242" i="64"/>
  <c r="R242" i="64"/>
  <c r="T241" i="64"/>
  <c r="R241" i="64"/>
  <c r="T217" i="64"/>
  <c r="T206" i="64"/>
  <c r="T207" i="64" s="1"/>
  <c r="V187" i="64"/>
  <c r="V173" i="64"/>
  <c r="V171" i="64"/>
  <c r="T227" i="64" s="1"/>
  <c r="T228" i="64" s="1"/>
  <c r="V155" i="64"/>
  <c r="B141" i="64"/>
  <c r="B202" i="64" s="1"/>
  <c r="B307" i="64" s="1"/>
  <c r="V137" i="64"/>
  <c r="T128" i="64"/>
  <c r="T126" i="64"/>
  <c r="T114" i="64"/>
  <c r="A114" i="64"/>
  <c r="A115" i="64" s="1"/>
  <c r="A116" i="64" s="1"/>
  <c r="A117" i="64" s="1"/>
  <c r="A118" i="64" s="1"/>
  <c r="A119" i="64" s="1"/>
  <c r="A120" i="64" s="1"/>
  <c r="A121" i="64" s="1"/>
  <c r="A122" i="64" s="1"/>
  <c r="A103" i="64"/>
  <c r="A104" i="64" s="1"/>
  <c r="T98" i="64"/>
  <c r="T97" i="64"/>
  <c r="V96" i="64"/>
  <c r="V100" i="64" s="1"/>
  <c r="T96" i="64"/>
  <c r="T100" i="64" s="1"/>
  <c r="N87" i="64"/>
  <c r="V82" i="64"/>
  <c r="V81" i="64"/>
  <c r="T71" i="64"/>
  <c r="R71" i="64"/>
  <c r="P71" i="64"/>
  <c r="N71" i="64"/>
  <c r="N84" i="64" s="1"/>
  <c r="L71" i="64"/>
  <c r="L84" i="64" s="1"/>
  <c r="V69" i="64"/>
  <c r="V68" i="64"/>
  <c r="R58" i="64"/>
  <c r="R57" i="64"/>
  <c r="V50" i="64"/>
  <c r="P43" i="64"/>
  <c r="L43" i="64"/>
  <c r="F43" i="64"/>
  <c r="D43" i="64"/>
  <c r="R36" i="64"/>
  <c r="P36" i="64"/>
  <c r="N36" i="64"/>
  <c r="L36" i="64"/>
  <c r="J36" i="64"/>
  <c r="H36" i="64"/>
  <c r="F36" i="64"/>
  <c r="D36" i="64"/>
  <c r="R35" i="64"/>
  <c r="P35" i="64"/>
  <c r="N35" i="64"/>
  <c r="L35" i="64"/>
  <c r="J35" i="64"/>
  <c r="H35" i="64"/>
  <c r="F35" i="64"/>
  <c r="D35" i="64"/>
  <c r="V34" i="64"/>
  <c r="V52" i="64" s="1"/>
  <c r="R33" i="64"/>
  <c r="P33" i="64"/>
  <c r="N33" i="64"/>
  <c r="L33" i="64"/>
  <c r="J33" i="64"/>
  <c r="H33" i="64"/>
  <c r="F33" i="64"/>
  <c r="D33" i="64"/>
  <c r="R32" i="64"/>
  <c r="P32" i="64"/>
  <c r="N32" i="64"/>
  <c r="L32" i="64"/>
  <c r="J32" i="64"/>
  <c r="H32" i="64"/>
  <c r="F32" i="64"/>
  <c r="D32" i="64"/>
  <c r="V104" i="63"/>
  <c r="V91" i="63"/>
  <c r="V90" i="63"/>
  <c r="T89" i="63"/>
  <c r="U250" i="65" l="1"/>
  <c r="S250" i="65"/>
  <c r="V35" i="64"/>
  <c r="V43" i="64" s="1"/>
  <c r="T209" i="64" s="1"/>
  <c r="T210" i="64" s="1"/>
  <c r="T137" i="64"/>
  <c r="V71" i="64"/>
  <c r="V180" i="64" s="1"/>
  <c r="U280" i="64"/>
  <c r="U281" i="64"/>
  <c r="U282" i="64"/>
  <c r="U277" i="64"/>
  <c r="U278" i="64"/>
  <c r="U284" i="64"/>
  <c r="S279" i="64"/>
  <c r="S280" i="64"/>
  <c r="S282" i="64"/>
  <c r="S277" i="64"/>
  <c r="S278" i="64"/>
  <c r="U254" i="64"/>
  <c r="U260" i="64"/>
  <c r="U258" i="64"/>
  <c r="U253" i="64"/>
  <c r="U255" i="64"/>
  <c r="U256" i="64"/>
  <c r="S259" i="64"/>
  <c r="S254" i="64"/>
  <c r="S253" i="64"/>
  <c r="S257" i="64"/>
  <c r="S260" i="64"/>
  <c r="S256" i="64"/>
  <c r="S258" i="64"/>
  <c r="U267" i="64"/>
  <c r="T298" i="64"/>
  <c r="U266" i="64"/>
  <c r="U268" i="64"/>
  <c r="U269" i="64"/>
  <c r="T222" i="64"/>
  <c r="U272" i="64"/>
  <c r="T250" i="64"/>
  <c r="U248" i="64" s="1"/>
  <c r="U270" i="64"/>
  <c r="U265" i="64"/>
  <c r="S270" i="64"/>
  <c r="S269" i="64"/>
  <c r="S272" i="64"/>
  <c r="S268" i="64"/>
  <c r="S266" i="64"/>
  <c r="R298" i="64"/>
  <c r="S267" i="64"/>
  <c r="S222" i="64"/>
  <c r="S265" i="64"/>
  <c r="T138" i="64"/>
  <c r="V51" i="64"/>
  <c r="V36" i="64"/>
  <c r="V186" i="64"/>
  <c r="V197" i="64"/>
  <c r="V195" i="64"/>
  <c r="V138" i="64"/>
  <c r="T211" i="64"/>
  <c r="V193" i="64"/>
  <c r="V84" i="64"/>
  <c r="V181" i="64" s="1"/>
  <c r="S188" i="64"/>
  <c r="V188" i="64" s="1"/>
  <c r="R250" i="64"/>
  <c r="S241" i="64" s="1"/>
  <c r="V145" i="64"/>
  <c r="S185" i="64"/>
  <c r="U257" i="64"/>
  <c r="V172" i="64"/>
  <c r="V174" i="64" s="1"/>
  <c r="P44" i="63"/>
  <c r="L44" i="63"/>
  <c r="F44" i="63"/>
  <c r="D44" i="63"/>
  <c r="T186" i="63"/>
  <c r="S186" i="63"/>
  <c r="S188" i="63" s="1"/>
  <c r="U296" i="63"/>
  <c r="T296" i="63"/>
  <c r="T223" i="63" s="1"/>
  <c r="S296" i="63"/>
  <c r="R296" i="63"/>
  <c r="S223" i="63" s="1"/>
  <c r="T284" i="63"/>
  <c r="U282" i="63" s="1"/>
  <c r="R284" i="63"/>
  <c r="S282" i="63" s="1"/>
  <c r="T274" i="63"/>
  <c r="U272" i="63" s="1"/>
  <c r="R274" i="63"/>
  <c r="S272" i="63" s="1"/>
  <c r="T262" i="63"/>
  <c r="U260" i="63" s="1"/>
  <c r="R262" i="63"/>
  <c r="S257" i="63" s="1"/>
  <c r="T248" i="63"/>
  <c r="R248" i="63"/>
  <c r="T247" i="63"/>
  <c r="R247" i="63"/>
  <c r="T246" i="63"/>
  <c r="R246" i="63"/>
  <c r="T245" i="63"/>
  <c r="R245" i="63"/>
  <c r="T244" i="63"/>
  <c r="R244" i="63"/>
  <c r="T243" i="63"/>
  <c r="R243" i="63"/>
  <c r="T242" i="63"/>
  <c r="R242" i="63"/>
  <c r="T241" i="63"/>
  <c r="R241" i="63"/>
  <c r="T217" i="63"/>
  <c r="T206" i="63"/>
  <c r="T207" i="63" s="1"/>
  <c r="V187" i="63"/>
  <c r="V173" i="63"/>
  <c r="V171" i="63"/>
  <c r="T227" i="63" s="1"/>
  <c r="T228" i="63" s="1"/>
  <c r="V155" i="63"/>
  <c r="B141" i="63"/>
  <c r="B202" i="63" s="1"/>
  <c r="B307" i="63" s="1"/>
  <c r="T128" i="63"/>
  <c r="T126" i="63"/>
  <c r="T114" i="63"/>
  <c r="A114" i="63"/>
  <c r="A115" i="63" s="1"/>
  <c r="A116" i="63" s="1"/>
  <c r="A117" i="63" s="1"/>
  <c r="A118" i="63" s="1"/>
  <c r="A119" i="63" s="1"/>
  <c r="A120" i="63" s="1"/>
  <c r="A121" i="63" s="1"/>
  <c r="A122" i="63" s="1"/>
  <c r="V137" i="63"/>
  <c r="A103" i="63"/>
  <c r="A104" i="63" s="1"/>
  <c r="T98" i="63"/>
  <c r="T97" i="63"/>
  <c r="V96" i="63"/>
  <c r="V100" i="63" s="1"/>
  <c r="T96" i="63"/>
  <c r="N87" i="63"/>
  <c r="V82" i="63"/>
  <c r="V81" i="63"/>
  <c r="T71" i="63"/>
  <c r="R71" i="63"/>
  <c r="P71" i="63"/>
  <c r="N71" i="63"/>
  <c r="N84" i="63" s="1"/>
  <c r="L71" i="63"/>
  <c r="L84" i="63" s="1"/>
  <c r="V69" i="63"/>
  <c r="V68" i="63"/>
  <c r="R58" i="63"/>
  <c r="R57" i="63"/>
  <c r="V50" i="63"/>
  <c r="P43" i="63"/>
  <c r="L43" i="63"/>
  <c r="F43" i="63"/>
  <c r="D43" i="63"/>
  <c r="R36" i="63"/>
  <c r="P36" i="63"/>
  <c r="N36" i="63"/>
  <c r="L36" i="63"/>
  <c r="J36" i="63"/>
  <c r="H36" i="63"/>
  <c r="F36" i="63"/>
  <c r="D36" i="63"/>
  <c r="R35" i="63"/>
  <c r="P35" i="63"/>
  <c r="N35" i="63"/>
  <c r="L35" i="63"/>
  <c r="J35" i="63"/>
  <c r="H35" i="63"/>
  <c r="F35" i="63"/>
  <c r="D35" i="63"/>
  <c r="V34" i="63"/>
  <c r="S185" i="63" s="1"/>
  <c r="R33" i="63"/>
  <c r="P33" i="63"/>
  <c r="N33" i="63"/>
  <c r="L33" i="63"/>
  <c r="J33" i="63"/>
  <c r="H33" i="63"/>
  <c r="F33" i="63"/>
  <c r="D33" i="63"/>
  <c r="R32" i="63"/>
  <c r="P32" i="63"/>
  <c r="N32" i="63"/>
  <c r="L32" i="63"/>
  <c r="J32" i="63"/>
  <c r="H32" i="63"/>
  <c r="F32" i="63"/>
  <c r="D32" i="63"/>
  <c r="V104" i="62"/>
  <c r="V91" i="62"/>
  <c r="V90" i="62"/>
  <c r="T89" i="62"/>
  <c r="S284" i="64" l="1"/>
  <c r="U262" i="64"/>
  <c r="S262" i="64"/>
  <c r="U242" i="64"/>
  <c r="U247" i="64"/>
  <c r="U244" i="64"/>
  <c r="U246" i="64"/>
  <c r="U241" i="64"/>
  <c r="U245" i="64"/>
  <c r="U274" i="64"/>
  <c r="U243" i="64"/>
  <c r="S242" i="64"/>
  <c r="S274" i="64"/>
  <c r="S248" i="64"/>
  <c r="S247" i="64"/>
  <c r="S246" i="64"/>
  <c r="S245" i="64"/>
  <c r="S244" i="64"/>
  <c r="S243" i="64"/>
  <c r="S189" i="64"/>
  <c r="U281" i="63"/>
  <c r="T137" i="63"/>
  <c r="V52" i="63"/>
  <c r="T100" i="63"/>
  <c r="V35" i="63"/>
  <c r="V43" i="63" s="1"/>
  <c r="T209" i="63" s="1"/>
  <c r="T210" i="63" s="1"/>
  <c r="U271" i="63"/>
  <c r="V71" i="63"/>
  <c r="V180" i="63" s="1"/>
  <c r="V36" i="63"/>
  <c r="V51" i="63"/>
  <c r="U277" i="63"/>
  <c r="U279" i="63"/>
  <c r="S278" i="63"/>
  <c r="S281" i="63"/>
  <c r="S280" i="63"/>
  <c r="S279" i="63"/>
  <c r="S277" i="63"/>
  <c r="U265" i="63"/>
  <c r="U267" i="63"/>
  <c r="U269" i="63"/>
  <c r="S268" i="63"/>
  <c r="S271" i="63"/>
  <c r="S265" i="63"/>
  <c r="S270" i="63"/>
  <c r="S266" i="63"/>
  <c r="S269" i="63"/>
  <c r="S222" i="63"/>
  <c r="S267" i="63"/>
  <c r="U259" i="63"/>
  <c r="U253" i="63"/>
  <c r="T298" i="63"/>
  <c r="U255" i="63"/>
  <c r="U257" i="63"/>
  <c r="R250" i="63"/>
  <c r="S245" i="63" s="1"/>
  <c r="S260" i="63"/>
  <c r="S253" i="63"/>
  <c r="S258" i="63"/>
  <c r="S255" i="63"/>
  <c r="S256" i="63"/>
  <c r="S259" i="63"/>
  <c r="S254" i="63"/>
  <c r="R298" i="63"/>
  <c r="V186" i="63"/>
  <c r="T211" i="63"/>
  <c r="V193" i="63"/>
  <c r="V197" i="63"/>
  <c r="V195" i="63"/>
  <c r="V138" i="63"/>
  <c r="T188" i="63"/>
  <c r="V188" i="63" s="1"/>
  <c r="V172" i="63"/>
  <c r="V174" i="63" s="1"/>
  <c r="T250" i="63"/>
  <c r="U246" i="63" s="1"/>
  <c r="V145" i="63"/>
  <c r="T222" i="63"/>
  <c r="U254" i="63"/>
  <c r="U256" i="63"/>
  <c r="U258" i="63"/>
  <c r="U266" i="63"/>
  <c r="U268" i="63"/>
  <c r="U270" i="63"/>
  <c r="U278" i="63"/>
  <c r="U280" i="63"/>
  <c r="S284" i="62"/>
  <c r="U250" i="64" l="1"/>
  <c r="S250" i="64"/>
  <c r="T138" i="63"/>
  <c r="V84" i="63"/>
  <c r="V181" i="63" s="1"/>
  <c r="S241" i="63"/>
  <c r="S242" i="63"/>
  <c r="S189" i="63"/>
  <c r="S248" i="63"/>
  <c r="U284" i="63"/>
  <c r="S284" i="63"/>
  <c r="U274" i="63"/>
  <c r="S246" i="63"/>
  <c r="S274" i="63"/>
  <c r="S247" i="63"/>
  <c r="U262" i="63"/>
  <c r="S243" i="63"/>
  <c r="S244" i="63"/>
  <c r="S262" i="63"/>
  <c r="U241" i="63"/>
  <c r="U242" i="63"/>
  <c r="U243" i="63"/>
  <c r="U244" i="63"/>
  <c r="U247" i="63"/>
  <c r="U248" i="63"/>
  <c r="U245" i="63"/>
  <c r="T186" i="62"/>
  <c r="S186" i="62"/>
  <c r="S188" i="62" s="1"/>
  <c r="U296" i="62"/>
  <c r="T296" i="62"/>
  <c r="T223" i="62" s="1"/>
  <c r="S296" i="62"/>
  <c r="R296" i="62"/>
  <c r="S223" i="62" s="1"/>
  <c r="T284" i="62"/>
  <c r="U282" i="62" s="1"/>
  <c r="R284" i="62"/>
  <c r="S282" i="62" s="1"/>
  <c r="T274" i="62"/>
  <c r="U272" i="62" s="1"/>
  <c r="R274" i="62"/>
  <c r="S272" i="62" s="1"/>
  <c r="T262" i="62"/>
  <c r="U260" i="62" s="1"/>
  <c r="R262" i="62"/>
  <c r="S260" i="62" s="1"/>
  <c r="T248" i="62"/>
  <c r="R248" i="62"/>
  <c r="T247" i="62"/>
  <c r="R247" i="62"/>
  <c r="T246" i="62"/>
  <c r="R246" i="62"/>
  <c r="T245" i="62"/>
  <c r="R245" i="62"/>
  <c r="T244" i="62"/>
  <c r="R244" i="62"/>
  <c r="T243" i="62"/>
  <c r="R243" i="62"/>
  <c r="T242" i="62"/>
  <c r="R242" i="62"/>
  <c r="T241" i="62"/>
  <c r="R241" i="62"/>
  <c r="T217" i="62"/>
  <c r="T206" i="62"/>
  <c r="T207" i="62" s="1"/>
  <c r="V187" i="62"/>
  <c r="V173" i="62"/>
  <c r="V171" i="62"/>
  <c r="T227" i="62" s="1"/>
  <c r="T228" i="62" s="1"/>
  <c r="V155" i="62"/>
  <c r="B141" i="62"/>
  <c r="B202" i="62" s="1"/>
  <c r="B307" i="62" s="1"/>
  <c r="T128" i="62"/>
  <c r="T126" i="62"/>
  <c r="T114" i="62"/>
  <c r="A114" i="62"/>
  <c r="A115" i="62" s="1"/>
  <c r="A116" i="62" s="1"/>
  <c r="A117" i="62" s="1"/>
  <c r="A118" i="62" s="1"/>
  <c r="A119" i="62" s="1"/>
  <c r="A120" i="62" s="1"/>
  <c r="A121" i="62" s="1"/>
  <c r="A122" i="62" s="1"/>
  <c r="V137" i="62"/>
  <c r="A103" i="62"/>
  <c r="A104" i="62" s="1"/>
  <c r="T98" i="62"/>
  <c r="T97" i="62"/>
  <c r="V96" i="62"/>
  <c r="V100" i="62" s="1"/>
  <c r="T96" i="62"/>
  <c r="N87" i="62"/>
  <c r="V82" i="62"/>
  <c r="V81" i="62"/>
  <c r="T71" i="62"/>
  <c r="R71" i="62"/>
  <c r="P71" i="62"/>
  <c r="N71" i="62"/>
  <c r="N84" i="62" s="1"/>
  <c r="L71" i="62"/>
  <c r="L84" i="62" s="1"/>
  <c r="V69" i="62"/>
  <c r="V68" i="62"/>
  <c r="R58" i="62"/>
  <c r="R57" i="62"/>
  <c r="V50" i="62"/>
  <c r="P43" i="62"/>
  <c r="L43" i="62"/>
  <c r="F43" i="62"/>
  <c r="D43" i="62"/>
  <c r="R36" i="62"/>
  <c r="P36" i="62"/>
  <c r="N36" i="62"/>
  <c r="L36" i="62"/>
  <c r="J36" i="62"/>
  <c r="H36" i="62"/>
  <c r="F36" i="62"/>
  <c r="D36" i="62"/>
  <c r="R35" i="62"/>
  <c r="P35" i="62"/>
  <c r="N35" i="62"/>
  <c r="L35" i="62"/>
  <c r="J35" i="62"/>
  <c r="H35" i="62"/>
  <c r="F35" i="62"/>
  <c r="D35" i="62"/>
  <c r="V34" i="62"/>
  <c r="S185" i="62" s="1"/>
  <c r="R33" i="62"/>
  <c r="P33" i="62"/>
  <c r="N33" i="62"/>
  <c r="L33" i="62"/>
  <c r="J33" i="62"/>
  <c r="H33" i="62"/>
  <c r="F33" i="62"/>
  <c r="D33" i="62"/>
  <c r="R32" i="62"/>
  <c r="P32" i="62"/>
  <c r="N32" i="62"/>
  <c r="L32" i="62"/>
  <c r="J32" i="62"/>
  <c r="H32" i="62"/>
  <c r="F32" i="62"/>
  <c r="D32" i="62"/>
  <c r="V104" i="61"/>
  <c r="V91" i="61"/>
  <c r="V90" i="61"/>
  <c r="T89" i="61"/>
  <c r="S250" i="63" l="1"/>
  <c r="U250" i="63"/>
  <c r="U267" i="62"/>
  <c r="V71" i="62"/>
  <c r="V84" i="62" s="1"/>
  <c r="V181" i="62" s="1"/>
  <c r="V35" i="62"/>
  <c r="V43" i="62" s="1"/>
  <c r="T209" i="62" s="1"/>
  <c r="T210" i="62" s="1"/>
  <c r="V36" i="62"/>
  <c r="V51" i="62"/>
  <c r="T100" i="62"/>
  <c r="V52" i="62"/>
  <c r="T137" i="62"/>
  <c r="T138" i="62" s="1"/>
  <c r="U281" i="62"/>
  <c r="U277" i="62"/>
  <c r="U279" i="62"/>
  <c r="S278" i="62"/>
  <c r="S281" i="62"/>
  <c r="S280" i="62"/>
  <c r="S279" i="62"/>
  <c r="S277" i="62"/>
  <c r="U271" i="62"/>
  <c r="U265" i="62"/>
  <c r="U269" i="62"/>
  <c r="S265" i="62"/>
  <c r="S270" i="62"/>
  <c r="S268" i="62"/>
  <c r="S271" i="62"/>
  <c r="S266" i="62"/>
  <c r="S269" i="62"/>
  <c r="S222" i="62"/>
  <c r="S267" i="62"/>
  <c r="U259" i="62"/>
  <c r="T250" i="62"/>
  <c r="U244" i="62" s="1"/>
  <c r="U253" i="62"/>
  <c r="T298" i="62"/>
  <c r="U255" i="62"/>
  <c r="U257" i="62"/>
  <c r="R250" i="62"/>
  <c r="S244" i="62" s="1"/>
  <c r="S258" i="62"/>
  <c r="S253" i="62"/>
  <c r="S256" i="62"/>
  <c r="S254" i="62"/>
  <c r="R298" i="62"/>
  <c r="S259" i="62"/>
  <c r="S257" i="62"/>
  <c r="S255" i="62"/>
  <c r="V186" i="62"/>
  <c r="T211" i="62"/>
  <c r="V193" i="62"/>
  <c r="V197" i="62"/>
  <c r="V138" i="62"/>
  <c r="V195" i="62"/>
  <c r="T188" i="62"/>
  <c r="S189" i="62" s="1"/>
  <c r="V172" i="62"/>
  <c r="V174" i="62" s="1"/>
  <c r="V145" i="62"/>
  <c r="T222" i="62"/>
  <c r="U254" i="62"/>
  <c r="U256" i="62"/>
  <c r="U258" i="62"/>
  <c r="U266" i="62"/>
  <c r="U268" i="62"/>
  <c r="U270" i="62"/>
  <c r="U278" i="62"/>
  <c r="U280" i="62"/>
  <c r="P44" i="61"/>
  <c r="L44" i="61"/>
  <c r="F44" i="61"/>
  <c r="D44" i="61"/>
  <c r="T186" i="61"/>
  <c r="T188" i="61" s="1"/>
  <c r="S186" i="61"/>
  <c r="S188" i="61" s="1"/>
  <c r="T310" i="61"/>
  <c r="R310" i="61"/>
  <c r="U296" i="61"/>
  <c r="T296" i="61"/>
  <c r="S296" i="61"/>
  <c r="R296" i="61"/>
  <c r="T284" i="61"/>
  <c r="U282" i="61" s="1"/>
  <c r="R284" i="61"/>
  <c r="S281" i="61" s="1"/>
  <c r="T274" i="61"/>
  <c r="U272" i="61" s="1"/>
  <c r="R274" i="61"/>
  <c r="S269" i="61" s="1"/>
  <c r="S272" i="61"/>
  <c r="S271" i="61"/>
  <c r="S270" i="61"/>
  <c r="S268" i="61"/>
  <c r="S267" i="61"/>
  <c r="S266" i="61"/>
  <c r="S265" i="61"/>
  <c r="T262" i="61"/>
  <c r="U260" i="61" s="1"/>
  <c r="R262" i="61"/>
  <c r="S260" i="61" s="1"/>
  <c r="T248" i="61"/>
  <c r="R248" i="61"/>
  <c r="T247" i="61"/>
  <c r="R247" i="61"/>
  <c r="T246" i="61"/>
  <c r="R246" i="61"/>
  <c r="T245" i="61"/>
  <c r="R245" i="61"/>
  <c r="T244" i="61"/>
  <c r="R244" i="61"/>
  <c r="T243" i="61"/>
  <c r="R243" i="61"/>
  <c r="T242" i="61"/>
  <c r="R242" i="61"/>
  <c r="T241" i="61"/>
  <c r="R241" i="61"/>
  <c r="T223" i="61"/>
  <c r="S223" i="61"/>
  <c r="S222" i="61"/>
  <c r="T217" i="61"/>
  <c r="T206" i="61"/>
  <c r="T207" i="61" s="1"/>
  <c r="V187" i="61"/>
  <c r="V180" i="61"/>
  <c r="V173" i="61"/>
  <c r="V171" i="61"/>
  <c r="T227" i="61" s="1"/>
  <c r="T228" i="61" s="1"/>
  <c r="V155" i="61"/>
  <c r="B141" i="61"/>
  <c r="B202" i="61" s="1"/>
  <c r="B325" i="61" s="1"/>
  <c r="T128" i="61"/>
  <c r="T137" i="61" s="1"/>
  <c r="T126" i="61"/>
  <c r="T114" i="61"/>
  <c r="A114" i="61"/>
  <c r="A115" i="61" s="1"/>
  <c r="A116" i="61" s="1"/>
  <c r="A117" i="61" s="1"/>
  <c r="A118" i="61" s="1"/>
  <c r="A119" i="61" s="1"/>
  <c r="A120" i="61" s="1"/>
  <c r="A121" i="61" s="1"/>
  <c r="A122" i="61" s="1"/>
  <c r="V137" i="61"/>
  <c r="A103" i="61"/>
  <c r="A104" i="61" s="1"/>
  <c r="T98" i="61"/>
  <c r="T97" i="61"/>
  <c r="V96" i="61"/>
  <c r="V100" i="61" s="1"/>
  <c r="T96" i="61"/>
  <c r="T100" i="61" s="1"/>
  <c r="T138" i="61" s="1"/>
  <c r="N87" i="61"/>
  <c r="V82" i="61"/>
  <c r="V81" i="61"/>
  <c r="V71" i="61"/>
  <c r="V84" i="61" s="1"/>
  <c r="V181" i="61" s="1"/>
  <c r="T71" i="61"/>
  <c r="R71" i="61"/>
  <c r="P71" i="61"/>
  <c r="N71" i="61"/>
  <c r="N84" i="61" s="1"/>
  <c r="L71" i="61"/>
  <c r="L84" i="61" s="1"/>
  <c r="V69" i="61"/>
  <c r="V68" i="61"/>
  <c r="R58" i="61"/>
  <c r="R57" i="61"/>
  <c r="V50" i="61"/>
  <c r="P43" i="61"/>
  <c r="L43" i="61"/>
  <c r="F43" i="61"/>
  <c r="D43" i="61"/>
  <c r="R36" i="61"/>
  <c r="P36" i="61"/>
  <c r="N36" i="61"/>
  <c r="L36" i="61"/>
  <c r="J36" i="61"/>
  <c r="H36" i="61"/>
  <c r="F36" i="61"/>
  <c r="D36" i="61"/>
  <c r="R35" i="61"/>
  <c r="P35" i="61"/>
  <c r="N35" i="61"/>
  <c r="L35" i="61"/>
  <c r="J35" i="61"/>
  <c r="H35" i="61"/>
  <c r="F35" i="61"/>
  <c r="D35" i="61"/>
  <c r="V35" i="61" s="1"/>
  <c r="V34" i="61"/>
  <c r="V52" i="61" s="1"/>
  <c r="R33" i="61"/>
  <c r="P33" i="61"/>
  <c r="N33" i="61"/>
  <c r="L33" i="61"/>
  <c r="J33" i="61"/>
  <c r="H33" i="61"/>
  <c r="F33" i="61"/>
  <c r="D33" i="61"/>
  <c r="R32" i="61"/>
  <c r="P32" i="61"/>
  <c r="N32" i="61"/>
  <c r="L32" i="61"/>
  <c r="J32" i="61"/>
  <c r="H32" i="61"/>
  <c r="F32" i="61"/>
  <c r="D32" i="61"/>
  <c r="V180" i="62" l="1"/>
  <c r="U245" i="62"/>
  <c r="U284" i="62"/>
  <c r="U274" i="62"/>
  <c r="S246" i="62"/>
  <c r="S248" i="62"/>
  <c r="S245" i="62"/>
  <c r="S247" i="62"/>
  <c r="S241" i="62"/>
  <c r="S242" i="62"/>
  <c r="S243" i="62"/>
  <c r="S274" i="62"/>
  <c r="U243" i="62"/>
  <c r="U242" i="62"/>
  <c r="U241" i="62"/>
  <c r="U248" i="62"/>
  <c r="U247" i="62"/>
  <c r="U246" i="62"/>
  <c r="U262" i="62"/>
  <c r="S262" i="62"/>
  <c r="V188" i="62"/>
  <c r="V43" i="61"/>
  <c r="T209" i="61" s="1"/>
  <c r="T210" i="61" s="1"/>
  <c r="V51" i="61"/>
  <c r="V36" i="61"/>
  <c r="U281" i="61"/>
  <c r="U277" i="61"/>
  <c r="U279" i="61"/>
  <c r="S282" i="61"/>
  <c r="S279" i="61"/>
  <c r="S280" i="61"/>
  <c r="S277" i="61"/>
  <c r="S278" i="61"/>
  <c r="U253" i="61"/>
  <c r="U255" i="61"/>
  <c r="U257" i="61"/>
  <c r="U259" i="61"/>
  <c r="S255" i="61"/>
  <c r="S258" i="61"/>
  <c r="S259" i="61"/>
  <c r="R250" i="61"/>
  <c r="S244" i="61" s="1"/>
  <c r="S253" i="61"/>
  <c r="S256" i="61"/>
  <c r="S254" i="61"/>
  <c r="S257" i="61"/>
  <c r="U267" i="61"/>
  <c r="U265" i="61"/>
  <c r="U271" i="61"/>
  <c r="T298" i="61"/>
  <c r="U311" i="61" s="1"/>
  <c r="T222" i="61"/>
  <c r="U269" i="61"/>
  <c r="S274" i="61"/>
  <c r="R298" i="61"/>
  <c r="S311" i="61" s="1"/>
  <c r="V188" i="61"/>
  <c r="T211" i="61"/>
  <c r="V193" i="61"/>
  <c r="V195" i="61"/>
  <c r="V138" i="61"/>
  <c r="V197" i="61"/>
  <c r="V172" i="61"/>
  <c r="V174" i="61" s="1"/>
  <c r="V186" i="61"/>
  <c r="T250" i="61"/>
  <c r="U243" i="61" s="1"/>
  <c r="V145" i="61"/>
  <c r="S185" i="61"/>
  <c r="S189" i="61" s="1"/>
  <c r="U254" i="61"/>
  <c r="U256" i="61"/>
  <c r="U258" i="61"/>
  <c r="U266" i="61"/>
  <c r="U268" i="61"/>
  <c r="U270" i="61"/>
  <c r="U278" i="61"/>
  <c r="U280" i="61"/>
  <c r="U310" i="61"/>
  <c r="S310" i="61"/>
  <c r="V137" i="60"/>
  <c r="S250" i="62" l="1"/>
  <c r="U250" i="62"/>
  <c r="U284" i="61"/>
  <c r="S284" i="61"/>
  <c r="U262" i="61"/>
  <c r="S247" i="61"/>
  <c r="S245" i="61"/>
  <c r="S241" i="61"/>
  <c r="S248" i="61"/>
  <c r="S246" i="61"/>
  <c r="S242" i="61"/>
  <c r="S243" i="61"/>
  <c r="S262" i="61"/>
  <c r="U248" i="61"/>
  <c r="U242" i="61"/>
  <c r="U274" i="61"/>
  <c r="U247" i="61"/>
  <c r="U241" i="61"/>
  <c r="U246" i="61"/>
  <c r="U245" i="61"/>
  <c r="U244" i="61"/>
  <c r="V36" i="60"/>
  <c r="S250" i="61" l="1"/>
  <c r="U250" i="61"/>
  <c r="V107" i="60"/>
  <c r="V104" i="60"/>
  <c r="V91" i="60"/>
  <c r="V90" i="60"/>
  <c r="T89" i="60"/>
  <c r="P44" i="60" l="1"/>
  <c r="L44" i="60"/>
  <c r="F44" i="60"/>
  <c r="D44" i="60"/>
  <c r="T186" i="60" l="1"/>
  <c r="T188" i="60" s="1"/>
  <c r="S186" i="60"/>
  <c r="T310" i="60"/>
  <c r="U313" i="60" s="1"/>
  <c r="R310" i="60"/>
  <c r="S312" i="60" s="1"/>
  <c r="S308" i="60"/>
  <c r="U306" i="60"/>
  <c r="S305" i="60"/>
  <c r="S304" i="60"/>
  <c r="U303" i="60"/>
  <c r="S303" i="60"/>
  <c r="U302" i="60"/>
  <c r="S302" i="60"/>
  <c r="U301" i="60"/>
  <c r="S301" i="60"/>
  <c r="U296" i="60"/>
  <c r="T296" i="60"/>
  <c r="S296" i="60"/>
  <c r="R296" i="60"/>
  <c r="T284" i="60"/>
  <c r="U282" i="60" s="1"/>
  <c r="R284" i="60"/>
  <c r="S279" i="60" s="1"/>
  <c r="T274" i="60"/>
  <c r="U272" i="60" s="1"/>
  <c r="R274" i="60"/>
  <c r="S272" i="60" s="1"/>
  <c r="T262" i="60"/>
  <c r="U260" i="60" s="1"/>
  <c r="R262" i="60"/>
  <c r="S259" i="60" s="1"/>
  <c r="T248" i="60"/>
  <c r="R248" i="60"/>
  <c r="T247" i="60"/>
  <c r="R247" i="60"/>
  <c r="T246" i="60"/>
  <c r="R246" i="60"/>
  <c r="T245" i="60"/>
  <c r="R245" i="60"/>
  <c r="T244" i="60"/>
  <c r="R244" i="60"/>
  <c r="T243" i="60"/>
  <c r="R243" i="60"/>
  <c r="T242" i="60"/>
  <c r="R242" i="60"/>
  <c r="T241" i="60"/>
  <c r="R241" i="60"/>
  <c r="T223" i="60"/>
  <c r="S223" i="60"/>
  <c r="T217" i="60"/>
  <c r="T207" i="60"/>
  <c r="T206" i="60"/>
  <c r="V187" i="60"/>
  <c r="S188" i="60"/>
  <c r="V173" i="60"/>
  <c r="V171" i="60"/>
  <c r="T227" i="60" s="1"/>
  <c r="T228" i="60" s="1"/>
  <c r="V155" i="60"/>
  <c r="B141" i="60"/>
  <c r="B202" i="60" s="1"/>
  <c r="B325" i="60" s="1"/>
  <c r="T128" i="60"/>
  <c r="T137" i="60" s="1"/>
  <c r="T126" i="60"/>
  <c r="T114" i="60"/>
  <c r="A114" i="60"/>
  <c r="A115" i="60" s="1"/>
  <c r="A116" i="60" s="1"/>
  <c r="A117" i="60" s="1"/>
  <c r="A118" i="60" s="1"/>
  <c r="A119" i="60" s="1"/>
  <c r="A120" i="60" s="1"/>
  <c r="A121" i="60" s="1"/>
  <c r="A122" i="60" s="1"/>
  <c r="A103" i="60"/>
  <c r="A104" i="60" s="1"/>
  <c r="T98" i="60"/>
  <c r="T97" i="60"/>
  <c r="V96" i="60"/>
  <c r="V100" i="60" s="1"/>
  <c r="T96" i="60"/>
  <c r="T100" i="60" s="1"/>
  <c r="N87" i="60"/>
  <c r="V82" i="60"/>
  <c r="V81" i="60"/>
  <c r="T71" i="60"/>
  <c r="R71" i="60"/>
  <c r="P71" i="60"/>
  <c r="N71" i="60"/>
  <c r="N84" i="60" s="1"/>
  <c r="L71" i="60"/>
  <c r="L84" i="60" s="1"/>
  <c r="V69" i="60"/>
  <c r="V68" i="60"/>
  <c r="V71" i="60" s="1"/>
  <c r="R58" i="60"/>
  <c r="R57" i="60"/>
  <c r="V52" i="60"/>
  <c r="V50" i="60"/>
  <c r="P43" i="60"/>
  <c r="L43" i="60"/>
  <c r="F43" i="60"/>
  <c r="D43" i="60"/>
  <c r="R36" i="60"/>
  <c r="P36" i="60"/>
  <c r="N36" i="60"/>
  <c r="L36" i="60"/>
  <c r="J36" i="60"/>
  <c r="H36" i="60"/>
  <c r="F36" i="60"/>
  <c r="D36" i="60"/>
  <c r="R35" i="60"/>
  <c r="P35" i="60"/>
  <c r="N35" i="60"/>
  <c r="L35" i="60"/>
  <c r="J35" i="60"/>
  <c r="H35" i="60"/>
  <c r="F35" i="60"/>
  <c r="D35" i="60"/>
  <c r="V35" i="60" s="1"/>
  <c r="V34" i="60"/>
  <c r="S185" i="60" s="1"/>
  <c r="R33" i="60"/>
  <c r="P33" i="60"/>
  <c r="N33" i="60"/>
  <c r="L33" i="60"/>
  <c r="J33" i="60"/>
  <c r="H33" i="60"/>
  <c r="F33" i="60"/>
  <c r="D33" i="60"/>
  <c r="R32" i="60"/>
  <c r="P32" i="60"/>
  <c r="N32" i="60"/>
  <c r="L32" i="60"/>
  <c r="J32" i="60"/>
  <c r="H32" i="60"/>
  <c r="F32" i="60"/>
  <c r="D32" i="60"/>
  <c r="T138" i="60" l="1"/>
  <c r="V43" i="60"/>
  <c r="T209" i="60" s="1"/>
  <c r="T210" i="60" s="1"/>
  <c r="V51" i="60"/>
  <c r="U312" i="60"/>
  <c r="U308" i="60"/>
  <c r="U304" i="60"/>
  <c r="S306" i="60"/>
  <c r="S310" i="60" s="1"/>
  <c r="S307" i="60"/>
  <c r="U278" i="60"/>
  <c r="U279" i="60"/>
  <c r="U281" i="60"/>
  <c r="U277" i="60"/>
  <c r="S282" i="60"/>
  <c r="S278" i="60"/>
  <c r="S281" i="60"/>
  <c r="S280" i="60"/>
  <c r="S277" i="60"/>
  <c r="U268" i="60"/>
  <c r="T222" i="60"/>
  <c r="U266" i="60"/>
  <c r="U271" i="60"/>
  <c r="U267" i="60"/>
  <c r="U265" i="60"/>
  <c r="U269" i="60"/>
  <c r="S266" i="60"/>
  <c r="S268" i="60"/>
  <c r="S222" i="60"/>
  <c r="S270" i="60"/>
  <c r="S271" i="60"/>
  <c r="S265" i="60"/>
  <c r="S267" i="60"/>
  <c r="S269" i="60"/>
  <c r="U255" i="60"/>
  <c r="U257" i="60"/>
  <c r="U253" i="60"/>
  <c r="U259" i="60"/>
  <c r="U254" i="60"/>
  <c r="T298" i="60"/>
  <c r="U311" i="60" s="1"/>
  <c r="S258" i="60"/>
  <c r="R250" i="60"/>
  <c r="S247" i="60" s="1"/>
  <c r="S257" i="60"/>
  <c r="S253" i="60"/>
  <c r="S255" i="60"/>
  <c r="S260" i="60"/>
  <c r="S254" i="60"/>
  <c r="S256" i="60"/>
  <c r="R298" i="60"/>
  <c r="S189" i="60"/>
  <c r="V188" i="60"/>
  <c r="T211" i="60"/>
  <c r="V193" i="60"/>
  <c r="V138" i="60"/>
  <c r="V195" i="60"/>
  <c r="V197" i="60"/>
  <c r="V84" i="60"/>
  <c r="V181" i="60" s="1"/>
  <c r="V180" i="60"/>
  <c r="V172" i="60"/>
  <c r="V174" i="60" s="1"/>
  <c r="V186" i="60"/>
  <c r="T250" i="60"/>
  <c r="U243" i="60" s="1"/>
  <c r="S311" i="60"/>
  <c r="S313" i="60"/>
  <c r="V145" i="60"/>
  <c r="U256" i="60"/>
  <c r="U258" i="60"/>
  <c r="U270" i="60"/>
  <c r="U280" i="60"/>
  <c r="U305" i="60"/>
  <c r="U307" i="60"/>
  <c r="T137" i="59"/>
  <c r="U310" i="60" l="1"/>
  <c r="U284" i="60"/>
  <c r="S284" i="60"/>
  <c r="U274" i="60"/>
  <c r="S274" i="60"/>
  <c r="U248" i="60"/>
  <c r="U241" i="60"/>
  <c r="U262" i="60"/>
  <c r="U242" i="60"/>
  <c r="S245" i="60"/>
  <c r="S248" i="60"/>
  <c r="S243" i="60"/>
  <c r="S241" i="60"/>
  <c r="S242" i="60"/>
  <c r="S246" i="60"/>
  <c r="S244" i="60"/>
  <c r="S262" i="60"/>
  <c r="U246" i="60"/>
  <c r="U244" i="60"/>
  <c r="U247" i="60"/>
  <c r="U245" i="60"/>
  <c r="V36" i="59"/>
  <c r="S250" i="60" l="1"/>
  <c r="U250" i="60"/>
  <c r="V104" i="59"/>
  <c r="V91" i="59"/>
  <c r="V90" i="59"/>
  <c r="T89" i="59"/>
  <c r="P44" i="59" l="1"/>
  <c r="L44" i="59"/>
  <c r="F44" i="59"/>
  <c r="D44" i="59"/>
  <c r="T186" i="59" l="1"/>
  <c r="T188" i="59" s="1"/>
  <c r="S186" i="59"/>
  <c r="S188" i="59" s="1"/>
  <c r="U312" i="59"/>
  <c r="T310" i="59"/>
  <c r="U313" i="59" s="1"/>
  <c r="R310" i="59"/>
  <c r="S312" i="59" s="1"/>
  <c r="U306" i="59"/>
  <c r="S306" i="59"/>
  <c r="U303" i="59"/>
  <c r="U301" i="59"/>
  <c r="U296" i="59"/>
  <c r="T296" i="59"/>
  <c r="S296" i="59"/>
  <c r="R296" i="59"/>
  <c r="R298" i="59" s="1"/>
  <c r="T284" i="59"/>
  <c r="U282" i="59" s="1"/>
  <c r="R284" i="59"/>
  <c r="S282" i="59" s="1"/>
  <c r="T274" i="59"/>
  <c r="U272" i="59" s="1"/>
  <c r="R274" i="59"/>
  <c r="S272" i="59" s="1"/>
  <c r="S267" i="59"/>
  <c r="S265" i="59"/>
  <c r="T262" i="59"/>
  <c r="U260" i="59" s="1"/>
  <c r="R262" i="59"/>
  <c r="S260" i="59" s="1"/>
  <c r="T248" i="59"/>
  <c r="R248" i="59"/>
  <c r="T247" i="59"/>
  <c r="R247" i="59"/>
  <c r="T246" i="59"/>
  <c r="R246" i="59"/>
  <c r="T245" i="59"/>
  <c r="R245" i="59"/>
  <c r="T244" i="59"/>
  <c r="R244" i="59"/>
  <c r="T243" i="59"/>
  <c r="R243" i="59"/>
  <c r="T242" i="59"/>
  <c r="R242" i="59"/>
  <c r="T241" i="59"/>
  <c r="R241" i="59"/>
  <c r="T223" i="59"/>
  <c r="S223" i="59"/>
  <c r="T217" i="59"/>
  <c r="T207" i="59"/>
  <c r="T206" i="59"/>
  <c r="V187" i="59"/>
  <c r="V173" i="59"/>
  <c r="V171" i="59"/>
  <c r="T227" i="59" s="1"/>
  <c r="T228" i="59" s="1"/>
  <c r="V155" i="59"/>
  <c r="B141" i="59"/>
  <c r="B202" i="59" s="1"/>
  <c r="B325" i="59" s="1"/>
  <c r="T128" i="59"/>
  <c r="T126" i="59"/>
  <c r="A116" i="59"/>
  <c r="A117" i="59" s="1"/>
  <c r="A118" i="59" s="1"/>
  <c r="A119" i="59" s="1"/>
  <c r="A120" i="59" s="1"/>
  <c r="A121" i="59" s="1"/>
  <c r="A122" i="59" s="1"/>
  <c r="A115" i="59"/>
  <c r="T114" i="59"/>
  <c r="A114" i="59"/>
  <c r="V137" i="59"/>
  <c r="A103" i="59"/>
  <c r="A104" i="59" s="1"/>
  <c r="T98" i="59"/>
  <c r="T97" i="59"/>
  <c r="V96" i="59"/>
  <c r="V100" i="59" s="1"/>
  <c r="T96" i="59"/>
  <c r="T100" i="59" s="1"/>
  <c r="N87" i="59"/>
  <c r="V82" i="59"/>
  <c r="V81" i="59"/>
  <c r="T71" i="59"/>
  <c r="R71" i="59"/>
  <c r="P71" i="59"/>
  <c r="N71" i="59"/>
  <c r="N84" i="59" s="1"/>
  <c r="L71" i="59"/>
  <c r="L84" i="59" s="1"/>
  <c r="V69" i="59"/>
  <c r="V71" i="59" s="1"/>
  <c r="V68" i="59"/>
  <c r="R58" i="59"/>
  <c r="R57" i="59"/>
  <c r="V52" i="59"/>
  <c r="V50" i="59"/>
  <c r="P43" i="59"/>
  <c r="L43" i="59"/>
  <c r="F43" i="59"/>
  <c r="D43" i="59"/>
  <c r="R36" i="59"/>
  <c r="P36" i="59"/>
  <c r="N36" i="59"/>
  <c r="L36" i="59"/>
  <c r="J36" i="59"/>
  <c r="H36" i="59"/>
  <c r="F36" i="59"/>
  <c r="D36" i="59"/>
  <c r="R35" i="59"/>
  <c r="P35" i="59"/>
  <c r="N35" i="59"/>
  <c r="L35" i="59"/>
  <c r="J35" i="59"/>
  <c r="H35" i="59"/>
  <c r="F35" i="59"/>
  <c r="D35" i="59"/>
  <c r="V35" i="59" s="1"/>
  <c r="V34" i="59"/>
  <c r="S185" i="59" s="1"/>
  <c r="R33" i="59"/>
  <c r="P33" i="59"/>
  <c r="N33" i="59"/>
  <c r="L33" i="59"/>
  <c r="J33" i="59"/>
  <c r="H33" i="59"/>
  <c r="F33" i="59"/>
  <c r="D33" i="59"/>
  <c r="R32" i="59"/>
  <c r="P32" i="59"/>
  <c r="N32" i="59"/>
  <c r="L32" i="59"/>
  <c r="J32" i="59"/>
  <c r="H32" i="59"/>
  <c r="F32" i="59"/>
  <c r="D32" i="59"/>
  <c r="T138" i="59" l="1"/>
  <c r="V43" i="59"/>
  <c r="T209" i="59" s="1"/>
  <c r="T210" i="59" s="1"/>
  <c r="V51" i="59"/>
  <c r="U279" i="59"/>
  <c r="U280" i="59"/>
  <c r="U277" i="59"/>
  <c r="U281" i="59"/>
  <c r="U278" i="59"/>
  <c r="S281" i="59"/>
  <c r="S279" i="59"/>
  <c r="S277" i="59"/>
  <c r="U302" i="59"/>
  <c r="U308" i="59"/>
  <c r="U304" i="59"/>
  <c r="S307" i="59"/>
  <c r="S301" i="59"/>
  <c r="S303" i="59"/>
  <c r="S305" i="59"/>
  <c r="S302" i="59"/>
  <c r="S304" i="59"/>
  <c r="T298" i="59"/>
  <c r="U270" i="59"/>
  <c r="U266" i="59"/>
  <c r="U269" i="59"/>
  <c r="T222" i="59"/>
  <c r="U267" i="59"/>
  <c r="U271" i="59"/>
  <c r="U265" i="59"/>
  <c r="U274" i="59" s="1"/>
  <c r="U268" i="59"/>
  <c r="S271" i="59"/>
  <c r="S222" i="59"/>
  <c r="S269" i="59"/>
  <c r="U255" i="59"/>
  <c r="U257" i="59"/>
  <c r="U253" i="59"/>
  <c r="U258" i="59"/>
  <c r="U254" i="59"/>
  <c r="U259" i="59"/>
  <c r="U256" i="59"/>
  <c r="S259" i="59"/>
  <c r="R250" i="59"/>
  <c r="S245" i="59" s="1"/>
  <c r="S255" i="59"/>
  <c r="S257" i="59"/>
  <c r="S253" i="59"/>
  <c r="V188" i="59"/>
  <c r="V84" i="59"/>
  <c r="V181" i="59" s="1"/>
  <c r="V180" i="59"/>
  <c r="T211" i="59"/>
  <c r="V193" i="59"/>
  <c r="V195" i="59"/>
  <c r="V138" i="59"/>
  <c r="V197" i="59"/>
  <c r="S189" i="59"/>
  <c r="V172" i="59"/>
  <c r="V174" i="59" s="1"/>
  <c r="V186" i="59"/>
  <c r="T250" i="59"/>
  <c r="U244" i="59" s="1"/>
  <c r="S254" i="59"/>
  <c r="S256" i="59"/>
  <c r="S258" i="59"/>
  <c r="S266" i="59"/>
  <c r="S268" i="59"/>
  <c r="S270" i="59"/>
  <c r="S278" i="59"/>
  <c r="S280" i="59"/>
  <c r="S311" i="59"/>
  <c r="S313" i="59"/>
  <c r="V145" i="59"/>
  <c r="U305" i="59"/>
  <c r="U307" i="59"/>
  <c r="U311" i="59"/>
  <c r="S308" i="59"/>
  <c r="T284" i="58"/>
  <c r="U284" i="59" l="1"/>
  <c r="S284" i="59"/>
  <c r="U310" i="59"/>
  <c r="S310" i="59"/>
  <c r="S244" i="59"/>
  <c r="S241" i="59"/>
  <c r="S243" i="59"/>
  <c r="S242" i="59"/>
  <c r="S250" i="59" s="1"/>
  <c r="S247" i="59"/>
  <c r="U262" i="59"/>
  <c r="U242" i="59"/>
  <c r="U243" i="59"/>
  <c r="U247" i="59"/>
  <c r="U245" i="59"/>
  <c r="U248" i="59"/>
  <c r="U246" i="59"/>
  <c r="S246" i="59"/>
  <c r="S248" i="59"/>
  <c r="S274" i="59"/>
  <c r="U241" i="59"/>
  <c r="S262" i="59"/>
  <c r="V107" i="58"/>
  <c r="V104" i="58"/>
  <c r="V91" i="58"/>
  <c r="V90" i="58"/>
  <c r="T89" i="58"/>
  <c r="P44" i="58"/>
  <c r="L44" i="58"/>
  <c r="F44" i="58"/>
  <c r="D44" i="58"/>
  <c r="U250" i="59" l="1"/>
  <c r="U279" i="58"/>
  <c r="U278" i="58"/>
  <c r="U277" i="58"/>
  <c r="U282" i="58"/>
  <c r="U281" i="58"/>
  <c r="U280" i="58"/>
  <c r="T186" i="58"/>
  <c r="S186" i="58"/>
  <c r="T310" i="58"/>
  <c r="U312" i="58" s="1"/>
  <c r="R310" i="58"/>
  <c r="S312" i="58" s="1"/>
  <c r="U304" i="58"/>
  <c r="U296" i="58"/>
  <c r="T296" i="58"/>
  <c r="S296" i="58"/>
  <c r="R296" i="58"/>
  <c r="S223" i="58" s="1"/>
  <c r="R284" i="58"/>
  <c r="S282" i="58" s="1"/>
  <c r="T274" i="58"/>
  <c r="U271" i="58" s="1"/>
  <c r="R274" i="58"/>
  <c r="S272" i="58" s="1"/>
  <c r="T262" i="58"/>
  <c r="R262" i="58"/>
  <c r="S260" i="58" s="1"/>
  <c r="T248" i="58"/>
  <c r="R248" i="58"/>
  <c r="T247" i="58"/>
  <c r="R247" i="58"/>
  <c r="T246" i="58"/>
  <c r="R246" i="58"/>
  <c r="T245" i="58"/>
  <c r="R245" i="58"/>
  <c r="T244" i="58"/>
  <c r="R244" i="58"/>
  <c r="T243" i="58"/>
  <c r="R243" i="58"/>
  <c r="T242" i="58"/>
  <c r="R242" i="58"/>
  <c r="T241" i="58"/>
  <c r="R241" i="58"/>
  <c r="T223" i="58"/>
  <c r="T217" i="58"/>
  <c r="T206" i="58"/>
  <c r="T207" i="58" s="1"/>
  <c r="V187" i="58"/>
  <c r="T188" i="58"/>
  <c r="S188" i="58"/>
  <c r="V173" i="58"/>
  <c r="V171" i="58"/>
  <c r="T227" i="58" s="1"/>
  <c r="T228" i="58" s="1"/>
  <c r="V155" i="58"/>
  <c r="B141" i="58"/>
  <c r="B202" i="58" s="1"/>
  <c r="B325" i="58" s="1"/>
  <c r="T128" i="58"/>
  <c r="T126" i="58"/>
  <c r="T137" i="58" s="1"/>
  <c r="T114" i="58"/>
  <c r="A114" i="58"/>
  <c r="A115" i="58" s="1"/>
  <c r="A116" i="58" s="1"/>
  <c r="A117" i="58" s="1"/>
  <c r="A118" i="58" s="1"/>
  <c r="A119" i="58" s="1"/>
  <c r="A120" i="58" s="1"/>
  <c r="A121" i="58" s="1"/>
  <c r="A122" i="58" s="1"/>
  <c r="V137" i="58"/>
  <c r="A103" i="58"/>
  <c r="A104" i="58" s="1"/>
  <c r="T98" i="58"/>
  <c r="T97" i="58"/>
  <c r="V96" i="58"/>
  <c r="V100" i="58" s="1"/>
  <c r="T96" i="58"/>
  <c r="N87" i="58"/>
  <c r="V82" i="58"/>
  <c r="V81" i="58"/>
  <c r="T71" i="58"/>
  <c r="R71" i="58"/>
  <c r="P71" i="58"/>
  <c r="N71" i="58"/>
  <c r="N84" i="58" s="1"/>
  <c r="L71" i="58"/>
  <c r="L84" i="58" s="1"/>
  <c r="V69" i="58"/>
  <c r="V68" i="58"/>
  <c r="V71" i="58" s="1"/>
  <c r="R58" i="58"/>
  <c r="R57" i="58"/>
  <c r="V50" i="58"/>
  <c r="P43" i="58"/>
  <c r="L43" i="58"/>
  <c r="F43" i="58"/>
  <c r="D43" i="58"/>
  <c r="R36" i="58"/>
  <c r="P36" i="58"/>
  <c r="N36" i="58"/>
  <c r="L36" i="58"/>
  <c r="J36" i="58"/>
  <c r="H36" i="58"/>
  <c r="F36" i="58"/>
  <c r="D36" i="58"/>
  <c r="R35" i="58"/>
  <c r="P35" i="58"/>
  <c r="N35" i="58"/>
  <c r="L35" i="58"/>
  <c r="J35" i="58"/>
  <c r="H35" i="58"/>
  <c r="F35" i="58"/>
  <c r="D35" i="58"/>
  <c r="V34" i="58"/>
  <c r="S185" i="58" s="1"/>
  <c r="R33" i="58"/>
  <c r="P33" i="58"/>
  <c r="N33" i="58"/>
  <c r="L33" i="58"/>
  <c r="J33" i="58"/>
  <c r="H33" i="58"/>
  <c r="F33" i="58"/>
  <c r="D33" i="58"/>
  <c r="R32" i="58"/>
  <c r="P32" i="58"/>
  <c r="N32" i="58"/>
  <c r="L32" i="58"/>
  <c r="J32" i="58"/>
  <c r="H32" i="58"/>
  <c r="F32" i="58"/>
  <c r="D32" i="58"/>
  <c r="V52" i="58" l="1"/>
  <c r="T100" i="58"/>
  <c r="U284" i="58"/>
  <c r="T138" i="58"/>
  <c r="V51" i="58"/>
  <c r="V36" i="58"/>
  <c r="V35" i="58"/>
  <c r="V43" i="58" s="1"/>
  <c r="T209" i="58" s="1"/>
  <c r="T210" i="58" s="1"/>
  <c r="S281" i="58"/>
  <c r="S279" i="58"/>
  <c r="S277" i="58"/>
  <c r="U306" i="58"/>
  <c r="U313" i="58"/>
  <c r="U308" i="58"/>
  <c r="U302" i="58"/>
  <c r="U301" i="58"/>
  <c r="U305" i="58"/>
  <c r="U303" i="58"/>
  <c r="U307" i="58"/>
  <c r="S303" i="58"/>
  <c r="S301" i="58"/>
  <c r="S302" i="58"/>
  <c r="S307" i="58"/>
  <c r="S305" i="58"/>
  <c r="T298" i="58"/>
  <c r="U311" i="58" s="1"/>
  <c r="U265" i="58"/>
  <c r="U270" i="58"/>
  <c r="U266" i="58"/>
  <c r="U272" i="58"/>
  <c r="T222" i="58"/>
  <c r="U269" i="58"/>
  <c r="U268" i="58"/>
  <c r="U267" i="58"/>
  <c r="S271" i="58"/>
  <c r="S265" i="58"/>
  <c r="S269" i="58"/>
  <c r="S222" i="58"/>
  <c r="S267" i="58"/>
  <c r="U258" i="58"/>
  <c r="U254" i="58"/>
  <c r="U253" i="58"/>
  <c r="T250" i="58"/>
  <c r="U248" i="58" s="1"/>
  <c r="U257" i="58"/>
  <c r="U255" i="58"/>
  <c r="U259" i="58"/>
  <c r="U256" i="58"/>
  <c r="U260" i="58"/>
  <c r="R250" i="58"/>
  <c r="S242" i="58" s="1"/>
  <c r="S259" i="58"/>
  <c r="S257" i="58"/>
  <c r="S253" i="58"/>
  <c r="S255" i="58"/>
  <c r="R298" i="58"/>
  <c r="S311" i="58" s="1"/>
  <c r="V188" i="58"/>
  <c r="S189" i="58"/>
  <c r="V84" i="58"/>
  <c r="V181" i="58" s="1"/>
  <c r="V180" i="58"/>
  <c r="T211" i="58"/>
  <c r="V193" i="58"/>
  <c r="V197" i="58"/>
  <c r="V195" i="58"/>
  <c r="V138" i="58"/>
  <c r="S248" i="58"/>
  <c r="S245" i="58"/>
  <c r="S247" i="58"/>
  <c r="S244" i="58"/>
  <c r="S241" i="58"/>
  <c r="S246" i="58"/>
  <c r="S243" i="58"/>
  <c r="V172" i="58"/>
  <c r="V174" i="58" s="1"/>
  <c r="V186" i="58"/>
  <c r="S254" i="58"/>
  <c r="S256" i="58"/>
  <c r="S258" i="58"/>
  <c r="S266" i="58"/>
  <c r="S268" i="58"/>
  <c r="S270" i="58"/>
  <c r="S278" i="58"/>
  <c r="S280" i="58"/>
  <c r="S313" i="58"/>
  <c r="V145" i="58"/>
  <c r="S304" i="58"/>
  <c r="S306" i="58"/>
  <c r="S308" i="58"/>
  <c r="R310" i="57"/>
  <c r="U310" i="58" l="1"/>
  <c r="U274" i="58"/>
  <c r="U246" i="58"/>
  <c r="U241" i="58"/>
  <c r="U242" i="58"/>
  <c r="U243" i="58"/>
  <c r="U247" i="58"/>
  <c r="U245" i="58"/>
  <c r="U244" i="58"/>
  <c r="U262" i="58"/>
  <c r="S262" i="58"/>
  <c r="S310" i="58"/>
  <c r="S274" i="58"/>
  <c r="S250" i="58"/>
  <c r="S284" i="58"/>
  <c r="V107" i="57"/>
  <c r="V104" i="57"/>
  <c r="V137" i="57" s="1"/>
  <c r="V91" i="57"/>
  <c r="V90" i="57"/>
  <c r="T89" i="57"/>
  <c r="U250" i="58" l="1"/>
  <c r="P44" i="57"/>
  <c r="L44" i="57"/>
  <c r="F44" i="57"/>
  <c r="D44" i="57"/>
  <c r="T284" i="57" l="1"/>
  <c r="T310" i="57" l="1"/>
  <c r="U296" i="57"/>
  <c r="T296" i="57"/>
  <c r="T223" i="57" s="1"/>
  <c r="S296" i="57"/>
  <c r="R296" i="57"/>
  <c r="U282" i="57"/>
  <c r="R284" i="57"/>
  <c r="S282" i="57" s="1"/>
  <c r="T274" i="57"/>
  <c r="U272" i="57" s="1"/>
  <c r="R274" i="57"/>
  <c r="S271" i="57" s="1"/>
  <c r="T262" i="57"/>
  <c r="U260" i="57" s="1"/>
  <c r="R262" i="57"/>
  <c r="S260" i="57" s="1"/>
  <c r="T248" i="57"/>
  <c r="R248" i="57"/>
  <c r="T247" i="57"/>
  <c r="R247" i="57"/>
  <c r="T246" i="57"/>
  <c r="R246" i="57"/>
  <c r="T245" i="57"/>
  <c r="R245" i="57"/>
  <c r="T244" i="57"/>
  <c r="R244" i="57"/>
  <c r="T243" i="57"/>
  <c r="R243" i="57"/>
  <c r="T242" i="57"/>
  <c r="R242" i="57"/>
  <c r="T241" i="57"/>
  <c r="R241" i="57"/>
  <c r="S223" i="57"/>
  <c r="T217" i="57"/>
  <c r="V187" i="57"/>
  <c r="V173" i="57"/>
  <c r="V171" i="57"/>
  <c r="T227" i="57" s="1"/>
  <c r="V155" i="57"/>
  <c r="B141" i="57"/>
  <c r="B202" i="57" s="1"/>
  <c r="B325" i="57" s="1"/>
  <c r="T128" i="57"/>
  <c r="T126" i="57"/>
  <c r="T114" i="57"/>
  <c r="A114" i="57"/>
  <c r="A115" i="57" s="1"/>
  <c r="A116" i="57" s="1"/>
  <c r="A117" i="57" s="1"/>
  <c r="A118" i="57" s="1"/>
  <c r="A119" i="57" s="1"/>
  <c r="A120" i="57" s="1"/>
  <c r="A121" i="57" s="1"/>
  <c r="A122" i="57" s="1"/>
  <c r="A103" i="57"/>
  <c r="A104" i="57" s="1"/>
  <c r="T98" i="57"/>
  <c r="T97" i="57"/>
  <c r="V96" i="57"/>
  <c r="V100" i="57" s="1"/>
  <c r="T96" i="57"/>
  <c r="T100" i="57" s="1"/>
  <c r="N87" i="57"/>
  <c r="V82" i="57"/>
  <c r="V81" i="57"/>
  <c r="T71" i="57"/>
  <c r="R71" i="57"/>
  <c r="P71" i="57"/>
  <c r="N71" i="57"/>
  <c r="N84" i="57" s="1"/>
  <c r="L71" i="57"/>
  <c r="L84" i="57" s="1"/>
  <c r="V69" i="57"/>
  <c r="V68" i="57"/>
  <c r="R58" i="57"/>
  <c r="R57" i="57"/>
  <c r="V50" i="57"/>
  <c r="P43" i="57"/>
  <c r="L43" i="57"/>
  <c r="F43" i="57"/>
  <c r="D43" i="57"/>
  <c r="R36" i="57"/>
  <c r="P36" i="57"/>
  <c r="N36" i="57"/>
  <c r="L36" i="57"/>
  <c r="J36" i="57"/>
  <c r="H36" i="57"/>
  <c r="F36" i="57"/>
  <c r="D36" i="57"/>
  <c r="R35" i="57"/>
  <c r="P35" i="57"/>
  <c r="N35" i="57"/>
  <c r="L35" i="57"/>
  <c r="J35" i="57"/>
  <c r="H35" i="57"/>
  <c r="F35" i="57"/>
  <c r="D35" i="57"/>
  <c r="V34" i="57"/>
  <c r="V52" i="57" s="1"/>
  <c r="R33" i="57"/>
  <c r="P33" i="57"/>
  <c r="N33" i="57"/>
  <c r="L33" i="57"/>
  <c r="J33" i="57"/>
  <c r="H33" i="57"/>
  <c r="F33" i="57"/>
  <c r="D33" i="57"/>
  <c r="R32" i="57"/>
  <c r="P32" i="57"/>
  <c r="N32" i="57"/>
  <c r="L32" i="57"/>
  <c r="J32" i="57"/>
  <c r="H32" i="57"/>
  <c r="F32" i="57"/>
  <c r="D32" i="57"/>
  <c r="V71" i="57" l="1"/>
  <c r="V84" i="57" s="1"/>
  <c r="V181" i="57" s="1"/>
  <c r="S308" i="57"/>
  <c r="S312" i="57"/>
  <c r="S311" i="57"/>
  <c r="S313" i="57"/>
  <c r="S222" i="57"/>
  <c r="U308" i="57"/>
  <c r="U313" i="57"/>
  <c r="U312" i="57"/>
  <c r="V35" i="57"/>
  <c r="S270" i="57"/>
  <c r="U281" i="57"/>
  <c r="S277" i="57"/>
  <c r="S281" i="57"/>
  <c r="S278" i="57"/>
  <c r="S280" i="57"/>
  <c r="S279" i="57"/>
  <c r="U302" i="57"/>
  <c r="U271" i="57"/>
  <c r="S266" i="57"/>
  <c r="S268" i="57"/>
  <c r="S265" i="57"/>
  <c r="S269" i="57"/>
  <c r="S272" i="57"/>
  <c r="S267" i="57"/>
  <c r="U253" i="57"/>
  <c r="U259" i="57"/>
  <c r="S257" i="57"/>
  <c r="S254" i="57"/>
  <c r="S258" i="57"/>
  <c r="S253" i="57"/>
  <c r="S259" i="57"/>
  <c r="S256" i="57"/>
  <c r="R298" i="57"/>
  <c r="U306" i="57"/>
  <c r="T137" i="57"/>
  <c r="T138" i="57" s="1"/>
  <c r="U269" i="57"/>
  <c r="U279" i="57"/>
  <c r="T298" i="57"/>
  <c r="U311" i="57" s="1"/>
  <c r="U303" i="57"/>
  <c r="U307" i="57"/>
  <c r="V180" i="57"/>
  <c r="S255" i="57"/>
  <c r="U257" i="57"/>
  <c r="U267" i="57"/>
  <c r="U277" i="57"/>
  <c r="S301" i="57"/>
  <c r="U304" i="57"/>
  <c r="V43" i="57"/>
  <c r="T209" i="57" s="1"/>
  <c r="T210" i="57" s="1"/>
  <c r="V36" i="57"/>
  <c r="V51" i="57"/>
  <c r="R250" i="57"/>
  <c r="S248" i="57" s="1"/>
  <c r="U255" i="57"/>
  <c r="U265" i="57"/>
  <c r="U301" i="57"/>
  <c r="U305" i="57"/>
  <c r="T211" i="57"/>
  <c r="V193" i="57"/>
  <c r="V197" i="57"/>
  <c r="V195" i="57"/>
  <c r="V138" i="57"/>
  <c r="V172" i="57"/>
  <c r="V174" i="57" s="1"/>
  <c r="T250" i="57"/>
  <c r="U248" i="57" s="1"/>
  <c r="V145" i="57"/>
  <c r="S185" i="57"/>
  <c r="T222" i="57"/>
  <c r="U254" i="57"/>
  <c r="U256" i="57"/>
  <c r="U258" i="57"/>
  <c r="U266" i="57"/>
  <c r="U268" i="57"/>
  <c r="U270" i="57"/>
  <c r="U278" i="57"/>
  <c r="U280" i="57"/>
  <c r="S303" i="57"/>
  <c r="S305" i="57"/>
  <c r="S307" i="57"/>
  <c r="S302" i="57"/>
  <c r="S304" i="57"/>
  <c r="S306" i="57"/>
  <c r="R284" i="56"/>
  <c r="S282" i="56" s="1"/>
  <c r="S274" i="57" l="1"/>
  <c r="S284" i="57"/>
  <c r="U310" i="57"/>
  <c r="S310" i="57"/>
  <c r="U262" i="57"/>
  <c r="S242" i="57"/>
  <c r="S243" i="57"/>
  <c r="S245" i="57"/>
  <c r="S262" i="57"/>
  <c r="S244" i="57"/>
  <c r="S247" i="57"/>
  <c r="S246" i="57"/>
  <c r="S241" i="57"/>
  <c r="U274" i="57"/>
  <c r="U284" i="57"/>
  <c r="U246" i="57"/>
  <c r="U242" i="57"/>
  <c r="U245" i="57"/>
  <c r="U243" i="57"/>
  <c r="U244" i="57"/>
  <c r="U241" i="57"/>
  <c r="U247" i="57"/>
  <c r="S280" i="56"/>
  <c r="S277" i="56"/>
  <c r="S281" i="56"/>
  <c r="S278" i="56"/>
  <c r="S279" i="56"/>
  <c r="T284" i="56" s="1"/>
  <c r="U281" i="56" s="1"/>
  <c r="V106" i="56"/>
  <c r="V104" i="56"/>
  <c r="V90" i="56"/>
  <c r="V91" i="56"/>
  <c r="T89" i="56"/>
  <c r="S250" i="57" l="1"/>
  <c r="U250" i="57"/>
  <c r="U277" i="56"/>
  <c r="U280" i="56"/>
  <c r="U282" i="56"/>
  <c r="U279" i="56"/>
  <c r="U278" i="56"/>
  <c r="S284" i="56"/>
  <c r="P44" i="56"/>
  <c r="L44" i="56"/>
  <c r="F44" i="56"/>
  <c r="D44" i="56"/>
  <c r="U284" i="56" l="1"/>
  <c r="T310" i="56"/>
  <c r="R310" i="56"/>
  <c r="S302" i="56" l="1"/>
  <c r="U302" i="56"/>
  <c r="S301" i="56"/>
  <c r="S305" i="56"/>
  <c r="U301" i="56"/>
  <c r="U305" i="56"/>
  <c r="S308" i="56"/>
  <c r="S304" i="56"/>
  <c r="U308" i="56"/>
  <c r="U304" i="56"/>
  <c r="S307" i="56"/>
  <c r="S303" i="56"/>
  <c r="U307" i="56"/>
  <c r="U303" i="56"/>
  <c r="S306" i="56"/>
  <c r="U306" i="56"/>
  <c r="U310" i="56" l="1"/>
  <c r="S310" i="56"/>
  <c r="U296" i="56"/>
  <c r="T296" i="56"/>
  <c r="T223" i="56" s="1"/>
  <c r="S296" i="56"/>
  <c r="R296" i="56"/>
  <c r="S223" i="56" s="1"/>
  <c r="T274" i="56"/>
  <c r="U270" i="56" s="1"/>
  <c r="R274" i="56"/>
  <c r="S270" i="56" s="1"/>
  <c r="T262" i="56"/>
  <c r="U259" i="56" s="1"/>
  <c r="R262" i="56"/>
  <c r="S260" i="56" s="1"/>
  <c r="T248" i="56"/>
  <c r="R248" i="56"/>
  <c r="T247" i="56"/>
  <c r="R247" i="56"/>
  <c r="T246" i="56"/>
  <c r="R246" i="56"/>
  <c r="T245" i="56"/>
  <c r="R245" i="56"/>
  <c r="T244" i="56"/>
  <c r="R244" i="56"/>
  <c r="T243" i="56"/>
  <c r="R243" i="56"/>
  <c r="T242" i="56"/>
  <c r="R242" i="56"/>
  <c r="T241" i="56"/>
  <c r="R241" i="56"/>
  <c r="T217" i="56"/>
  <c r="V187" i="56"/>
  <c r="V173" i="56"/>
  <c r="V171" i="56"/>
  <c r="T227" i="56" s="1"/>
  <c r="V155" i="56"/>
  <c r="B141" i="56"/>
  <c r="B202" i="56" s="1"/>
  <c r="B323" i="56" s="1"/>
  <c r="T128" i="56"/>
  <c r="T126" i="56"/>
  <c r="T114" i="56"/>
  <c r="A114" i="56"/>
  <c r="A115" i="56" s="1"/>
  <c r="A116" i="56" s="1"/>
  <c r="A117" i="56" s="1"/>
  <c r="A118" i="56" s="1"/>
  <c r="A119" i="56" s="1"/>
  <c r="A120" i="56" s="1"/>
  <c r="A121" i="56" s="1"/>
  <c r="A122" i="56" s="1"/>
  <c r="V137" i="56"/>
  <c r="A103" i="56"/>
  <c r="A104" i="56" s="1"/>
  <c r="T98" i="56"/>
  <c r="T97" i="56"/>
  <c r="V96" i="56"/>
  <c r="V100" i="56" s="1"/>
  <c r="T96" i="56"/>
  <c r="N87" i="56"/>
  <c r="V82" i="56"/>
  <c r="V81" i="56"/>
  <c r="T71" i="56"/>
  <c r="R71" i="56"/>
  <c r="P71" i="56"/>
  <c r="N71" i="56"/>
  <c r="N84" i="56" s="1"/>
  <c r="L71" i="56"/>
  <c r="L84" i="56" s="1"/>
  <c r="V69" i="56"/>
  <c r="V68" i="56"/>
  <c r="R58" i="56"/>
  <c r="R57" i="56"/>
  <c r="V50" i="56"/>
  <c r="P43" i="56"/>
  <c r="L43" i="56"/>
  <c r="F43" i="56"/>
  <c r="D43" i="56"/>
  <c r="R36" i="56"/>
  <c r="P36" i="56"/>
  <c r="N36" i="56"/>
  <c r="L36" i="56"/>
  <c r="J36" i="56"/>
  <c r="H36" i="56"/>
  <c r="F36" i="56"/>
  <c r="D36" i="56"/>
  <c r="R35" i="56"/>
  <c r="P35" i="56"/>
  <c r="N35" i="56"/>
  <c r="L35" i="56"/>
  <c r="J35" i="56"/>
  <c r="H35" i="56"/>
  <c r="F35" i="56"/>
  <c r="D35" i="56"/>
  <c r="V34" i="56"/>
  <c r="V52" i="56" s="1"/>
  <c r="R33" i="56"/>
  <c r="P33" i="56"/>
  <c r="N33" i="56"/>
  <c r="L33" i="56"/>
  <c r="J33" i="56"/>
  <c r="H33" i="56"/>
  <c r="F33" i="56"/>
  <c r="D33" i="56"/>
  <c r="R32" i="56"/>
  <c r="P32" i="56"/>
  <c r="N32" i="56"/>
  <c r="L32" i="56"/>
  <c r="J32" i="56"/>
  <c r="H32" i="56"/>
  <c r="F32" i="56"/>
  <c r="D32" i="56"/>
  <c r="V71" i="56" l="1"/>
  <c r="V84" i="56" s="1"/>
  <c r="V181" i="56" s="1"/>
  <c r="T137" i="56"/>
  <c r="V145" i="56"/>
  <c r="T100" i="56"/>
  <c r="S268" i="56"/>
  <c r="S271" i="56"/>
  <c r="V36" i="56"/>
  <c r="S222" i="56"/>
  <c r="S185" i="56"/>
  <c r="S265" i="56"/>
  <c r="V51" i="56"/>
  <c r="V35" i="56"/>
  <c r="V43" i="56" s="1"/>
  <c r="T209" i="56" s="1"/>
  <c r="T210" i="56" s="1"/>
  <c r="S266" i="56"/>
  <c r="U268" i="56"/>
  <c r="U271" i="56"/>
  <c r="U265" i="56"/>
  <c r="U266" i="56"/>
  <c r="U269" i="56"/>
  <c r="U272" i="56"/>
  <c r="T222" i="56"/>
  <c r="U267" i="56"/>
  <c r="S269" i="56"/>
  <c r="S267" i="56"/>
  <c r="S272" i="56"/>
  <c r="U260" i="56"/>
  <c r="U254" i="56"/>
  <c r="U253" i="56"/>
  <c r="U256" i="56"/>
  <c r="U255" i="56"/>
  <c r="U257" i="56"/>
  <c r="T250" i="56"/>
  <c r="U245" i="56" s="1"/>
  <c r="U258" i="56"/>
  <c r="T298" i="56"/>
  <c r="T311" i="56" s="1"/>
  <c r="S253" i="56"/>
  <c r="S255" i="56"/>
  <c r="S257" i="56"/>
  <c r="S259" i="56"/>
  <c r="R298" i="56"/>
  <c r="R311" i="56" s="1"/>
  <c r="S254" i="56"/>
  <c r="S256" i="56"/>
  <c r="S258" i="56"/>
  <c r="V197" i="56"/>
  <c r="V195" i="56"/>
  <c r="V138" i="56"/>
  <c r="T211" i="56"/>
  <c r="V193" i="56"/>
  <c r="R250" i="56"/>
  <c r="S241" i="56" s="1"/>
  <c r="V172" i="56"/>
  <c r="V174" i="56" s="1"/>
  <c r="V106" i="55"/>
  <c r="V104" i="55"/>
  <c r="V91" i="55"/>
  <c r="V90" i="55"/>
  <c r="T89" i="55"/>
  <c r="V180" i="56" l="1"/>
  <c r="T138" i="56"/>
  <c r="S274" i="56"/>
  <c r="U248" i="56"/>
  <c r="U241" i="56"/>
  <c r="U274" i="56"/>
  <c r="U246" i="56"/>
  <c r="U243" i="56"/>
  <c r="U247" i="56"/>
  <c r="U242" i="56"/>
  <c r="U244" i="56"/>
  <c r="U262" i="56"/>
  <c r="S246" i="56"/>
  <c r="S262" i="56"/>
  <c r="S248" i="56"/>
  <c r="S245" i="56"/>
  <c r="S244" i="56"/>
  <c r="S247" i="56"/>
  <c r="S242" i="56"/>
  <c r="S243" i="56"/>
  <c r="P44" i="55"/>
  <c r="L44" i="55"/>
  <c r="F44" i="55"/>
  <c r="D44" i="55"/>
  <c r="U250" i="56" l="1"/>
  <c r="S250" i="56"/>
  <c r="U286" i="55"/>
  <c r="T286" i="55"/>
  <c r="S286" i="55"/>
  <c r="R286" i="55"/>
  <c r="S223" i="55" s="1"/>
  <c r="T274" i="55"/>
  <c r="U267" i="55" s="1"/>
  <c r="R274" i="55"/>
  <c r="S268" i="55" s="1"/>
  <c r="T262" i="55"/>
  <c r="U259" i="55" s="1"/>
  <c r="R262" i="55"/>
  <c r="S260" i="55" s="1"/>
  <c r="T248" i="55"/>
  <c r="R248" i="55"/>
  <c r="T247" i="55"/>
  <c r="R247" i="55"/>
  <c r="T246" i="55"/>
  <c r="R246" i="55"/>
  <c r="T245" i="55"/>
  <c r="R245" i="55"/>
  <c r="T244" i="55"/>
  <c r="R244" i="55"/>
  <c r="T243" i="55"/>
  <c r="R243" i="55"/>
  <c r="T242" i="55"/>
  <c r="R242" i="55"/>
  <c r="T241" i="55"/>
  <c r="R241" i="55"/>
  <c r="T223" i="55"/>
  <c r="V187" i="55"/>
  <c r="V173" i="55"/>
  <c r="V171" i="55"/>
  <c r="T227" i="55" s="1"/>
  <c r="V155" i="55"/>
  <c r="B141" i="55"/>
  <c r="B202" i="55" s="1"/>
  <c r="B295" i="55" s="1"/>
  <c r="V137" i="55"/>
  <c r="T137" i="55"/>
  <c r="T128" i="55"/>
  <c r="T126" i="55"/>
  <c r="T114" i="55"/>
  <c r="A114" i="55"/>
  <c r="A115" i="55" s="1"/>
  <c r="A116" i="55" s="1"/>
  <c r="A117" i="55" s="1"/>
  <c r="A118" i="55" s="1"/>
  <c r="A119" i="55" s="1"/>
  <c r="A120" i="55" s="1"/>
  <c r="A121" i="55" s="1"/>
  <c r="A122" i="55" s="1"/>
  <c r="A103" i="55"/>
  <c r="A104" i="55" s="1"/>
  <c r="T98" i="55"/>
  <c r="T97" i="55"/>
  <c r="T96" i="55"/>
  <c r="V96" i="55"/>
  <c r="V100" i="55" s="1"/>
  <c r="N87" i="55"/>
  <c r="V82" i="55"/>
  <c r="V81" i="55"/>
  <c r="T71" i="55"/>
  <c r="R71" i="55"/>
  <c r="P71" i="55"/>
  <c r="N71" i="55"/>
  <c r="N84" i="55" s="1"/>
  <c r="L71" i="55"/>
  <c r="L84" i="55" s="1"/>
  <c r="V69" i="55"/>
  <c r="V68" i="55"/>
  <c r="V71" i="55" s="1"/>
  <c r="T217" i="55"/>
  <c r="R58" i="55"/>
  <c r="R57" i="55"/>
  <c r="V52" i="55"/>
  <c r="V50" i="55"/>
  <c r="P43" i="55"/>
  <c r="L43" i="55"/>
  <c r="F43" i="55"/>
  <c r="D43" i="55"/>
  <c r="R36" i="55"/>
  <c r="P36" i="55"/>
  <c r="N36" i="55"/>
  <c r="L36" i="55"/>
  <c r="J36" i="55"/>
  <c r="H36" i="55"/>
  <c r="F36" i="55"/>
  <c r="D36" i="55"/>
  <c r="R35" i="55"/>
  <c r="P35" i="55"/>
  <c r="N35" i="55"/>
  <c r="L35" i="55"/>
  <c r="J35" i="55"/>
  <c r="H35" i="55"/>
  <c r="F35" i="55"/>
  <c r="D35" i="55"/>
  <c r="V34" i="55"/>
  <c r="S185" i="55" s="1"/>
  <c r="R33" i="55"/>
  <c r="P33" i="55"/>
  <c r="N33" i="55"/>
  <c r="L33" i="55"/>
  <c r="J33" i="55"/>
  <c r="H33" i="55"/>
  <c r="F33" i="55"/>
  <c r="D33" i="55"/>
  <c r="R32" i="55"/>
  <c r="P32" i="55"/>
  <c r="N32" i="55"/>
  <c r="L32" i="55"/>
  <c r="J32" i="55"/>
  <c r="H32" i="55"/>
  <c r="F32" i="55"/>
  <c r="D32" i="55"/>
  <c r="V35" i="55" l="1"/>
  <c r="T100" i="55"/>
  <c r="T138" i="55" s="1"/>
  <c r="V145" i="55"/>
  <c r="V43" i="55"/>
  <c r="T209" i="55" s="1"/>
  <c r="T210" i="55" s="1"/>
  <c r="V36" i="55"/>
  <c r="V51" i="55"/>
  <c r="U254" i="55"/>
  <c r="U260" i="55"/>
  <c r="U257" i="55"/>
  <c r="U256" i="55"/>
  <c r="U258" i="55"/>
  <c r="U255" i="55"/>
  <c r="U253" i="55"/>
  <c r="S253" i="55"/>
  <c r="S254" i="55"/>
  <c r="S257" i="55"/>
  <c r="S258" i="55"/>
  <c r="S255" i="55"/>
  <c r="S259" i="55"/>
  <c r="S256" i="55"/>
  <c r="U272" i="55"/>
  <c r="U266" i="55"/>
  <c r="T250" i="55"/>
  <c r="U246" i="55" s="1"/>
  <c r="U268" i="55"/>
  <c r="U269" i="55"/>
  <c r="T222" i="55"/>
  <c r="U270" i="55"/>
  <c r="U265" i="55"/>
  <c r="U271" i="55"/>
  <c r="T288" i="55"/>
  <c r="S267" i="55"/>
  <c r="S222" i="55"/>
  <c r="S265" i="55"/>
  <c r="S271" i="55"/>
  <c r="S266" i="55"/>
  <c r="S269" i="55"/>
  <c r="S272" i="55"/>
  <c r="S270" i="55"/>
  <c r="R288" i="55"/>
  <c r="V197" i="55"/>
  <c r="V195" i="55"/>
  <c r="V138" i="55"/>
  <c r="T211" i="55"/>
  <c r="V193" i="55"/>
  <c r="V180" i="55"/>
  <c r="V84" i="55"/>
  <c r="V181" i="55" s="1"/>
  <c r="R250" i="55"/>
  <c r="S246" i="55" s="1"/>
  <c r="V172" i="55"/>
  <c r="V174" i="55" s="1"/>
  <c r="U262" i="55" l="1"/>
  <c r="S262" i="55"/>
  <c r="U248" i="55"/>
  <c r="U242" i="55"/>
  <c r="U244" i="55"/>
  <c r="U247" i="55"/>
  <c r="U241" i="55"/>
  <c r="U243" i="55"/>
  <c r="U245" i="55"/>
  <c r="U274" i="55"/>
  <c r="S247" i="55"/>
  <c r="S244" i="55"/>
  <c r="S274" i="55"/>
  <c r="S245" i="55"/>
  <c r="S242" i="55"/>
  <c r="S243" i="55"/>
  <c r="S248" i="55"/>
  <c r="S241" i="55"/>
  <c r="U250" i="55" l="1"/>
  <c r="S250" i="55"/>
  <c r="V155" i="54" l="1"/>
  <c r="T89" i="54"/>
  <c r="P68" i="54"/>
  <c r="V106" i="54" l="1"/>
  <c r="V104" i="54" l="1"/>
  <c r="V137" i="54" s="1"/>
  <c r="V91" i="54"/>
  <c r="V90" i="54"/>
  <c r="P44" i="54" l="1"/>
  <c r="L44" i="54"/>
  <c r="F44" i="54"/>
  <c r="D44" i="54"/>
  <c r="U286" i="54" l="1"/>
  <c r="T286" i="54"/>
  <c r="T223" i="54" s="1"/>
  <c r="S286" i="54"/>
  <c r="R286" i="54"/>
  <c r="S223" i="54" s="1"/>
  <c r="T274" i="54"/>
  <c r="U269" i="54" s="1"/>
  <c r="R274" i="54"/>
  <c r="S272" i="54" s="1"/>
  <c r="T262" i="54"/>
  <c r="R262" i="54"/>
  <c r="S260" i="54" s="1"/>
  <c r="T248" i="54"/>
  <c r="R248" i="54"/>
  <c r="T247" i="54"/>
  <c r="R247" i="54"/>
  <c r="T246" i="54"/>
  <c r="R246" i="54"/>
  <c r="T245" i="54"/>
  <c r="R245" i="54"/>
  <c r="T244" i="54"/>
  <c r="R244" i="54"/>
  <c r="T243" i="54"/>
  <c r="R243" i="54"/>
  <c r="T242" i="54"/>
  <c r="R242" i="54"/>
  <c r="T241" i="54"/>
  <c r="R241" i="54"/>
  <c r="T217" i="54"/>
  <c r="V187" i="54"/>
  <c r="V173" i="54"/>
  <c r="V171" i="54"/>
  <c r="T227" i="54" s="1"/>
  <c r="B141" i="54"/>
  <c r="B202" i="54" s="1"/>
  <c r="B295" i="54" s="1"/>
  <c r="T128" i="54"/>
  <c r="T126" i="54"/>
  <c r="T137" i="54" s="1"/>
  <c r="T114" i="54"/>
  <c r="A114" i="54"/>
  <c r="A115" i="54" s="1"/>
  <c r="A116" i="54" s="1"/>
  <c r="A117" i="54" s="1"/>
  <c r="A118" i="54" s="1"/>
  <c r="A119" i="54" s="1"/>
  <c r="A120" i="54" s="1"/>
  <c r="A121" i="54" s="1"/>
  <c r="A122" i="54" s="1"/>
  <c r="A104" i="54"/>
  <c r="A103" i="54"/>
  <c r="T98" i="54"/>
  <c r="T97" i="54"/>
  <c r="T96" i="54"/>
  <c r="T100" i="54" s="1"/>
  <c r="V96" i="54"/>
  <c r="V100" i="54" s="1"/>
  <c r="N87" i="54"/>
  <c r="V82" i="54"/>
  <c r="V81" i="54"/>
  <c r="T71" i="54"/>
  <c r="R71" i="54"/>
  <c r="P71" i="54"/>
  <c r="N71" i="54"/>
  <c r="N84" i="54" s="1"/>
  <c r="L71" i="54"/>
  <c r="L84" i="54" s="1"/>
  <c r="V69" i="54"/>
  <c r="V68" i="54"/>
  <c r="R58" i="54"/>
  <c r="R57" i="54"/>
  <c r="V50" i="54"/>
  <c r="P43" i="54"/>
  <c r="L43" i="54"/>
  <c r="F43" i="54"/>
  <c r="D43" i="54"/>
  <c r="R36" i="54"/>
  <c r="P36" i="54"/>
  <c r="N36" i="54"/>
  <c r="L36" i="54"/>
  <c r="J36" i="54"/>
  <c r="H36" i="54"/>
  <c r="F36" i="54"/>
  <c r="D36" i="54"/>
  <c r="R35" i="54"/>
  <c r="P35" i="54"/>
  <c r="N35" i="54"/>
  <c r="L35" i="54"/>
  <c r="J35" i="54"/>
  <c r="H35" i="54"/>
  <c r="F35" i="54"/>
  <c r="D35" i="54"/>
  <c r="V34" i="54"/>
  <c r="V145" i="54" s="1"/>
  <c r="R33" i="54"/>
  <c r="P33" i="54"/>
  <c r="N33" i="54"/>
  <c r="L33" i="54"/>
  <c r="J33" i="54"/>
  <c r="H33" i="54"/>
  <c r="F33" i="54"/>
  <c r="D33" i="54"/>
  <c r="R32" i="54"/>
  <c r="P32" i="54"/>
  <c r="N32" i="54"/>
  <c r="L32" i="54"/>
  <c r="J32" i="54"/>
  <c r="H32" i="54"/>
  <c r="F32" i="54"/>
  <c r="D32" i="54"/>
  <c r="V35" i="54" l="1"/>
  <c r="V36" i="54"/>
  <c r="V71" i="54"/>
  <c r="V52" i="54"/>
  <c r="S185" i="54"/>
  <c r="V43" i="54"/>
  <c r="T209" i="54" s="1"/>
  <c r="T210" i="54" s="1"/>
  <c r="V51" i="54"/>
  <c r="T288" i="54"/>
  <c r="T222" i="54"/>
  <c r="U267" i="54"/>
  <c r="U268" i="54"/>
  <c r="U270" i="54"/>
  <c r="U266" i="54"/>
  <c r="U271" i="54"/>
  <c r="U272" i="54"/>
  <c r="U265" i="54"/>
  <c r="S265" i="54"/>
  <c r="S269" i="54"/>
  <c r="S267" i="54"/>
  <c r="S271" i="54"/>
  <c r="T250" i="54"/>
  <c r="U248" i="54" s="1"/>
  <c r="U254" i="54"/>
  <c r="U258" i="54"/>
  <c r="U255" i="54"/>
  <c r="U259" i="54"/>
  <c r="U256" i="54"/>
  <c r="U260" i="54"/>
  <c r="U253" i="54"/>
  <c r="U257" i="54"/>
  <c r="S259" i="54"/>
  <c r="S253" i="54"/>
  <c r="S257" i="54"/>
  <c r="S255" i="54"/>
  <c r="R288" i="54"/>
  <c r="V180" i="54"/>
  <c r="V84" i="54"/>
  <c r="V181" i="54" s="1"/>
  <c r="V197" i="54"/>
  <c r="V195" i="54"/>
  <c r="V138" i="54"/>
  <c r="T211" i="54"/>
  <c r="V193" i="54"/>
  <c r="T138" i="54"/>
  <c r="R250" i="54"/>
  <c r="S246" i="54" s="1"/>
  <c r="V172" i="54"/>
  <c r="V174" i="54" s="1"/>
  <c r="S222" i="54"/>
  <c r="S254" i="54"/>
  <c r="S256" i="54"/>
  <c r="S258" i="54"/>
  <c r="S266" i="54"/>
  <c r="S268" i="54"/>
  <c r="S270" i="54"/>
  <c r="D33" i="53"/>
  <c r="D36" i="53"/>
  <c r="D32" i="53"/>
  <c r="U241" i="54" l="1"/>
  <c r="U242" i="54"/>
  <c r="U274" i="54"/>
  <c r="U245" i="54"/>
  <c r="U246" i="54"/>
  <c r="U243" i="54"/>
  <c r="U247" i="54"/>
  <c r="U244" i="54"/>
  <c r="S274" i="54"/>
  <c r="U262" i="54"/>
  <c r="S262" i="54"/>
  <c r="S241" i="54"/>
  <c r="S244" i="54"/>
  <c r="S242" i="54"/>
  <c r="S247" i="54"/>
  <c r="S245" i="54"/>
  <c r="S248" i="54"/>
  <c r="S243" i="54"/>
  <c r="T89" i="53"/>
  <c r="P68" i="53"/>
  <c r="U250" i="54" l="1"/>
  <c r="S250" i="54"/>
  <c r="V90" i="53"/>
  <c r="V106" i="53"/>
  <c r="V104" i="53"/>
  <c r="V91" i="53"/>
  <c r="D43" i="53"/>
  <c r="V137" i="53" l="1"/>
  <c r="P44" i="53"/>
  <c r="L44" i="53"/>
  <c r="F44" i="53"/>
  <c r="U285" i="53" l="1"/>
  <c r="T285" i="53"/>
  <c r="T222" i="53" s="1"/>
  <c r="S285" i="53"/>
  <c r="R285" i="53"/>
  <c r="S222" i="53" s="1"/>
  <c r="T273" i="53"/>
  <c r="U271" i="53" s="1"/>
  <c r="R273" i="53"/>
  <c r="S271" i="53" s="1"/>
  <c r="T261" i="53"/>
  <c r="U258" i="53" s="1"/>
  <c r="R261" i="53"/>
  <c r="S259" i="53" s="1"/>
  <c r="T247" i="53"/>
  <c r="R247" i="53"/>
  <c r="T246" i="53"/>
  <c r="R246" i="53"/>
  <c r="T245" i="53"/>
  <c r="R245" i="53"/>
  <c r="T244" i="53"/>
  <c r="R244" i="53"/>
  <c r="T243" i="53"/>
  <c r="R243" i="53"/>
  <c r="T242" i="53"/>
  <c r="R242" i="53"/>
  <c r="T241" i="53"/>
  <c r="R241" i="53"/>
  <c r="T240" i="53"/>
  <c r="R240" i="53"/>
  <c r="T216" i="53"/>
  <c r="V186" i="53"/>
  <c r="V172" i="53"/>
  <c r="V170" i="53"/>
  <c r="T226" i="53" s="1"/>
  <c r="V154" i="53"/>
  <c r="B141" i="53"/>
  <c r="B201" i="53" s="1"/>
  <c r="B294" i="53" s="1"/>
  <c r="T128" i="53"/>
  <c r="T126" i="53"/>
  <c r="T137" i="53" s="1"/>
  <c r="T114" i="53"/>
  <c r="A114" i="53"/>
  <c r="A115" i="53" s="1"/>
  <c r="A116" i="53" s="1"/>
  <c r="A117" i="53" s="1"/>
  <c r="A118" i="53" s="1"/>
  <c r="A103" i="53"/>
  <c r="A104" i="53" s="1"/>
  <c r="T98" i="53"/>
  <c r="T97" i="53"/>
  <c r="V96" i="53"/>
  <c r="V100" i="53" s="1"/>
  <c r="V138" i="53" s="1"/>
  <c r="T96" i="53"/>
  <c r="N87" i="53"/>
  <c r="V82" i="53"/>
  <c r="V81" i="53"/>
  <c r="T71" i="53"/>
  <c r="R71" i="53"/>
  <c r="P71" i="53"/>
  <c r="N71" i="53"/>
  <c r="N84" i="53" s="1"/>
  <c r="L71" i="53"/>
  <c r="L84" i="53" s="1"/>
  <c r="V69" i="53"/>
  <c r="V68" i="53"/>
  <c r="R58" i="53"/>
  <c r="R57" i="53"/>
  <c r="V50" i="53"/>
  <c r="P43" i="53"/>
  <c r="L43" i="53"/>
  <c r="F43" i="53"/>
  <c r="R36" i="53"/>
  <c r="P36" i="53"/>
  <c r="N36" i="53"/>
  <c r="L36" i="53"/>
  <c r="J36" i="53"/>
  <c r="H36" i="53"/>
  <c r="F36" i="53"/>
  <c r="R35" i="53"/>
  <c r="P35" i="53"/>
  <c r="N35" i="53"/>
  <c r="L35" i="53"/>
  <c r="J35" i="53"/>
  <c r="H35" i="53"/>
  <c r="F35" i="53"/>
  <c r="D35" i="53"/>
  <c r="V34" i="53"/>
  <c r="V52" i="53" s="1"/>
  <c r="R33" i="53"/>
  <c r="P33" i="53"/>
  <c r="N33" i="53"/>
  <c r="L33" i="53"/>
  <c r="J33" i="53"/>
  <c r="H33" i="53"/>
  <c r="F33" i="53"/>
  <c r="R32" i="53"/>
  <c r="P32" i="53"/>
  <c r="N32" i="53"/>
  <c r="L32" i="53"/>
  <c r="J32" i="53"/>
  <c r="H32" i="53"/>
  <c r="F32" i="53"/>
  <c r="V36" i="53" l="1"/>
  <c r="T100" i="53"/>
  <c r="V71" i="53"/>
  <c r="V179" i="53" s="1"/>
  <c r="U265" i="53"/>
  <c r="U269" i="53"/>
  <c r="S254" i="53"/>
  <c r="S266" i="53"/>
  <c r="U266" i="53"/>
  <c r="T221" i="53"/>
  <c r="U259" i="53"/>
  <c r="U268" i="53"/>
  <c r="U254" i="53"/>
  <c r="T249" i="53"/>
  <c r="U247" i="53" s="1"/>
  <c r="U256" i="53"/>
  <c r="S221" i="53"/>
  <c r="U257" i="53"/>
  <c r="U253" i="53"/>
  <c r="S269" i="53"/>
  <c r="S257" i="53"/>
  <c r="S184" i="53"/>
  <c r="S252" i="53"/>
  <c r="S255" i="53"/>
  <c r="S258" i="53"/>
  <c r="S264" i="53"/>
  <c r="S267" i="53"/>
  <c r="S270" i="53"/>
  <c r="U252" i="53"/>
  <c r="U255" i="53"/>
  <c r="U264" i="53"/>
  <c r="U267" i="53"/>
  <c r="U270" i="53"/>
  <c r="V145" i="53"/>
  <c r="S253" i="53"/>
  <c r="S256" i="53"/>
  <c r="S265" i="53"/>
  <c r="S268" i="53"/>
  <c r="T287" i="53"/>
  <c r="V35" i="53"/>
  <c r="V43" i="53" s="1"/>
  <c r="T208" i="53" s="1"/>
  <c r="T209" i="53" s="1"/>
  <c r="T138" i="53"/>
  <c r="V51" i="53"/>
  <c r="R287" i="53"/>
  <c r="A119" i="53"/>
  <c r="A120" i="53" s="1"/>
  <c r="A121" i="53" s="1"/>
  <c r="A122" i="53" s="1"/>
  <c r="V196" i="53"/>
  <c r="V194" i="53"/>
  <c r="T210" i="53"/>
  <c r="V192" i="53"/>
  <c r="R249" i="53"/>
  <c r="S243" i="53" s="1"/>
  <c r="V171" i="53"/>
  <c r="V173" i="53" s="1"/>
  <c r="V106" i="52"/>
  <c r="V104" i="52"/>
  <c r="V91" i="52"/>
  <c r="V90" i="52"/>
  <c r="T89" i="52"/>
  <c r="V84" i="53" l="1"/>
  <c r="V180" i="53" s="1"/>
  <c r="U273" i="53"/>
  <c r="U243" i="53"/>
  <c r="U246" i="53"/>
  <c r="U242" i="53"/>
  <c r="U245" i="53"/>
  <c r="U241" i="53"/>
  <c r="U240" i="53"/>
  <c r="U244" i="53"/>
  <c r="U261" i="53"/>
  <c r="S261" i="53"/>
  <c r="S273" i="53"/>
  <c r="S242" i="53"/>
  <c r="S241" i="53"/>
  <c r="S247" i="53"/>
  <c r="S244" i="53"/>
  <c r="S245" i="53"/>
  <c r="S240" i="53"/>
  <c r="S246" i="53"/>
  <c r="P44" i="52"/>
  <c r="L44" i="52"/>
  <c r="F44" i="52"/>
  <c r="U249" i="53" l="1"/>
  <c r="S249" i="53"/>
  <c r="U280" i="52"/>
  <c r="T280" i="52"/>
  <c r="T217" i="52" s="1"/>
  <c r="S280" i="52"/>
  <c r="R280" i="52"/>
  <c r="S217" i="52" s="1"/>
  <c r="T268" i="52"/>
  <c r="U265" i="52" s="1"/>
  <c r="R268" i="52"/>
  <c r="S264" i="52" s="1"/>
  <c r="T256" i="52"/>
  <c r="U254" i="52" s="1"/>
  <c r="R256" i="52"/>
  <c r="S252" i="52" s="1"/>
  <c r="T242" i="52"/>
  <c r="R242" i="52"/>
  <c r="T241" i="52"/>
  <c r="R241" i="52"/>
  <c r="T240" i="52"/>
  <c r="R240" i="52"/>
  <c r="T239" i="52"/>
  <c r="R239" i="52"/>
  <c r="T238" i="52"/>
  <c r="R238" i="52"/>
  <c r="T237" i="52"/>
  <c r="R237" i="52"/>
  <c r="T236" i="52"/>
  <c r="R236" i="52"/>
  <c r="T235" i="52"/>
  <c r="R235" i="52"/>
  <c r="T211" i="52"/>
  <c r="V181" i="52"/>
  <c r="V167" i="52"/>
  <c r="V165" i="52"/>
  <c r="T221" i="52" s="1"/>
  <c r="V149" i="52"/>
  <c r="B136" i="52"/>
  <c r="B196" i="52" s="1"/>
  <c r="B292" i="52" s="1"/>
  <c r="T123" i="52"/>
  <c r="T121" i="52"/>
  <c r="T114" i="52"/>
  <c r="A114" i="52"/>
  <c r="A115" i="52" s="1"/>
  <c r="A116" i="52" s="1"/>
  <c r="A117" i="52" s="1"/>
  <c r="A118" i="52" s="1"/>
  <c r="A119" i="52" s="1"/>
  <c r="A103" i="52"/>
  <c r="A104" i="52" s="1"/>
  <c r="T98" i="52"/>
  <c r="T97" i="52"/>
  <c r="T96" i="52"/>
  <c r="V96" i="52"/>
  <c r="V100" i="52" s="1"/>
  <c r="N87" i="52"/>
  <c r="V82" i="52"/>
  <c r="V81" i="52"/>
  <c r="T71" i="52"/>
  <c r="R71" i="52"/>
  <c r="P71" i="52"/>
  <c r="N71" i="52"/>
  <c r="N84" i="52" s="1"/>
  <c r="L71" i="52"/>
  <c r="L84" i="52" s="1"/>
  <c r="V69" i="52"/>
  <c r="V68" i="52"/>
  <c r="R58" i="52"/>
  <c r="R57" i="52"/>
  <c r="V50" i="52"/>
  <c r="P43" i="52"/>
  <c r="L43" i="52"/>
  <c r="F43" i="52"/>
  <c r="R36" i="52"/>
  <c r="P36" i="52"/>
  <c r="N36" i="52"/>
  <c r="L36" i="52"/>
  <c r="J36" i="52"/>
  <c r="H36" i="52"/>
  <c r="F36" i="52"/>
  <c r="D36" i="52"/>
  <c r="R35" i="52"/>
  <c r="P35" i="52"/>
  <c r="N35" i="52"/>
  <c r="L35" i="52"/>
  <c r="J35" i="52"/>
  <c r="H35" i="52"/>
  <c r="F35" i="52"/>
  <c r="D35" i="52"/>
  <c r="V34" i="52"/>
  <c r="V140" i="52" s="1"/>
  <c r="R33" i="52"/>
  <c r="P33" i="52"/>
  <c r="N33" i="52"/>
  <c r="L33" i="52"/>
  <c r="J33" i="52"/>
  <c r="H33" i="52"/>
  <c r="F33" i="52"/>
  <c r="D33" i="52"/>
  <c r="R32" i="52"/>
  <c r="P32" i="52"/>
  <c r="N32" i="52"/>
  <c r="L32" i="52"/>
  <c r="J32" i="52"/>
  <c r="H32" i="52"/>
  <c r="F32" i="52"/>
  <c r="D32" i="52"/>
  <c r="V71" i="52" l="1"/>
  <c r="V174" i="52" s="1"/>
  <c r="V36" i="52"/>
  <c r="T100" i="52"/>
  <c r="S179" i="52"/>
  <c r="S259" i="52"/>
  <c r="S262" i="52"/>
  <c r="S216" i="52"/>
  <c r="S263" i="52"/>
  <c r="S261" i="52"/>
  <c r="S265" i="52"/>
  <c r="S266" i="52"/>
  <c r="S260" i="52"/>
  <c r="U250" i="52"/>
  <c r="U249" i="52"/>
  <c r="U247" i="52"/>
  <c r="U251" i="52"/>
  <c r="U248" i="52"/>
  <c r="U252" i="52"/>
  <c r="U253" i="52"/>
  <c r="S247" i="52"/>
  <c r="R282" i="52"/>
  <c r="S251" i="52"/>
  <c r="S248" i="52"/>
  <c r="S254" i="52"/>
  <c r="S249" i="52"/>
  <c r="S253" i="52"/>
  <c r="S250" i="52"/>
  <c r="U261" i="52"/>
  <c r="U259" i="52"/>
  <c r="U263" i="52"/>
  <c r="R244" i="52"/>
  <c r="S240" i="52" s="1"/>
  <c r="U266" i="52"/>
  <c r="T132" i="52"/>
  <c r="T216" i="52"/>
  <c r="T244" i="52"/>
  <c r="U240" i="52" s="1"/>
  <c r="U260" i="52"/>
  <c r="U262" i="52"/>
  <c r="U264" i="52"/>
  <c r="T282" i="52"/>
  <c r="V51" i="52"/>
  <c r="V35" i="52"/>
  <c r="V43" i="52" s="1"/>
  <c r="T203" i="52" s="1"/>
  <c r="T204" i="52" s="1"/>
  <c r="V191" i="52"/>
  <c r="V119" i="52"/>
  <c r="V189" i="52"/>
  <c r="T205" i="52"/>
  <c r="V187" i="52"/>
  <c r="V52" i="52"/>
  <c r="V166" i="52"/>
  <c r="V168" i="52" s="1"/>
  <c r="V169" i="51"/>
  <c r="V132" i="52" l="1"/>
  <c r="V133" i="52" s="1"/>
  <c r="V84" i="52"/>
  <c r="V175" i="52" s="1"/>
  <c r="T133" i="52"/>
  <c r="S268" i="52"/>
  <c r="U239" i="52"/>
  <c r="U235" i="52"/>
  <c r="U256" i="52"/>
  <c r="U236" i="52"/>
  <c r="U237" i="52"/>
  <c r="U241" i="52"/>
  <c r="U238" i="52"/>
  <c r="U242" i="52"/>
  <c r="S256" i="52"/>
  <c r="S237" i="52"/>
  <c r="S238" i="52"/>
  <c r="S241" i="52"/>
  <c r="S242" i="52"/>
  <c r="S235" i="52"/>
  <c r="S239" i="52"/>
  <c r="S236" i="52"/>
  <c r="U268" i="52"/>
  <c r="V106" i="51"/>
  <c r="V104" i="51"/>
  <c r="V91" i="51"/>
  <c r="V90" i="51"/>
  <c r="T89" i="51"/>
  <c r="U244" i="52" l="1"/>
  <c r="S244" i="52"/>
  <c r="P44" i="51"/>
  <c r="L44" i="51"/>
  <c r="F44" i="51"/>
  <c r="U280" i="51" l="1"/>
  <c r="T280" i="51"/>
  <c r="S280" i="51"/>
  <c r="R280" i="51"/>
  <c r="S217" i="51" s="1"/>
  <c r="T268" i="51"/>
  <c r="U266" i="51" s="1"/>
  <c r="R268" i="51"/>
  <c r="S266" i="51" s="1"/>
  <c r="U265" i="51"/>
  <c r="S265" i="51"/>
  <c r="U263" i="51"/>
  <c r="S263" i="51"/>
  <c r="U261" i="51"/>
  <c r="S261" i="51"/>
  <c r="U259" i="51"/>
  <c r="S259" i="51"/>
  <c r="T256" i="51"/>
  <c r="U254" i="51" s="1"/>
  <c r="R256" i="51"/>
  <c r="S252" i="51" s="1"/>
  <c r="T242" i="51"/>
  <c r="R242" i="51"/>
  <c r="T241" i="51"/>
  <c r="R241" i="51"/>
  <c r="T240" i="51"/>
  <c r="R240" i="51"/>
  <c r="T239" i="51"/>
  <c r="R239" i="51"/>
  <c r="T238" i="51"/>
  <c r="R238" i="51"/>
  <c r="T237" i="51"/>
  <c r="R237" i="51"/>
  <c r="T236" i="51"/>
  <c r="R236" i="51"/>
  <c r="T235" i="51"/>
  <c r="R235" i="51"/>
  <c r="T217" i="51"/>
  <c r="T211" i="51"/>
  <c r="V181" i="51"/>
  <c r="V167" i="51"/>
  <c r="V165" i="51"/>
  <c r="T221" i="51" s="1"/>
  <c r="V149" i="51"/>
  <c r="B136" i="51"/>
  <c r="B196" i="51" s="1"/>
  <c r="B290" i="51" s="1"/>
  <c r="T123" i="51"/>
  <c r="T121" i="51"/>
  <c r="T114" i="51"/>
  <c r="A114" i="51"/>
  <c r="A115" i="51" s="1"/>
  <c r="A116" i="51" s="1"/>
  <c r="A117" i="51" s="1"/>
  <c r="A118" i="51" s="1"/>
  <c r="A119" i="51" s="1"/>
  <c r="A103" i="51"/>
  <c r="A104" i="51" s="1"/>
  <c r="T98" i="51"/>
  <c r="T97" i="51"/>
  <c r="T96" i="51"/>
  <c r="V96" i="51"/>
  <c r="V100" i="51" s="1"/>
  <c r="V119" i="51" s="1"/>
  <c r="N87" i="51"/>
  <c r="V82" i="51"/>
  <c r="V81" i="51"/>
  <c r="T71" i="51"/>
  <c r="N71" i="51"/>
  <c r="N84" i="51" s="1"/>
  <c r="L71" i="51"/>
  <c r="L84" i="51" s="1"/>
  <c r="V69" i="51"/>
  <c r="R71" i="51"/>
  <c r="P71" i="51"/>
  <c r="R58" i="51"/>
  <c r="R57" i="51"/>
  <c r="V50" i="51"/>
  <c r="P43" i="51"/>
  <c r="L43" i="51"/>
  <c r="F43" i="51"/>
  <c r="R36" i="51"/>
  <c r="P36" i="51"/>
  <c r="N36" i="51"/>
  <c r="L36" i="51"/>
  <c r="J36" i="51"/>
  <c r="H36" i="51"/>
  <c r="F36" i="51"/>
  <c r="D36" i="51"/>
  <c r="R35" i="51"/>
  <c r="P35" i="51"/>
  <c r="N35" i="51"/>
  <c r="L35" i="51"/>
  <c r="J35" i="51"/>
  <c r="H35" i="51"/>
  <c r="F35" i="51"/>
  <c r="D35" i="51"/>
  <c r="V34" i="51"/>
  <c r="S179" i="51" s="1"/>
  <c r="R33" i="51"/>
  <c r="P33" i="51"/>
  <c r="N33" i="51"/>
  <c r="L33" i="51"/>
  <c r="J33" i="51"/>
  <c r="H33" i="51"/>
  <c r="F33" i="51"/>
  <c r="D33" i="51"/>
  <c r="R32" i="51"/>
  <c r="P32" i="51"/>
  <c r="N32" i="51"/>
  <c r="L32" i="51"/>
  <c r="J32" i="51"/>
  <c r="H32" i="51"/>
  <c r="F32" i="51"/>
  <c r="D32" i="51"/>
  <c r="T132" i="51" l="1"/>
  <c r="U248" i="51"/>
  <c r="S251" i="51"/>
  <c r="S247" i="51"/>
  <c r="U249" i="51"/>
  <c r="S253" i="51"/>
  <c r="S249" i="51"/>
  <c r="U251" i="51"/>
  <c r="U247" i="51"/>
  <c r="U250" i="51"/>
  <c r="S254" i="51"/>
  <c r="S216" i="51"/>
  <c r="V166" i="51"/>
  <c r="V168" i="51" s="1"/>
  <c r="T216" i="51"/>
  <c r="S260" i="51"/>
  <c r="S262" i="51"/>
  <c r="S264" i="51"/>
  <c r="V35" i="51"/>
  <c r="V43" i="51" s="1"/>
  <c r="T203" i="51" s="1"/>
  <c r="T204" i="51" s="1"/>
  <c r="T100" i="51"/>
  <c r="T133" i="51" s="1"/>
  <c r="S248" i="51"/>
  <c r="S250" i="51"/>
  <c r="U260" i="51"/>
  <c r="U262" i="51"/>
  <c r="U264" i="51"/>
  <c r="V51" i="51"/>
  <c r="V36" i="51"/>
  <c r="U252" i="51"/>
  <c r="T244" i="51"/>
  <c r="U235" i="51" s="1"/>
  <c r="T282" i="51"/>
  <c r="U253" i="51"/>
  <c r="R244" i="51"/>
  <c r="S241" i="51" s="1"/>
  <c r="R282" i="51"/>
  <c r="T205" i="51"/>
  <c r="V191" i="51"/>
  <c r="V187" i="51"/>
  <c r="V132" i="51"/>
  <c r="V133" i="51" s="1"/>
  <c r="V189" i="51"/>
  <c r="S238" i="51"/>
  <c r="S237" i="51"/>
  <c r="V52" i="51"/>
  <c r="V68" i="51"/>
  <c r="V71" i="51" s="1"/>
  <c r="V140" i="51"/>
  <c r="T89" i="50"/>
  <c r="P68" i="50"/>
  <c r="P71" i="50" s="1"/>
  <c r="R68" i="50"/>
  <c r="R71" i="50" s="1"/>
  <c r="V106" i="50"/>
  <c r="V104" i="50"/>
  <c r="V91" i="50"/>
  <c r="V90" i="50"/>
  <c r="S181" i="50"/>
  <c r="P44" i="50"/>
  <c r="L44" i="50"/>
  <c r="F44" i="50"/>
  <c r="T219" i="2"/>
  <c r="T219" i="3"/>
  <c r="V164" i="4"/>
  <c r="T219" i="4" s="1"/>
  <c r="V164" i="5"/>
  <c r="V165" i="6"/>
  <c r="T220" i="6" s="1"/>
  <c r="V165" i="7"/>
  <c r="T220" i="7" s="1"/>
  <c r="V165" i="9"/>
  <c r="T220" i="9" s="1"/>
  <c r="V165" i="10"/>
  <c r="V165" i="11"/>
  <c r="T220" i="11" s="1"/>
  <c r="V165" i="12"/>
  <c r="T220" i="12"/>
  <c r="V165" i="13"/>
  <c r="T220" i="13" s="1"/>
  <c r="V165" i="14"/>
  <c r="T221" i="14" s="1"/>
  <c r="V165" i="15"/>
  <c r="T221" i="15" s="1"/>
  <c r="V165" i="16"/>
  <c r="V164" i="17"/>
  <c r="T220" i="17" s="1"/>
  <c r="V164" i="18"/>
  <c r="T220" i="18" s="1"/>
  <c r="V164" i="19"/>
  <c r="T220" i="19" s="1"/>
  <c r="V164" i="20"/>
  <c r="T220" i="20" s="1"/>
  <c r="V164" i="21"/>
  <c r="V164" i="22"/>
  <c r="T220" i="22" s="1"/>
  <c r="V164" i="23"/>
  <c r="T220" i="23" s="1"/>
  <c r="V164" i="24"/>
  <c r="T220" i="24" s="1"/>
  <c r="V164" i="25"/>
  <c r="T220" i="25" s="1"/>
  <c r="V164" i="26"/>
  <c r="T220" i="26" s="1"/>
  <c r="V165" i="27"/>
  <c r="T221" i="27" s="1"/>
  <c r="V165" i="28"/>
  <c r="T221" i="28" s="1"/>
  <c r="V165" i="29"/>
  <c r="T221" i="29" s="1"/>
  <c r="V165" i="30"/>
  <c r="T221" i="30" s="1"/>
  <c r="V165" i="31"/>
  <c r="T221" i="31" s="1"/>
  <c r="V165" i="32"/>
  <c r="T221" i="32" s="1"/>
  <c r="V165" i="33"/>
  <c r="T221" i="33" s="1"/>
  <c r="V165" i="34"/>
  <c r="T221" i="34" s="1"/>
  <c r="V165" i="35"/>
  <c r="T221" i="35" s="1"/>
  <c r="V165" i="36"/>
  <c r="V165" i="37"/>
  <c r="T221" i="37" s="1"/>
  <c r="V165" i="38"/>
  <c r="V165" i="39"/>
  <c r="T221" i="39" s="1"/>
  <c r="V165" i="40"/>
  <c r="T221" i="40" s="1"/>
  <c r="V165" i="41"/>
  <c r="V165" i="42"/>
  <c r="V165" i="43"/>
  <c r="T221" i="43" s="1"/>
  <c r="V165" i="44"/>
  <c r="T221" i="44" s="1"/>
  <c r="V165" i="45"/>
  <c r="V165" i="46"/>
  <c r="T221" i="46" s="1"/>
  <c r="V165" i="47"/>
  <c r="V165" i="48"/>
  <c r="V165" i="49"/>
  <c r="V165" i="50"/>
  <c r="T221" i="50"/>
  <c r="T179" i="1"/>
  <c r="T178" i="2" s="1"/>
  <c r="T180" i="2" s="1"/>
  <c r="T178" i="3" s="1"/>
  <c r="T180" i="3" s="1"/>
  <c r="T178" i="4" s="1"/>
  <c r="T180" i="4" s="1"/>
  <c r="T178" i="5" s="1"/>
  <c r="T180" i="5" s="1"/>
  <c r="T179" i="6" s="1"/>
  <c r="T181" i="6" s="1"/>
  <c r="T179" i="7" s="1"/>
  <c r="T181" i="7" s="1"/>
  <c r="T179" i="9" s="1"/>
  <c r="T181" i="9" s="1"/>
  <c r="T179" i="10" s="1"/>
  <c r="T181" i="10" s="1"/>
  <c r="T179" i="11" s="1"/>
  <c r="T181" i="11" s="1"/>
  <c r="T179" i="12" s="1"/>
  <c r="T181" i="12" s="1"/>
  <c r="T179" i="13" s="1"/>
  <c r="T181" i="13" s="1"/>
  <c r="T180" i="14" s="1"/>
  <c r="T182" i="14" s="1"/>
  <c r="T180" i="15" s="1"/>
  <c r="T182" i="15" s="1"/>
  <c r="T180" i="16" s="1"/>
  <c r="T182" i="16" s="1"/>
  <c r="T179" i="17" s="1"/>
  <c r="T181" i="17" s="1"/>
  <c r="T179" i="18" s="1"/>
  <c r="T181" i="18" s="1"/>
  <c r="T179" i="19" s="1"/>
  <c r="T181" i="19" s="1"/>
  <c r="T179" i="20" s="1"/>
  <c r="T181" i="20" s="1"/>
  <c r="T179" i="21" s="1"/>
  <c r="T181" i="21" s="1"/>
  <c r="T179" i="22" s="1"/>
  <c r="T181" i="22" s="1"/>
  <c r="T179" i="23" s="1"/>
  <c r="T181" i="23" s="1"/>
  <c r="T179" i="24" s="1"/>
  <c r="T181" i="24" s="1"/>
  <c r="T179" i="25" s="1"/>
  <c r="T181" i="25" s="1"/>
  <c r="T179" i="26" s="1"/>
  <c r="T181" i="26" s="1"/>
  <c r="T180" i="27" s="1"/>
  <c r="T182" i="27" s="1"/>
  <c r="T180" i="28" s="1"/>
  <c r="T182" i="28" s="1"/>
  <c r="T180" i="29" s="1"/>
  <c r="T182" i="29" s="1"/>
  <c r="T180" i="30" s="1"/>
  <c r="T182" i="30" s="1"/>
  <c r="T180" i="31" s="1"/>
  <c r="T182" i="31" s="1"/>
  <c r="T180" i="32" s="1"/>
  <c r="T182" i="32" s="1"/>
  <c r="T180" i="33" s="1"/>
  <c r="T182" i="33" s="1"/>
  <c r="T180" i="34" s="1"/>
  <c r="T182" i="34" s="1"/>
  <c r="T180" i="35" s="1"/>
  <c r="T182" i="35" s="1"/>
  <c r="T180" i="36" s="1"/>
  <c r="T182" i="36" s="1"/>
  <c r="T180" i="37" s="1"/>
  <c r="T182" i="37" s="1"/>
  <c r="T180" i="38" s="1"/>
  <c r="T182" i="38" s="1"/>
  <c r="T180" i="39" s="1"/>
  <c r="T182" i="39" s="1"/>
  <c r="T180" i="40" s="1"/>
  <c r="T182" i="40" s="1"/>
  <c r="T180" i="41" s="1"/>
  <c r="T182" i="41" s="1"/>
  <c r="T180" i="42" s="1"/>
  <c r="T182" i="42" s="1"/>
  <c r="T180" i="43" s="1"/>
  <c r="T182" i="43" s="1"/>
  <c r="T180" i="44" s="1"/>
  <c r="T182" i="44" s="1"/>
  <c r="T180" i="45" s="1"/>
  <c r="T182" i="45" s="1"/>
  <c r="T180" i="46" s="1"/>
  <c r="T182" i="46" s="1"/>
  <c r="T180" i="47" s="1"/>
  <c r="T182" i="47" s="1"/>
  <c r="T180" i="48" s="1"/>
  <c r="T182" i="48" s="1"/>
  <c r="T180" i="49" s="1"/>
  <c r="T182" i="49" s="1"/>
  <c r="T180" i="50" s="1"/>
  <c r="T182" i="50" s="1"/>
  <c r="T180" i="51" s="1"/>
  <c r="T182" i="51" s="1"/>
  <c r="T180" i="52" s="1"/>
  <c r="T182" i="52" s="1"/>
  <c r="T185" i="53" s="1"/>
  <c r="T187" i="53" s="1"/>
  <c r="T186" i="54" s="1"/>
  <c r="T188" i="54" s="1"/>
  <c r="T186" i="55" s="1"/>
  <c r="T188" i="55" s="1"/>
  <c r="T186" i="56" s="1"/>
  <c r="T188" i="56" s="1"/>
  <c r="T186" i="57" s="1"/>
  <c r="S179" i="1"/>
  <c r="S178" i="2" s="1"/>
  <c r="S180" i="2" s="1"/>
  <c r="S178" i="3" s="1"/>
  <c r="S180" i="3" s="1"/>
  <c r="S178" i="4" s="1"/>
  <c r="S180" i="4" s="1"/>
  <c r="S178" i="5" s="1"/>
  <c r="S180" i="5" s="1"/>
  <c r="S179" i="6" s="1"/>
  <c r="S181" i="6" s="1"/>
  <c r="S179" i="7" s="1"/>
  <c r="S180" i="7"/>
  <c r="S180" i="9"/>
  <c r="T123" i="9" s="1"/>
  <c r="S180" i="10"/>
  <c r="S180" i="11"/>
  <c r="S180" i="12"/>
  <c r="S180" i="13"/>
  <c r="T123" i="13" s="1"/>
  <c r="S181" i="14"/>
  <c r="T123" i="14" s="1"/>
  <c r="S181" i="15"/>
  <c r="S181" i="16"/>
  <c r="S180" i="18"/>
  <c r="S180" i="21"/>
  <c r="T122" i="21" s="1"/>
  <c r="S181" i="29"/>
  <c r="S181" i="30"/>
  <c r="S181" i="31"/>
  <c r="S181" i="32"/>
  <c r="S181" i="33"/>
  <c r="S181" i="34"/>
  <c r="S181" i="35"/>
  <c r="S181" i="36"/>
  <c r="S181" i="38"/>
  <c r="S181" i="39"/>
  <c r="S181" i="40"/>
  <c r="S181" i="41"/>
  <c r="S181" i="43"/>
  <c r="S181" i="45"/>
  <c r="S181" i="46"/>
  <c r="S181" i="48"/>
  <c r="T280" i="50"/>
  <c r="T217" i="50" s="1"/>
  <c r="T268" i="50"/>
  <c r="U261" i="50" s="1"/>
  <c r="T256" i="50"/>
  <c r="U248" i="50" s="1"/>
  <c r="U280" i="50"/>
  <c r="S280" i="50"/>
  <c r="R280" i="50"/>
  <c r="S217" i="50" s="1"/>
  <c r="R268" i="50"/>
  <c r="S259" i="50" s="1"/>
  <c r="R256" i="50"/>
  <c r="S253" i="50" s="1"/>
  <c r="T242" i="50"/>
  <c r="R242" i="50"/>
  <c r="T241" i="50"/>
  <c r="R241" i="50"/>
  <c r="T240" i="50"/>
  <c r="R240" i="50"/>
  <c r="T239" i="50"/>
  <c r="R239" i="50"/>
  <c r="T238" i="50"/>
  <c r="R238" i="50"/>
  <c r="T237" i="50"/>
  <c r="R237" i="50"/>
  <c r="T236" i="50"/>
  <c r="R236" i="50"/>
  <c r="T235" i="50"/>
  <c r="R235" i="50"/>
  <c r="F43" i="1"/>
  <c r="L43" i="1"/>
  <c r="P43" i="1"/>
  <c r="V34" i="1"/>
  <c r="V52" i="1" s="1"/>
  <c r="V34" i="50"/>
  <c r="V167" i="50"/>
  <c r="V166" i="50"/>
  <c r="V149" i="50"/>
  <c r="B136" i="50"/>
  <c r="B196" i="50" s="1"/>
  <c r="B290" i="50" s="1"/>
  <c r="T121" i="50"/>
  <c r="T114" i="50"/>
  <c r="A114" i="50"/>
  <c r="A115" i="50" s="1"/>
  <c r="A116" i="50" s="1"/>
  <c r="A117" i="50" s="1"/>
  <c r="A118" i="50" s="1"/>
  <c r="A119" i="50" s="1"/>
  <c r="A103" i="50"/>
  <c r="A104" i="50" s="1"/>
  <c r="T98" i="50"/>
  <c r="T97" i="50"/>
  <c r="T96" i="50"/>
  <c r="N87" i="50"/>
  <c r="V82" i="50"/>
  <c r="V81" i="50"/>
  <c r="T71" i="50"/>
  <c r="N71" i="50"/>
  <c r="N84" i="50" s="1"/>
  <c r="L71" i="50"/>
  <c r="L84" i="50" s="1"/>
  <c r="V69" i="50"/>
  <c r="R58" i="50"/>
  <c r="R57" i="50"/>
  <c r="V50" i="50"/>
  <c r="P43" i="50"/>
  <c r="L43" i="50"/>
  <c r="F43" i="50"/>
  <c r="R36" i="50"/>
  <c r="P36" i="50"/>
  <c r="N36" i="50"/>
  <c r="L36" i="50"/>
  <c r="D36" i="50"/>
  <c r="F36" i="50"/>
  <c r="H36" i="50"/>
  <c r="J36" i="50"/>
  <c r="R35" i="50"/>
  <c r="P35" i="50"/>
  <c r="N35" i="50"/>
  <c r="L35" i="50"/>
  <c r="J35" i="50"/>
  <c r="H35" i="50"/>
  <c r="F35" i="50"/>
  <c r="D35" i="50"/>
  <c r="R33" i="50"/>
  <c r="P33" i="50"/>
  <c r="N33" i="50"/>
  <c r="L33" i="50"/>
  <c r="J33" i="50"/>
  <c r="H33" i="50"/>
  <c r="F33" i="50"/>
  <c r="D33" i="50"/>
  <c r="R32" i="50"/>
  <c r="P32" i="50"/>
  <c r="N32" i="50"/>
  <c r="L32" i="50"/>
  <c r="J32" i="50"/>
  <c r="H32" i="50"/>
  <c r="F32" i="50"/>
  <c r="D32" i="50"/>
  <c r="T89" i="49"/>
  <c r="T96" i="49" s="1"/>
  <c r="D36" i="49"/>
  <c r="F36" i="49"/>
  <c r="H36" i="49"/>
  <c r="J36" i="49"/>
  <c r="L36" i="49"/>
  <c r="N36" i="49"/>
  <c r="P36" i="49"/>
  <c r="R36" i="49"/>
  <c r="P68" i="49"/>
  <c r="V106" i="49"/>
  <c r="V104" i="49"/>
  <c r="V91" i="49"/>
  <c r="V90" i="49"/>
  <c r="R33" i="49"/>
  <c r="P33" i="49"/>
  <c r="N33" i="49"/>
  <c r="L33" i="49"/>
  <c r="R32" i="49"/>
  <c r="P32" i="49"/>
  <c r="N32" i="49"/>
  <c r="L32" i="49"/>
  <c r="R35" i="49"/>
  <c r="P35" i="49"/>
  <c r="N35" i="49"/>
  <c r="L35" i="49"/>
  <c r="P44" i="49"/>
  <c r="L44" i="49"/>
  <c r="F44" i="49"/>
  <c r="U280" i="49"/>
  <c r="T280" i="49"/>
  <c r="T217" i="49" s="1"/>
  <c r="S280" i="49"/>
  <c r="R280" i="49"/>
  <c r="T268" i="49"/>
  <c r="U262" i="49" s="1"/>
  <c r="R268" i="49"/>
  <c r="T256" i="49"/>
  <c r="U247" i="49" s="1"/>
  <c r="R256" i="49"/>
  <c r="S251" i="49" s="1"/>
  <c r="T242" i="49"/>
  <c r="R242" i="49"/>
  <c r="T241" i="49"/>
  <c r="R241" i="49"/>
  <c r="T240" i="49"/>
  <c r="R240" i="49"/>
  <c r="T239" i="49"/>
  <c r="R239" i="49"/>
  <c r="T238" i="49"/>
  <c r="R238" i="49"/>
  <c r="T237" i="49"/>
  <c r="R237" i="49"/>
  <c r="T236" i="49"/>
  <c r="R236" i="49"/>
  <c r="T235" i="49"/>
  <c r="R235" i="49"/>
  <c r="V181" i="49"/>
  <c r="V169" i="49"/>
  <c r="V167" i="49"/>
  <c r="V149" i="49"/>
  <c r="V34" i="49"/>
  <c r="V140" i="49" s="1"/>
  <c r="B136" i="49"/>
  <c r="B196" i="49" s="1"/>
  <c r="B290" i="49" s="1"/>
  <c r="T123" i="49"/>
  <c r="T121" i="49"/>
  <c r="T114" i="49"/>
  <c r="A114" i="49"/>
  <c r="A115" i="49" s="1"/>
  <c r="A116" i="49" s="1"/>
  <c r="A117" i="49" s="1"/>
  <c r="A118" i="49" s="1"/>
  <c r="A119" i="49" s="1"/>
  <c r="A103" i="49"/>
  <c r="A104" i="49" s="1"/>
  <c r="T98" i="49"/>
  <c r="T97" i="49"/>
  <c r="N87" i="49"/>
  <c r="V82" i="49"/>
  <c r="V81" i="49"/>
  <c r="T71" i="49"/>
  <c r="N71" i="49"/>
  <c r="N84" i="49" s="1"/>
  <c r="L71" i="49"/>
  <c r="L84" i="49" s="1"/>
  <c r="V69" i="49"/>
  <c r="R71" i="49"/>
  <c r="R58" i="49"/>
  <c r="R57" i="49"/>
  <c r="V50" i="49"/>
  <c r="P43" i="49"/>
  <c r="L43" i="49"/>
  <c r="F43" i="49"/>
  <c r="J35" i="49"/>
  <c r="H35" i="49"/>
  <c r="F35" i="49"/>
  <c r="D35" i="49"/>
  <c r="S179" i="49"/>
  <c r="J33" i="49"/>
  <c r="H33" i="49"/>
  <c r="F33" i="49"/>
  <c r="D33" i="49"/>
  <c r="J32" i="49"/>
  <c r="H32" i="49"/>
  <c r="F32" i="49"/>
  <c r="D32" i="49"/>
  <c r="V52" i="49"/>
  <c r="V104" i="48"/>
  <c r="V106" i="48"/>
  <c r="V90" i="48"/>
  <c r="V91" i="48"/>
  <c r="T89" i="48"/>
  <c r="T96" i="48" s="1"/>
  <c r="R68" i="48"/>
  <c r="P68" i="48"/>
  <c r="P71" i="48" s="1"/>
  <c r="P44" i="48"/>
  <c r="L44" i="48"/>
  <c r="F44" i="48"/>
  <c r="U280" i="48"/>
  <c r="T280" i="48"/>
  <c r="T217" i="48" s="1"/>
  <c r="S280" i="48"/>
  <c r="R280" i="48"/>
  <c r="S217" i="48" s="1"/>
  <c r="T268" i="48"/>
  <c r="U266" i="48" s="1"/>
  <c r="R268" i="48"/>
  <c r="T256" i="48"/>
  <c r="U251" i="48" s="1"/>
  <c r="R256" i="48"/>
  <c r="S253" i="48" s="1"/>
  <c r="T242" i="48"/>
  <c r="R242" i="48"/>
  <c r="T241" i="48"/>
  <c r="R241" i="48"/>
  <c r="T240" i="48"/>
  <c r="R240" i="48"/>
  <c r="T239" i="48"/>
  <c r="R239" i="48"/>
  <c r="T238" i="48"/>
  <c r="R238" i="48"/>
  <c r="T237" i="48"/>
  <c r="R237" i="48"/>
  <c r="T236" i="48"/>
  <c r="R236" i="48"/>
  <c r="T235" i="48"/>
  <c r="R235" i="48"/>
  <c r="T216" i="48"/>
  <c r="V34" i="48"/>
  <c r="V52" i="48" s="1"/>
  <c r="V169" i="48"/>
  <c r="V167" i="48"/>
  <c r="V149" i="48"/>
  <c r="B136" i="48"/>
  <c r="B196" i="48" s="1"/>
  <c r="B290" i="48" s="1"/>
  <c r="T121" i="48"/>
  <c r="T114" i="48"/>
  <c r="A114" i="48"/>
  <c r="A115" i="48" s="1"/>
  <c r="A116" i="48" s="1"/>
  <c r="A117" i="48" s="1"/>
  <c r="A118" i="48" s="1"/>
  <c r="A119" i="48" s="1"/>
  <c r="A103" i="48"/>
  <c r="A104" i="48" s="1"/>
  <c r="T98" i="48"/>
  <c r="T97" i="48"/>
  <c r="N87" i="48"/>
  <c r="V82" i="48"/>
  <c r="V81" i="48"/>
  <c r="T71" i="48"/>
  <c r="N71" i="48"/>
  <c r="N84" i="48" s="1"/>
  <c r="L71" i="48"/>
  <c r="L84" i="48" s="1"/>
  <c r="V69" i="48"/>
  <c r="R58" i="48"/>
  <c r="R57" i="48"/>
  <c r="V50" i="48"/>
  <c r="P43" i="48"/>
  <c r="L43" i="48"/>
  <c r="F43" i="48"/>
  <c r="R36" i="48"/>
  <c r="P36" i="48"/>
  <c r="N36" i="48"/>
  <c r="L36" i="48"/>
  <c r="J36" i="48"/>
  <c r="H36" i="48"/>
  <c r="F36" i="48"/>
  <c r="D36" i="48"/>
  <c r="R35" i="48"/>
  <c r="P35" i="48"/>
  <c r="N35" i="48"/>
  <c r="L35" i="48"/>
  <c r="J35" i="48"/>
  <c r="H35" i="48"/>
  <c r="F35" i="48"/>
  <c r="D35" i="48"/>
  <c r="R33" i="48"/>
  <c r="P33" i="48"/>
  <c r="N33" i="48"/>
  <c r="L33" i="48"/>
  <c r="J33" i="48"/>
  <c r="H33" i="48"/>
  <c r="F33" i="48"/>
  <c r="D33" i="48"/>
  <c r="R32" i="48"/>
  <c r="P32" i="48"/>
  <c r="N32" i="48"/>
  <c r="L32" i="48"/>
  <c r="J32" i="48"/>
  <c r="H32" i="48"/>
  <c r="F32" i="48"/>
  <c r="D32" i="48"/>
  <c r="U261" i="48"/>
  <c r="T211" i="48"/>
  <c r="V106" i="47"/>
  <c r="V104" i="47"/>
  <c r="V91" i="47"/>
  <c r="V90" i="47"/>
  <c r="T89" i="47"/>
  <c r="P68" i="47"/>
  <c r="P44" i="47"/>
  <c r="L44" i="47"/>
  <c r="F44" i="47"/>
  <c r="U280" i="47"/>
  <c r="T280" i="47"/>
  <c r="T217" i="47" s="1"/>
  <c r="S280" i="47"/>
  <c r="R280" i="47"/>
  <c r="S217" i="47" s="1"/>
  <c r="T268" i="47"/>
  <c r="R268" i="47"/>
  <c r="S216" i="47" s="1"/>
  <c r="T256" i="47"/>
  <c r="U254" i="47"/>
  <c r="R256" i="47"/>
  <c r="S253" i="47" s="1"/>
  <c r="T242" i="47"/>
  <c r="R242" i="47"/>
  <c r="T241" i="47"/>
  <c r="R241" i="47"/>
  <c r="T240" i="47"/>
  <c r="R240" i="47"/>
  <c r="T239" i="47"/>
  <c r="R239" i="47"/>
  <c r="T238" i="47"/>
  <c r="R238" i="47"/>
  <c r="T237" i="47"/>
  <c r="R237" i="47"/>
  <c r="T236" i="47"/>
  <c r="R236" i="47"/>
  <c r="T235" i="47"/>
  <c r="R235" i="47"/>
  <c r="V181" i="47"/>
  <c r="V169" i="47"/>
  <c r="V167" i="47"/>
  <c r="V149" i="47"/>
  <c r="B136" i="47"/>
  <c r="B196" i="47" s="1"/>
  <c r="B290" i="47" s="1"/>
  <c r="T121" i="47"/>
  <c r="T114" i="47"/>
  <c r="A114" i="47"/>
  <c r="A115" i="47" s="1"/>
  <c r="A116" i="47" s="1"/>
  <c r="A117" i="47" s="1"/>
  <c r="A118" i="47" s="1"/>
  <c r="A119" i="47" s="1"/>
  <c r="A103" i="47"/>
  <c r="A104" i="47" s="1"/>
  <c r="T98" i="47"/>
  <c r="T97" i="47"/>
  <c r="T96" i="47"/>
  <c r="N87" i="47"/>
  <c r="V82" i="47"/>
  <c r="V81" i="47"/>
  <c r="T71" i="47"/>
  <c r="N71" i="47"/>
  <c r="N84" i="47" s="1"/>
  <c r="L71" i="47"/>
  <c r="L84" i="47" s="1"/>
  <c r="V69" i="47"/>
  <c r="R71" i="47"/>
  <c r="R58" i="47"/>
  <c r="R57" i="47"/>
  <c r="V50" i="47"/>
  <c r="P43" i="47"/>
  <c r="L43" i="47"/>
  <c r="F43" i="47"/>
  <c r="R36" i="47"/>
  <c r="P36" i="47"/>
  <c r="N36" i="47"/>
  <c r="L36" i="47"/>
  <c r="J36" i="47"/>
  <c r="H36" i="47"/>
  <c r="F36" i="47"/>
  <c r="D36" i="47"/>
  <c r="R35" i="47"/>
  <c r="P35" i="47"/>
  <c r="N35" i="47"/>
  <c r="L35" i="47"/>
  <c r="J35" i="47"/>
  <c r="H35" i="47"/>
  <c r="F35" i="47"/>
  <c r="D35" i="47"/>
  <c r="V34" i="47"/>
  <c r="S179" i="47" s="1"/>
  <c r="R33" i="47"/>
  <c r="P33" i="47"/>
  <c r="N33" i="47"/>
  <c r="L33" i="47"/>
  <c r="J33" i="47"/>
  <c r="H33" i="47"/>
  <c r="F33" i="47"/>
  <c r="D33" i="47"/>
  <c r="R32" i="47"/>
  <c r="P32" i="47"/>
  <c r="N32" i="47"/>
  <c r="L32" i="47"/>
  <c r="J32" i="47"/>
  <c r="H32" i="47"/>
  <c r="F32" i="47"/>
  <c r="D32" i="47"/>
  <c r="T123" i="47"/>
  <c r="U247" i="47"/>
  <c r="U248" i="47"/>
  <c r="U249" i="47"/>
  <c r="U250" i="47"/>
  <c r="U251" i="47"/>
  <c r="U252" i="47"/>
  <c r="U253" i="47"/>
  <c r="T89" i="46"/>
  <c r="T96" i="46" s="1"/>
  <c r="T98" i="46"/>
  <c r="T97" i="46"/>
  <c r="T121" i="46"/>
  <c r="T114" i="46"/>
  <c r="D36" i="46"/>
  <c r="F36" i="46"/>
  <c r="H36" i="46"/>
  <c r="J36" i="46"/>
  <c r="L36" i="46"/>
  <c r="N36" i="46"/>
  <c r="P36" i="46"/>
  <c r="R36" i="46"/>
  <c r="V106" i="46"/>
  <c r="V104" i="46"/>
  <c r="V91" i="46"/>
  <c r="V90" i="46"/>
  <c r="R68" i="46"/>
  <c r="R71" i="46" s="1"/>
  <c r="P68" i="46"/>
  <c r="P71" i="46" s="1"/>
  <c r="P44" i="46"/>
  <c r="L44" i="46"/>
  <c r="F44" i="46"/>
  <c r="U280" i="46"/>
  <c r="T280" i="46"/>
  <c r="T217" i="46" s="1"/>
  <c r="S280" i="46"/>
  <c r="R280" i="46"/>
  <c r="T268" i="46"/>
  <c r="U266" i="46" s="1"/>
  <c r="R268" i="46"/>
  <c r="T256" i="46"/>
  <c r="U251" i="46" s="1"/>
  <c r="R256" i="46"/>
  <c r="U250" i="46"/>
  <c r="T242" i="46"/>
  <c r="R242" i="46"/>
  <c r="T241" i="46"/>
  <c r="R241" i="46"/>
  <c r="T240" i="46"/>
  <c r="R240" i="46"/>
  <c r="T239" i="46"/>
  <c r="R239" i="46"/>
  <c r="T238" i="46"/>
  <c r="R238" i="46"/>
  <c r="T237" i="46"/>
  <c r="R237" i="46"/>
  <c r="T236" i="46"/>
  <c r="R236" i="46"/>
  <c r="T235" i="46"/>
  <c r="R235" i="46"/>
  <c r="R244" i="46" s="1"/>
  <c r="S217" i="46"/>
  <c r="V169" i="46"/>
  <c r="V167" i="46"/>
  <c r="V149" i="46"/>
  <c r="V34" i="46"/>
  <c r="B136" i="46"/>
  <c r="B196" i="46" s="1"/>
  <c r="B290" i="46" s="1"/>
  <c r="A114" i="46"/>
  <c r="A115" i="46" s="1"/>
  <c r="A116" i="46" s="1"/>
  <c r="A117" i="46" s="1"/>
  <c r="A118" i="46" s="1"/>
  <c r="A119" i="46" s="1"/>
  <c r="A103" i="46"/>
  <c r="A104" i="46" s="1"/>
  <c r="N87" i="46"/>
  <c r="V82" i="46"/>
  <c r="V81" i="46"/>
  <c r="T71" i="46"/>
  <c r="N71" i="46"/>
  <c r="N84" i="46" s="1"/>
  <c r="L71" i="46"/>
  <c r="L84" i="46" s="1"/>
  <c r="V69" i="46"/>
  <c r="R58" i="46"/>
  <c r="R57" i="46"/>
  <c r="V50" i="46"/>
  <c r="P43" i="46"/>
  <c r="L43" i="46"/>
  <c r="F43" i="46"/>
  <c r="R35" i="46"/>
  <c r="P35" i="46"/>
  <c r="N35" i="46"/>
  <c r="L35" i="46"/>
  <c r="J35" i="46"/>
  <c r="H35" i="46"/>
  <c r="F35" i="46"/>
  <c r="D35" i="46"/>
  <c r="R33" i="46"/>
  <c r="P33" i="46"/>
  <c r="N33" i="46"/>
  <c r="L33" i="46"/>
  <c r="J33" i="46"/>
  <c r="H33" i="46"/>
  <c r="F33" i="46"/>
  <c r="D33" i="46"/>
  <c r="R32" i="46"/>
  <c r="P32" i="46"/>
  <c r="N32" i="46"/>
  <c r="L32" i="46"/>
  <c r="J32" i="46"/>
  <c r="H32" i="46"/>
  <c r="F32" i="46"/>
  <c r="D32" i="46"/>
  <c r="V166" i="46"/>
  <c r="V106" i="45"/>
  <c r="V104" i="45"/>
  <c r="V91" i="45"/>
  <c r="V90" i="45"/>
  <c r="T89" i="45"/>
  <c r="R68" i="45"/>
  <c r="P68" i="45"/>
  <c r="P44" i="45"/>
  <c r="L44" i="45"/>
  <c r="F44" i="45"/>
  <c r="V169" i="45"/>
  <c r="U280" i="45"/>
  <c r="T280" i="45"/>
  <c r="T217" i="45" s="1"/>
  <c r="S280" i="45"/>
  <c r="R280" i="45"/>
  <c r="S217" i="45" s="1"/>
  <c r="T268" i="45"/>
  <c r="U261" i="45" s="1"/>
  <c r="R268" i="45"/>
  <c r="S264" i="45" s="1"/>
  <c r="T256" i="45"/>
  <c r="U247" i="45" s="1"/>
  <c r="R256" i="45"/>
  <c r="S249" i="45" s="1"/>
  <c r="T242" i="45"/>
  <c r="R242" i="45"/>
  <c r="T241" i="45"/>
  <c r="R241" i="45"/>
  <c r="T240" i="45"/>
  <c r="R240" i="45"/>
  <c r="T239" i="45"/>
  <c r="R239" i="45"/>
  <c r="T238" i="45"/>
  <c r="R238" i="45"/>
  <c r="T237" i="45"/>
  <c r="R237" i="45"/>
  <c r="T236" i="45"/>
  <c r="R236" i="45"/>
  <c r="T235" i="45"/>
  <c r="R235" i="45"/>
  <c r="V181" i="45"/>
  <c r="V167" i="45"/>
  <c r="V149" i="45"/>
  <c r="B136" i="45"/>
  <c r="B196" i="45" s="1"/>
  <c r="B290" i="45" s="1"/>
  <c r="T123" i="45"/>
  <c r="T121" i="45"/>
  <c r="T114" i="45"/>
  <c r="A114" i="45"/>
  <c r="A115" i="45" s="1"/>
  <c r="A116" i="45" s="1"/>
  <c r="A117" i="45" s="1"/>
  <c r="A118" i="45" s="1"/>
  <c r="A119" i="45" s="1"/>
  <c r="A103" i="45"/>
  <c r="A104" i="45" s="1"/>
  <c r="T98" i="45"/>
  <c r="T97" i="45"/>
  <c r="T96" i="45"/>
  <c r="N87" i="45"/>
  <c r="V82" i="45"/>
  <c r="V81" i="45"/>
  <c r="T71" i="45"/>
  <c r="N71" i="45"/>
  <c r="N84" i="45" s="1"/>
  <c r="L71" i="45"/>
  <c r="L84" i="45" s="1"/>
  <c r="V69" i="45"/>
  <c r="R58" i="45"/>
  <c r="R57" i="45"/>
  <c r="V50" i="45"/>
  <c r="P43" i="45"/>
  <c r="L43" i="45"/>
  <c r="F43" i="45"/>
  <c r="R36" i="45"/>
  <c r="P36" i="45"/>
  <c r="N36" i="45"/>
  <c r="L36" i="45"/>
  <c r="J36" i="45"/>
  <c r="H36" i="45"/>
  <c r="F36" i="45"/>
  <c r="D36" i="45"/>
  <c r="R35" i="45"/>
  <c r="P35" i="45"/>
  <c r="N35" i="45"/>
  <c r="L35" i="45"/>
  <c r="J35" i="45"/>
  <c r="H35" i="45"/>
  <c r="F35" i="45"/>
  <c r="D35" i="45"/>
  <c r="V34" i="45"/>
  <c r="V140" i="45" s="1"/>
  <c r="R33" i="45"/>
  <c r="P33" i="45"/>
  <c r="N33" i="45"/>
  <c r="L33" i="45"/>
  <c r="J33" i="45"/>
  <c r="H33" i="45"/>
  <c r="F33" i="45"/>
  <c r="D33" i="45"/>
  <c r="R32" i="45"/>
  <c r="P32" i="45"/>
  <c r="N32" i="45"/>
  <c r="L32" i="45"/>
  <c r="J32" i="45"/>
  <c r="H32" i="45"/>
  <c r="F32" i="45"/>
  <c r="D32" i="45"/>
  <c r="U264" i="45"/>
  <c r="V104" i="44"/>
  <c r="V106" i="44"/>
  <c r="V90" i="44"/>
  <c r="V91" i="44"/>
  <c r="T121" i="44"/>
  <c r="T123" i="44"/>
  <c r="D35" i="44"/>
  <c r="F35" i="44"/>
  <c r="H35" i="44"/>
  <c r="J35" i="44"/>
  <c r="L35" i="44"/>
  <c r="N35" i="44"/>
  <c r="P35" i="44"/>
  <c r="R35" i="44"/>
  <c r="T89" i="44"/>
  <c r="T96" i="44" s="1"/>
  <c r="P68" i="44"/>
  <c r="T211" i="44" s="1"/>
  <c r="P44" i="44"/>
  <c r="L44" i="44"/>
  <c r="F44" i="44"/>
  <c r="U280" i="44"/>
  <c r="T280" i="44"/>
  <c r="T217" i="44" s="1"/>
  <c r="S280" i="44"/>
  <c r="R280" i="44"/>
  <c r="S217" i="44" s="1"/>
  <c r="T268" i="44"/>
  <c r="R268" i="44"/>
  <c r="S259" i="44" s="1"/>
  <c r="T256" i="44"/>
  <c r="R256" i="44"/>
  <c r="S248" i="44" s="1"/>
  <c r="T242" i="44"/>
  <c r="R242" i="44"/>
  <c r="T241" i="44"/>
  <c r="R241" i="44"/>
  <c r="T240" i="44"/>
  <c r="R240" i="44"/>
  <c r="T239" i="44"/>
  <c r="R239" i="44"/>
  <c r="T238" i="44"/>
  <c r="R238" i="44"/>
  <c r="T237" i="44"/>
  <c r="R237" i="44"/>
  <c r="T236" i="44"/>
  <c r="R236" i="44"/>
  <c r="T235" i="44"/>
  <c r="R235" i="44"/>
  <c r="V181" i="44"/>
  <c r="V167" i="44"/>
  <c r="V149" i="44"/>
  <c r="B136" i="44"/>
  <c r="B196" i="44" s="1"/>
  <c r="B290" i="44" s="1"/>
  <c r="T114" i="44"/>
  <c r="A114" i="44"/>
  <c r="A115" i="44" s="1"/>
  <c r="A116" i="44" s="1"/>
  <c r="A117" i="44" s="1"/>
  <c r="A118" i="44" s="1"/>
  <c r="A119" i="44" s="1"/>
  <c r="A103" i="44"/>
  <c r="A104" i="44" s="1"/>
  <c r="T98" i="44"/>
  <c r="T97" i="44"/>
  <c r="N87" i="44"/>
  <c r="V82" i="44"/>
  <c r="V81" i="44"/>
  <c r="T71" i="44"/>
  <c r="N71" i="44"/>
  <c r="N84" i="44" s="1"/>
  <c r="L71" i="44"/>
  <c r="L84" i="44" s="1"/>
  <c r="V69" i="44"/>
  <c r="R71" i="44"/>
  <c r="R58" i="44"/>
  <c r="R57" i="44"/>
  <c r="V50" i="44"/>
  <c r="P43" i="44"/>
  <c r="L43" i="44"/>
  <c r="F43" i="44"/>
  <c r="R36" i="44"/>
  <c r="P36" i="44"/>
  <c r="N36" i="44"/>
  <c r="L36" i="44"/>
  <c r="J36" i="44"/>
  <c r="H36" i="44"/>
  <c r="F36" i="44"/>
  <c r="D36" i="44"/>
  <c r="V34" i="44"/>
  <c r="V140" i="44" s="1"/>
  <c r="R33" i="44"/>
  <c r="P33" i="44"/>
  <c r="N33" i="44"/>
  <c r="L33" i="44"/>
  <c r="J33" i="44"/>
  <c r="H33" i="44"/>
  <c r="F33" i="44"/>
  <c r="D33" i="44"/>
  <c r="R32" i="44"/>
  <c r="P32" i="44"/>
  <c r="N32" i="44"/>
  <c r="L32" i="44"/>
  <c r="J32" i="44"/>
  <c r="H32" i="44"/>
  <c r="F32" i="44"/>
  <c r="D32" i="44"/>
  <c r="V166" i="44"/>
  <c r="S265" i="44"/>
  <c r="T89" i="43"/>
  <c r="T96" i="43" s="1"/>
  <c r="P68" i="43"/>
  <c r="T211" i="43" s="1"/>
  <c r="D36" i="43"/>
  <c r="F36" i="43"/>
  <c r="H36" i="43"/>
  <c r="J36" i="43"/>
  <c r="L36" i="43"/>
  <c r="N36" i="43"/>
  <c r="P36" i="43"/>
  <c r="R36" i="43"/>
  <c r="R68" i="43"/>
  <c r="R71" i="43" s="1"/>
  <c r="D35" i="43"/>
  <c r="F35" i="43"/>
  <c r="H35" i="43"/>
  <c r="J35" i="43"/>
  <c r="L35" i="43"/>
  <c r="N35" i="43"/>
  <c r="P35" i="43"/>
  <c r="R35" i="43"/>
  <c r="V106" i="43"/>
  <c r="V104" i="43"/>
  <c r="V91" i="43"/>
  <c r="V90" i="43"/>
  <c r="P44" i="43"/>
  <c r="L44" i="43"/>
  <c r="F44" i="43"/>
  <c r="U280" i="43"/>
  <c r="T280" i="43"/>
  <c r="T217" i="43" s="1"/>
  <c r="S280" i="43"/>
  <c r="R280" i="43"/>
  <c r="S217" i="43" s="1"/>
  <c r="T268" i="43"/>
  <c r="U266" i="43" s="1"/>
  <c r="R268" i="43"/>
  <c r="S265" i="43" s="1"/>
  <c r="S261" i="43"/>
  <c r="T256" i="43"/>
  <c r="U248" i="43" s="1"/>
  <c r="R256" i="43"/>
  <c r="S247" i="43" s="1"/>
  <c r="T242" i="43"/>
  <c r="R242" i="43"/>
  <c r="T241" i="43"/>
  <c r="R241" i="43"/>
  <c r="T240" i="43"/>
  <c r="R240" i="43"/>
  <c r="T239" i="43"/>
  <c r="R239" i="43"/>
  <c r="T238" i="43"/>
  <c r="R238" i="43"/>
  <c r="T237" i="43"/>
  <c r="R237" i="43"/>
  <c r="T236" i="43"/>
  <c r="R236" i="43"/>
  <c r="T235" i="43"/>
  <c r="R235" i="43"/>
  <c r="V181" i="43"/>
  <c r="V169" i="43"/>
  <c r="V167" i="43"/>
  <c r="V149" i="43"/>
  <c r="B136" i="43"/>
  <c r="B196" i="43" s="1"/>
  <c r="B290" i="43" s="1"/>
  <c r="T123" i="43"/>
  <c r="T121" i="43"/>
  <c r="T114" i="43"/>
  <c r="A114" i="43"/>
  <c r="A115" i="43" s="1"/>
  <c r="A116" i="43" s="1"/>
  <c r="A117" i="43" s="1"/>
  <c r="A118" i="43" s="1"/>
  <c r="A119" i="43" s="1"/>
  <c r="A103" i="43"/>
  <c r="A104" i="43" s="1"/>
  <c r="T98" i="43"/>
  <c r="T97" i="43"/>
  <c r="N87" i="43"/>
  <c r="V82" i="43"/>
  <c r="V81" i="43"/>
  <c r="T71" i="43"/>
  <c r="N71" i="43"/>
  <c r="N84" i="43" s="1"/>
  <c r="L71" i="43"/>
  <c r="L84" i="43" s="1"/>
  <c r="V69" i="43"/>
  <c r="R58" i="43"/>
  <c r="R57" i="43"/>
  <c r="V50" i="43"/>
  <c r="P43" i="43"/>
  <c r="L43" i="43"/>
  <c r="F43" i="43"/>
  <c r="V34" i="43"/>
  <c r="R33" i="43"/>
  <c r="P33" i="43"/>
  <c r="N33" i="43"/>
  <c r="L33" i="43"/>
  <c r="J33" i="43"/>
  <c r="H33" i="43"/>
  <c r="F33" i="43"/>
  <c r="D33" i="43"/>
  <c r="R32" i="43"/>
  <c r="P32" i="43"/>
  <c r="N32" i="43"/>
  <c r="L32" i="43"/>
  <c r="J32" i="43"/>
  <c r="H32" i="43"/>
  <c r="F32" i="43"/>
  <c r="D32" i="43"/>
  <c r="V166" i="43"/>
  <c r="T89" i="42"/>
  <c r="T96" i="42" s="1"/>
  <c r="D36" i="42"/>
  <c r="F36" i="42"/>
  <c r="H36" i="42"/>
  <c r="J36" i="42"/>
  <c r="L36" i="42"/>
  <c r="N36" i="42"/>
  <c r="P36" i="42"/>
  <c r="R36" i="42"/>
  <c r="P68" i="42"/>
  <c r="V106" i="42"/>
  <c r="V104" i="42"/>
  <c r="V91" i="42"/>
  <c r="V90" i="42"/>
  <c r="P44" i="42"/>
  <c r="L44" i="42"/>
  <c r="F44" i="42"/>
  <c r="V169" i="42"/>
  <c r="U280" i="42"/>
  <c r="T280" i="42"/>
  <c r="T217" i="42" s="1"/>
  <c r="S280" i="42"/>
  <c r="R280" i="42"/>
  <c r="T268" i="42"/>
  <c r="U262" i="42" s="1"/>
  <c r="R268" i="42"/>
  <c r="T256" i="42"/>
  <c r="U248" i="42" s="1"/>
  <c r="R256" i="42"/>
  <c r="S249" i="42" s="1"/>
  <c r="T242" i="42"/>
  <c r="R242" i="42"/>
  <c r="T241" i="42"/>
  <c r="R241" i="42"/>
  <c r="T240" i="42"/>
  <c r="R240" i="42"/>
  <c r="T239" i="42"/>
  <c r="R239" i="42"/>
  <c r="T238" i="42"/>
  <c r="R238" i="42"/>
  <c r="T237" i="42"/>
  <c r="R237" i="42"/>
  <c r="T236" i="42"/>
  <c r="R236" i="42"/>
  <c r="T235" i="42"/>
  <c r="R235" i="42"/>
  <c r="S217" i="42"/>
  <c r="V181" i="42"/>
  <c r="V167" i="42"/>
  <c r="V149" i="42"/>
  <c r="B136" i="42"/>
  <c r="B196" i="42" s="1"/>
  <c r="B291" i="42" s="1"/>
  <c r="T123" i="42"/>
  <c r="T121" i="42"/>
  <c r="T114" i="42"/>
  <c r="A114" i="42"/>
  <c r="A115" i="42" s="1"/>
  <c r="A116" i="42" s="1"/>
  <c r="A117" i="42" s="1"/>
  <c r="A118" i="42" s="1"/>
  <c r="A119" i="42" s="1"/>
  <c r="A103" i="42"/>
  <c r="A104" i="42" s="1"/>
  <c r="T98" i="42"/>
  <c r="T97" i="42"/>
  <c r="N87" i="42"/>
  <c r="V82" i="42"/>
  <c r="V81" i="42"/>
  <c r="T71" i="42"/>
  <c r="N71" i="42"/>
  <c r="N84" i="42" s="1"/>
  <c r="L71" i="42"/>
  <c r="L84" i="42" s="1"/>
  <c r="V69" i="42"/>
  <c r="R71" i="42"/>
  <c r="R58" i="42"/>
  <c r="R57" i="42"/>
  <c r="V50" i="42"/>
  <c r="P43" i="42"/>
  <c r="L43" i="42"/>
  <c r="F43" i="42"/>
  <c r="R35" i="42"/>
  <c r="P35" i="42"/>
  <c r="N35" i="42"/>
  <c r="L35" i="42"/>
  <c r="J35" i="42"/>
  <c r="H35" i="42"/>
  <c r="F35" i="42"/>
  <c r="D35" i="42"/>
  <c r="V34" i="42"/>
  <c r="V52" i="42" s="1"/>
  <c r="R33" i="42"/>
  <c r="P33" i="42"/>
  <c r="N33" i="42"/>
  <c r="L33" i="42"/>
  <c r="J33" i="42"/>
  <c r="H33" i="42"/>
  <c r="F33" i="42"/>
  <c r="D33" i="42"/>
  <c r="R32" i="42"/>
  <c r="P32" i="42"/>
  <c r="N32" i="42"/>
  <c r="L32" i="42"/>
  <c r="J32" i="42"/>
  <c r="H32" i="42"/>
  <c r="F32" i="42"/>
  <c r="D32" i="42"/>
  <c r="T211" i="42"/>
  <c r="V106" i="41"/>
  <c r="V104" i="41"/>
  <c r="V91" i="41"/>
  <c r="V90" i="41"/>
  <c r="V96" i="41" s="1"/>
  <c r="V100" i="41" s="1"/>
  <c r="T89" i="41"/>
  <c r="T96" i="41" s="1"/>
  <c r="R68" i="41"/>
  <c r="P68" i="41"/>
  <c r="P44" i="41"/>
  <c r="L44" i="41"/>
  <c r="F44" i="41"/>
  <c r="U280" i="41"/>
  <c r="T280" i="41"/>
  <c r="S280" i="41"/>
  <c r="R280" i="41"/>
  <c r="S217" i="41" s="1"/>
  <c r="T268" i="41"/>
  <c r="U261" i="41" s="1"/>
  <c r="R268" i="41"/>
  <c r="T256" i="41"/>
  <c r="U247" i="41" s="1"/>
  <c r="R256" i="41"/>
  <c r="S249" i="41"/>
  <c r="T242" i="41"/>
  <c r="R242" i="41"/>
  <c r="T241" i="41"/>
  <c r="R241" i="41"/>
  <c r="T240" i="41"/>
  <c r="R240" i="41"/>
  <c r="T239" i="41"/>
  <c r="R239" i="41"/>
  <c r="T238" i="41"/>
  <c r="R238" i="41"/>
  <c r="T237" i="41"/>
  <c r="R237" i="41"/>
  <c r="T236" i="41"/>
  <c r="R236" i="41"/>
  <c r="T235" i="41"/>
  <c r="R235" i="41"/>
  <c r="V167" i="41"/>
  <c r="V149" i="41"/>
  <c r="V34" i="41"/>
  <c r="B136" i="41"/>
  <c r="B196" i="41" s="1"/>
  <c r="B291" i="41" s="1"/>
  <c r="T121" i="41"/>
  <c r="T114" i="41"/>
  <c r="A114" i="41"/>
  <c r="A115" i="41" s="1"/>
  <c r="A116" i="41" s="1"/>
  <c r="A117" i="41" s="1"/>
  <c r="A118" i="41" s="1"/>
  <c r="A119" i="41" s="1"/>
  <c r="A103" i="41"/>
  <c r="A104" i="41" s="1"/>
  <c r="T98" i="41"/>
  <c r="T97" i="41"/>
  <c r="N87" i="41"/>
  <c r="V82" i="41"/>
  <c r="V81" i="41"/>
  <c r="T71" i="41"/>
  <c r="N71" i="41"/>
  <c r="N84" i="41" s="1"/>
  <c r="L71" i="41"/>
  <c r="L84" i="41" s="1"/>
  <c r="V69" i="41"/>
  <c r="R58" i="41"/>
  <c r="R57" i="41"/>
  <c r="V50" i="41"/>
  <c r="P43" i="41"/>
  <c r="L43" i="41"/>
  <c r="F43" i="41"/>
  <c r="R36" i="41"/>
  <c r="P36" i="41"/>
  <c r="N36" i="41"/>
  <c r="L36" i="41"/>
  <c r="J36" i="41"/>
  <c r="H36" i="41"/>
  <c r="F36" i="41"/>
  <c r="D36" i="41"/>
  <c r="R35" i="41"/>
  <c r="P35" i="41"/>
  <c r="N35" i="41"/>
  <c r="L35" i="41"/>
  <c r="J35" i="41"/>
  <c r="H35" i="41"/>
  <c r="F35" i="41"/>
  <c r="D35" i="41"/>
  <c r="R33" i="41"/>
  <c r="P33" i="41"/>
  <c r="N33" i="41"/>
  <c r="L33" i="41"/>
  <c r="J33" i="41"/>
  <c r="H33" i="41"/>
  <c r="F33" i="41"/>
  <c r="D33" i="41"/>
  <c r="R32" i="41"/>
  <c r="P32" i="41"/>
  <c r="N32" i="41"/>
  <c r="L32" i="41"/>
  <c r="J32" i="41"/>
  <c r="H32" i="41"/>
  <c r="F32" i="41"/>
  <c r="D32" i="41"/>
  <c r="V52" i="41"/>
  <c r="J32" i="40"/>
  <c r="L32" i="40"/>
  <c r="V106" i="40"/>
  <c r="V104" i="40"/>
  <c r="V91" i="40"/>
  <c r="V90" i="40"/>
  <c r="T89" i="40"/>
  <c r="T96" i="40" s="1"/>
  <c r="R68" i="40"/>
  <c r="R71" i="40" s="1"/>
  <c r="P68" i="40"/>
  <c r="P44" i="40"/>
  <c r="L44" i="40"/>
  <c r="F44" i="40"/>
  <c r="U280" i="40"/>
  <c r="T280" i="40"/>
  <c r="T217" i="40" s="1"/>
  <c r="S280" i="40"/>
  <c r="R280" i="40"/>
  <c r="S217" i="40" s="1"/>
  <c r="T268" i="40"/>
  <c r="U259" i="40" s="1"/>
  <c r="R268" i="40"/>
  <c r="T256" i="40"/>
  <c r="R256" i="40"/>
  <c r="S253" i="40" s="1"/>
  <c r="T242" i="40"/>
  <c r="R242" i="40"/>
  <c r="T241" i="40"/>
  <c r="R241" i="40"/>
  <c r="T240" i="40"/>
  <c r="R240" i="40"/>
  <c r="T239" i="40"/>
  <c r="R239" i="40"/>
  <c r="T238" i="40"/>
  <c r="R238" i="40"/>
  <c r="T237" i="40"/>
  <c r="R237" i="40"/>
  <c r="T236" i="40"/>
  <c r="R236" i="40"/>
  <c r="T235" i="40"/>
  <c r="R235" i="40"/>
  <c r="B136" i="40"/>
  <c r="B196" i="40" s="1"/>
  <c r="B291" i="40" s="1"/>
  <c r="V169" i="40"/>
  <c r="V167" i="40"/>
  <c r="V149" i="40"/>
  <c r="V34" i="40"/>
  <c r="T121" i="40"/>
  <c r="T114" i="40"/>
  <c r="A114" i="40"/>
  <c r="A115" i="40" s="1"/>
  <c r="A116" i="40" s="1"/>
  <c r="A117" i="40" s="1"/>
  <c r="A118" i="40" s="1"/>
  <c r="A119" i="40" s="1"/>
  <c r="A103" i="40"/>
  <c r="A104" i="40" s="1"/>
  <c r="T98" i="40"/>
  <c r="T97" i="40"/>
  <c r="N87" i="40"/>
  <c r="V82" i="40"/>
  <c r="V81" i="40"/>
  <c r="T71" i="40"/>
  <c r="N71" i="40"/>
  <c r="N84" i="40" s="1"/>
  <c r="L71" i="40"/>
  <c r="L84" i="40" s="1"/>
  <c r="V69" i="40"/>
  <c r="R58" i="40"/>
  <c r="R57" i="40"/>
  <c r="V50" i="40"/>
  <c r="P43" i="40"/>
  <c r="L43" i="40"/>
  <c r="F43" i="40"/>
  <c r="R36" i="40"/>
  <c r="P36" i="40"/>
  <c r="N36" i="40"/>
  <c r="L36" i="40"/>
  <c r="J36" i="40"/>
  <c r="H36" i="40"/>
  <c r="F36" i="40"/>
  <c r="D36" i="40"/>
  <c r="R35" i="40"/>
  <c r="P35" i="40"/>
  <c r="N35" i="40"/>
  <c r="L35" i="40"/>
  <c r="J35" i="40"/>
  <c r="H35" i="40"/>
  <c r="F35" i="40"/>
  <c r="D35" i="40"/>
  <c r="R33" i="40"/>
  <c r="P33" i="40"/>
  <c r="N33" i="40"/>
  <c r="L33" i="40"/>
  <c r="J33" i="40"/>
  <c r="H33" i="40"/>
  <c r="F33" i="40"/>
  <c r="D33" i="40"/>
  <c r="R32" i="40"/>
  <c r="P32" i="40"/>
  <c r="N32" i="40"/>
  <c r="H32" i="40"/>
  <c r="F32" i="40"/>
  <c r="D32" i="40"/>
  <c r="V106" i="39"/>
  <c r="V104" i="39"/>
  <c r="V91" i="39"/>
  <c r="V90" i="39"/>
  <c r="T89" i="39"/>
  <c r="T96" i="39" s="1"/>
  <c r="P68" i="39"/>
  <c r="T211" i="39" s="1"/>
  <c r="R68" i="39"/>
  <c r="P44" i="39"/>
  <c r="L44" i="39"/>
  <c r="F44" i="39"/>
  <c r="T280" i="39"/>
  <c r="T217" i="39" s="1"/>
  <c r="R280" i="39"/>
  <c r="S280" i="39"/>
  <c r="T268" i="39"/>
  <c r="U266" i="39" s="1"/>
  <c r="R268" i="39"/>
  <c r="S260" i="39" s="1"/>
  <c r="T256" i="39"/>
  <c r="R256" i="39"/>
  <c r="S254" i="39" s="1"/>
  <c r="T242" i="39"/>
  <c r="R242" i="39"/>
  <c r="T241" i="39"/>
  <c r="R241" i="39"/>
  <c r="T240" i="39"/>
  <c r="R240" i="39"/>
  <c r="T239" i="39"/>
  <c r="R239" i="39"/>
  <c r="T238" i="39"/>
  <c r="R238" i="39"/>
  <c r="T237" i="39"/>
  <c r="R237" i="39"/>
  <c r="T236" i="39"/>
  <c r="R236" i="39"/>
  <c r="T235" i="39"/>
  <c r="R235" i="39"/>
  <c r="S217" i="39"/>
  <c r="V181" i="39"/>
  <c r="V169" i="39"/>
  <c r="V167" i="39"/>
  <c r="V149" i="39"/>
  <c r="B136" i="39"/>
  <c r="B196" i="39" s="1"/>
  <c r="B291" i="39" s="1"/>
  <c r="T121" i="39"/>
  <c r="T114" i="39"/>
  <c r="A114" i="39"/>
  <c r="A115" i="39" s="1"/>
  <c r="A116" i="39" s="1"/>
  <c r="A117" i="39" s="1"/>
  <c r="A118" i="39" s="1"/>
  <c r="A119" i="39" s="1"/>
  <c r="A103" i="39"/>
  <c r="A104" i="39" s="1"/>
  <c r="T98" i="39"/>
  <c r="T97" i="39"/>
  <c r="N87" i="39"/>
  <c r="V82" i="39"/>
  <c r="V81" i="39"/>
  <c r="T71" i="39"/>
  <c r="N71" i="39"/>
  <c r="N84" i="39" s="1"/>
  <c r="L71" i="39"/>
  <c r="L84" i="39" s="1"/>
  <c r="V69" i="39"/>
  <c r="R71" i="39"/>
  <c r="R58" i="39"/>
  <c r="R57" i="39"/>
  <c r="V50" i="39"/>
  <c r="P43" i="39"/>
  <c r="L43" i="39"/>
  <c r="F43" i="39"/>
  <c r="R36" i="39"/>
  <c r="P36" i="39"/>
  <c r="N36" i="39"/>
  <c r="L36" i="39"/>
  <c r="J36" i="39"/>
  <c r="H36" i="39"/>
  <c r="F36" i="39"/>
  <c r="D36" i="39"/>
  <c r="R35" i="39"/>
  <c r="P35" i="39"/>
  <c r="N35" i="39"/>
  <c r="L35" i="39"/>
  <c r="J35" i="39"/>
  <c r="H35" i="39"/>
  <c r="F35" i="39"/>
  <c r="D35" i="39"/>
  <c r="V34" i="39"/>
  <c r="S179" i="39" s="1"/>
  <c r="R33" i="39"/>
  <c r="P33" i="39"/>
  <c r="N33" i="39"/>
  <c r="L33" i="39"/>
  <c r="J33" i="39"/>
  <c r="H33" i="39"/>
  <c r="F33" i="39"/>
  <c r="D33" i="39"/>
  <c r="R32" i="39"/>
  <c r="P32" i="39"/>
  <c r="N32" i="39"/>
  <c r="L32" i="39"/>
  <c r="J32" i="39"/>
  <c r="H32" i="39"/>
  <c r="F32" i="39"/>
  <c r="D32" i="39"/>
  <c r="V166" i="39"/>
  <c r="T123" i="39"/>
  <c r="U250" i="39"/>
  <c r="U259" i="39"/>
  <c r="U263" i="39"/>
  <c r="T89" i="38"/>
  <c r="T96" i="38" s="1"/>
  <c r="P68" i="38"/>
  <c r="U280" i="39"/>
  <c r="V106" i="38"/>
  <c r="V104" i="38"/>
  <c r="V91" i="38"/>
  <c r="V96" i="38" s="1"/>
  <c r="V100" i="38" s="1"/>
  <c r="V90" i="38"/>
  <c r="R68" i="38"/>
  <c r="P44" i="38"/>
  <c r="L44" i="38"/>
  <c r="F44" i="38"/>
  <c r="V169" i="38"/>
  <c r="T280" i="38"/>
  <c r="T217" i="38" s="1"/>
  <c r="R280" i="38"/>
  <c r="T268" i="38"/>
  <c r="U263" i="38" s="1"/>
  <c r="R268" i="38"/>
  <c r="S264" i="38" s="1"/>
  <c r="T256" i="38"/>
  <c r="U254" i="38" s="1"/>
  <c r="R256" i="38"/>
  <c r="S249" i="38" s="1"/>
  <c r="T242" i="38"/>
  <c r="R242" i="38"/>
  <c r="T241" i="38"/>
  <c r="R241" i="38"/>
  <c r="T240" i="38"/>
  <c r="R240" i="38"/>
  <c r="T239" i="38"/>
  <c r="R239" i="38"/>
  <c r="T238" i="38"/>
  <c r="R238" i="38"/>
  <c r="T237" i="38"/>
  <c r="R237" i="38"/>
  <c r="T236" i="38"/>
  <c r="R236" i="38"/>
  <c r="T235" i="38"/>
  <c r="R235" i="38"/>
  <c r="V167" i="38"/>
  <c r="V149" i="38"/>
  <c r="B136" i="38"/>
  <c r="B196" i="38" s="1"/>
  <c r="B291" i="38" s="1"/>
  <c r="T121" i="38"/>
  <c r="T114" i="38"/>
  <c r="A114" i="38"/>
  <c r="A115" i="38" s="1"/>
  <c r="A116" i="38" s="1"/>
  <c r="A117" i="38" s="1"/>
  <c r="A118" i="38" s="1"/>
  <c r="A119" i="38" s="1"/>
  <c r="A103" i="38"/>
  <c r="A104" i="38" s="1"/>
  <c r="T98" i="38"/>
  <c r="T97" i="38"/>
  <c r="N87" i="38"/>
  <c r="V82" i="38"/>
  <c r="V81" i="38"/>
  <c r="T71" i="38"/>
  <c r="R71" i="38"/>
  <c r="N71" i="38"/>
  <c r="N84" i="38" s="1"/>
  <c r="L71" i="38"/>
  <c r="L84" i="38" s="1"/>
  <c r="V69" i="38"/>
  <c r="R58" i="38"/>
  <c r="R57" i="38"/>
  <c r="V50" i="38"/>
  <c r="P43" i="38"/>
  <c r="L43" i="38"/>
  <c r="F43" i="38"/>
  <c r="R36" i="38"/>
  <c r="P36" i="38"/>
  <c r="N36" i="38"/>
  <c r="L36" i="38"/>
  <c r="J36" i="38"/>
  <c r="H36" i="38"/>
  <c r="F36" i="38"/>
  <c r="D36" i="38"/>
  <c r="R35" i="38"/>
  <c r="P35" i="38"/>
  <c r="N35" i="38"/>
  <c r="L35" i="38"/>
  <c r="J35" i="38"/>
  <c r="H35" i="38"/>
  <c r="F35" i="38"/>
  <c r="D35" i="38"/>
  <c r="V34" i="38"/>
  <c r="V52" i="38" s="1"/>
  <c r="R33" i="38"/>
  <c r="P33" i="38"/>
  <c r="N33" i="38"/>
  <c r="L33" i="38"/>
  <c r="J33" i="38"/>
  <c r="H33" i="38"/>
  <c r="F33" i="38"/>
  <c r="D33" i="38"/>
  <c r="R32" i="38"/>
  <c r="P32" i="38"/>
  <c r="N32" i="38"/>
  <c r="L32" i="38"/>
  <c r="J32" i="38"/>
  <c r="H32" i="38"/>
  <c r="F32" i="38"/>
  <c r="D32" i="38"/>
  <c r="U260" i="38"/>
  <c r="U265" i="38"/>
  <c r="U261" i="38"/>
  <c r="U266" i="38"/>
  <c r="U262" i="38"/>
  <c r="U259" i="38"/>
  <c r="S253" i="38"/>
  <c r="F44" i="37"/>
  <c r="V106" i="37"/>
  <c r="V104" i="37"/>
  <c r="V91" i="37"/>
  <c r="V90" i="37"/>
  <c r="T89" i="37"/>
  <c r="T96" i="37" s="1"/>
  <c r="P68" i="37"/>
  <c r="P71" i="37" s="1"/>
  <c r="T280" i="37"/>
  <c r="R280" i="37"/>
  <c r="T268" i="37"/>
  <c r="R268" i="37"/>
  <c r="S259" i="37" s="1"/>
  <c r="T256" i="37"/>
  <c r="R256" i="37"/>
  <c r="T242" i="37"/>
  <c r="R242" i="37"/>
  <c r="T241" i="37"/>
  <c r="R241" i="37"/>
  <c r="T240" i="37"/>
  <c r="R240" i="37"/>
  <c r="T239" i="37"/>
  <c r="R239" i="37"/>
  <c r="T238" i="37"/>
  <c r="R238" i="37"/>
  <c r="T237" i="37"/>
  <c r="R237" i="37"/>
  <c r="T236" i="37"/>
  <c r="R236" i="37"/>
  <c r="T235" i="37"/>
  <c r="R235" i="37"/>
  <c r="V181" i="37"/>
  <c r="V167" i="37"/>
  <c r="V149" i="37"/>
  <c r="B136" i="37"/>
  <c r="B196" i="37" s="1"/>
  <c r="B291" i="37" s="1"/>
  <c r="T121" i="37"/>
  <c r="T114" i="37"/>
  <c r="A114" i="37"/>
  <c r="A115" i="37" s="1"/>
  <c r="A116" i="37" s="1"/>
  <c r="A117" i="37" s="1"/>
  <c r="A118" i="37" s="1"/>
  <c r="A119" i="37" s="1"/>
  <c r="A103" i="37"/>
  <c r="A104" i="37" s="1"/>
  <c r="T98" i="37"/>
  <c r="T97" i="37"/>
  <c r="N87" i="37"/>
  <c r="V82" i="37"/>
  <c r="V81" i="37"/>
  <c r="T71" i="37"/>
  <c r="N71" i="37"/>
  <c r="N84" i="37" s="1"/>
  <c r="L71" i="37"/>
  <c r="L84" i="37" s="1"/>
  <c r="V69" i="37"/>
  <c r="R71" i="37"/>
  <c r="R58" i="37"/>
  <c r="R57" i="37"/>
  <c r="V50" i="37"/>
  <c r="P44" i="37"/>
  <c r="L44" i="37"/>
  <c r="P43" i="37"/>
  <c r="L43" i="37"/>
  <c r="F43" i="37"/>
  <c r="R36" i="37"/>
  <c r="P36" i="37"/>
  <c r="N36" i="37"/>
  <c r="L36" i="37"/>
  <c r="J36" i="37"/>
  <c r="H36" i="37"/>
  <c r="F36" i="37"/>
  <c r="D36" i="37"/>
  <c r="R35" i="37"/>
  <c r="P35" i="37"/>
  <c r="N35" i="37"/>
  <c r="L35" i="37"/>
  <c r="J35" i="37"/>
  <c r="H35" i="37"/>
  <c r="F35" i="37"/>
  <c r="D35" i="37"/>
  <c r="V34" i="37"/>
  <c r="S179" i="37" s="1"/>
  <c r="R33" i="37"/>
  <c r="P33" i="37"/>
  <c r="N33" i="37"/>
  <c r="L33" i="37"/>
  <c r="J33" i="37"/>
  <c r="H33" i="37"/>
  <c r="F33" i="37"/>
  <c r="D33" i="37"/>
  <c r="R32" i="37"/>
  <c r="P32" i="37"/>
  <c r="N32" i="37"/>
  <c r="L32" i="37"/>
  <c r="J32" i="37"/>
  <c r="H32" i="37"/>
  <c r="F32" i="37"/>
  <c r="D32" i="37"/>
  <c r="T123" i="37"/>
  <c r="T132" i="37" s="1"/>
  <c r="U263" i="37"/>
  <c r="V106" i="36"/>
  <c r="V104" i="36"/>
  <c r="V91" i="36"/>
  <c r="V90" i="36"/>
  <c r="T89" i="36"/>
  <c r="T96" i="36" s="1"/>
  <c r="R68" i="36"/>
  <c r="P68" i="36"/>
  <c r="P44" i="36"/>
  <c r="L44" i="36"/>
  <c r="F44" i="36"/>
  <c r="V169" i="36"/>
  <c r="T280" i="36"/>
  <c r="R280" i="36"/>
  <c r="T268" i="36"/>
  <c r="U259" i="36" s="1"/>
  <c r="R268" i="36"/>
  <c r="T256" i="36"/>
  <c r="R256" i="36"/>
  <c r="T242" i="36"/>
  <c r="R242" i="36"/>
  <c r="T241" i="36"/>
  <c r="R241" i="36"/>
  <c r="T240" i="36"/>
  <c r="R240" i="36"/>
  <c r="T239" i="36"/>
  <c r="R239" i="36"/>
  <c r="T238" i="36"/>
  <c r="R238" i="36"/>
  <c r="T237" i="36"/>
  <c r="R237" i="36"/>
  <c r="T236" i="36"/>
  <c r="R236" i="36"/>
  <c r="T235" i="36"/>
  <c r="R235" i="36"/>
  <c r="V167" i="36"/>
  <c r="V149" i="36"/>
  <c r="B136" i="36"/>
  <c r="B196" i="36" s="1"/>
  <c r="B291" i="36" s="1"/>
  <c r="T121" i="36"/>
  <c r="T114" i="36"/>
  <c r="A114" i="36"/>
  <c r="A115" i="36" s="1"/>
  <c r="A116" i="36" s="1"/>
  <c r="A117" i="36" s="1"/>
  <c r="A118" i="36" s="1"/>
  <c r="A119" i="36" s="1"/>
  <c r="A103" i="36"/>
  <c r="A104" i="36" s="1"/>
  <c r="T98" i="36"/>
  <c r="T97" i="36"/>
  <c r="N87" i="36"/>
  <c r="V82" i="36"/>
  <c r="V81" i="36"/>
  <c r="T71" i="36"/>
  <c r="P71" i="36"/>
  <c r="N71" i="36"/>
  <c r="N84" i="36" s="1"/>
  <c r="L71" i="36"/>
  <c r="L84" i="36" s="1"/>
  <c r="V69" i="36"/>
  <c r="T211" i="36"/>
  <c r="R58" i="36"/>
  <c r="R57" i="36"/>
  <c r="V50" i="36"/>
  <c r="P43" i="36"/>
  <c r="L43" i="36"/>
  <c r="F43" i="36"/>
  <c r="R36" i="36"/>
  <c r="P36" i="36"/>
  <c r="N36" i="36"/>
  <c r="L36" i="36"/>
  <c r="J36" i="36"/>
  <c r="H36" i="36"/>
  <c r="F36" i="36"/>
  <c r="D36" i="36"/>
  <c r="R35" i="36"/>
  <c r="P35" i="36"/>
  <c r="N35" i="36"/>
  <c r="L35" i="36"/>
  <c r="J35" i="36"/>
  <c r="H35" i="36"/>
  <c r="F35" i="36"/>
  <c r="D35" i="36"/>
  <c r="V34" i="36"/>
  <c r="R33" i="36"/>
  <c r="P33" i="36"/>
  <c r="N33" i="36"/>
  <c r="L33" i="36"/>
  <c r="J33" i="36"/>
  <c r="H33" i="36"/>
  <c r="F33" i="36"/>
  <c r="D33" i="36"/>
  <c r="R32" i="36"/>
  <c r="P32" i="36"/>
  <c r="N32" i="36"/>
  <c r="L32" i="36"/>
  <c r="J32" i="36"/>
  <c r="H32" i="36"/>
  <c r="F32" i="36"/>
  <c r="D32" i="36"/>
  <c r="S263" i="36"/>
  <c r="S266" i="36"/>
  <c r="V106" i="35"/>
  <c r="V104" i="35"/>
  <c r="V91" i="35"/>
  <c r="V90" i="35"/>
  <c r="T89" i="35"/>
  <c r="T96" i="35" s="1"/>
  <c r="R68" i="35"/>
  <c r="R71" i="35" s="1"/>
  <c r="P68" i="35"/>
  <c r="T211" i="35" s="1"/>
  <c r="P44" i="35"/>
  <c r="L44" i="35"/>
  <c r="F44" i="35"/>
  <c r="T280" i="35"/>
  <c r="R280" i="35"/>
  <c r="T268" i="35"/>
  <c r="T216" i="35" s="1"/>
  <c r="R268" i="35"/>
  <c r="T256" i="35"/>
  <c r="U250" i="35" s="1"/>
  <c r="R256" i="35"/>
  <c r="T242" i="35"/>
  <c r="R242" i="35"/>
  <c r="T241" i="35"/>
  <c r="R241" i="35"/>
  <c r="T240" i="35"/>
  <c r="R240" i="35"/>
  <c r="T239" i="35"/>
  <c r="R239" i="35"/>
  <c r="T238" i="35"/>
  <c r="R238" i="35"/>
  <c r="T237" i="35"/>
  <c r="R237" i="35"/>
  <c r="T236" i="35"/>
  <c r="R236" i="35"/>
  <c r="T235" i="35"/>
  <c r="R235" i="35"/>
  <c r="V167" i="35"/>
  <c r="V149" i="35"/>
  <c r="B136" i="35"/>
  <c r="B196" i="35" s="1"/>
  <c r="B291" i="35" s="1"/>
  <c r="T121" i="35"/>
  <c r="T114" i="35"/>
  <c r="A114" i="35"/>
  <c r="A115" i="35" s="1"/>
  <c r="A116" i="35" s="1"/>
  <c r="A117" i="35" s="1"/>
  <c r="A118" i="35" s="1"/>
  <c r="A119" i="35" s="1"/>
  <c r="A103" i="35"/>
  <c r="A104" i="35" s="1"/>
  <c r="T98" i="35"/>
  <c r="T97" i="35"/>
  <c r="N87" i="35"/>
  <c r="V82" i="35"/>
  <c r="V81" i="35"/>
  <c r="T71" i="35"/>
  <c r="N71" i="35"/>
  <c r="N84" i="35" s="1"/>
  <c r="L71" i="35"/>
  <c r="L84" i="35" s="1"/>
  <c r="V69" i="35"/>
  <c r="R58" i="35"/>
  <c r="R57" i="35"/>
  <c r="V50" i="35"/>
  <c r="P43" i="35"/>
  <c r="L43" i="35"/>
  <c r="F43" i="35"/>
  <c r="R36" i="35"/>
  <c r="P36" i="35"/>
  <c r="N36" i="35"/>
  <c r="L36" i="35"/>
  <c r="J36" i="35"/>
  <c r="H36" i="35"/>
  <c r="F36" i="35"/>
  <c r="D36" i="35"/>
  <c r="R35" i="35"/>
  <c r="P35" i="35"/>
  <c r="N35" i="35"/>
  <c r="L35" i="35"/>
  <c r="J35" i="35"/>
  <c r="H35" i="35"/>
  <c r="F35" i="35"/>
  <c r="D35" i="35"/>
  <c r="V34" i="35"/>
  <c r="R33" i="35"/>
  <c r="P33" i="35"/>
  <c r="N33" i="35"/>
  <c r="L33" i="35"/>
  <c r="J33" i="35"/>
  <c r="H33" i="35"/>
  <c r="F33" i="35"/>
  <c r="D33" i="35"/>
  <c r="R32" i="35"/>
  <c r="P32" i="35"/>
  <c r="N32" i="35"/>
  <c r="L32" i="35"/>
  <c r="J32" i="35"/>
  <c r="H32" i="35"/>
  <c r="F32" i="35"/>
  <c r="D32" i="35"/>
  <c r="U262" i="35"/>
  <c r="S247" i="35"/>
  <c r="S251" i="35"/>
  <c r="V166" i="35"/>
  <c r="V106" i="34"/>
  <c r="V104" i="34"/>
  <c r="V91" i="34"/>
  <c r="V90" i="34"/>
  <c r="T89" i="34"/>
  <c r="T96" i="34" s="1"/>
  <c r="R68" i="34"/>
  <c r="R71" i="34" s="1"/>
  <c r="P68" i="34"/>
  <c r="P44" i="34"/>
  <c r="L44" i="34"/>
  <c r="F44" i="34"/>
  <c r="T268" i="34"/>
  <c r="U262" i="34" s="1"/>
  <c r="T280" i="34"/>
  <c r="U277" i="34" s="1"/>
  <c r="S280" i="34"/>
  <c r="R280" i="34"/>
  <c r="S217" i="34" s="1"/>
  <c r="R268" i="34"/>
  <c r="S266" i="34" s="1"/>
  <c r="T256" i="34"/>
  <c r="R256" i="34"/>
  <c r="T242" i="34"/>
  <c r="R242" i="34"/>
  <c r="T241" i="34"/>
  <c r="R241" i="34"/>
  <c r="T240" i="34"/>
  <c r="R240" i="34"/>
  <c r="T239" i="34"/>
  <c r="R239" i="34"/>
  <c r="T238" i="34"/>
  <c r="R238" i="34"/>
  <c r="T237" i="34"/>
  <c r="R237" i="34"/>
  <c r="T236" i="34"/>
  <c r="R236" i="34"/>
  <c r="T235" i="34"/>
  <c r="R235" i="34"/>
  <c r="V181" i="34"/>
  <c r="V167" i="34"/>
  <c r="V166" i="34"/>
  <c r="V149" i="34"/>
  <c r="B136" i="34"/>
  <c r="B196" i="34" s="1"/>
  <c r="B291" i="34" s="1"/>
  <c r="T121" i="34"/>
  <c r="T114" i="34"/>
  <c r="A114" i="34"/>
  <c r="A115" i="34" s="1"/>
  <c r="A116" i="34" s="1"/>
  <c r="A117" i="34" s="1"/>
  <c r="A118" i="34" s="1"/>
  <c r="A119" i="34" s="1"/>
  <c r="A103" i="34"/>
  <c r="A104" i="34" s="1"/>
  <c r="T98" i="34"/>
  <c r="T97" i="34"/>
  <c r="N87" i="34"/>
  <c r="V82" i="34"/>
  <c r="V81" i="34"/>
  <c r="T71" i="34"/>
  <c r="N71" i="34"/>
  <c r="N84" i="34" s="1"/>
  <c r="L71" i="34"/>
  <c r="L84" i="34" s="1"/>
  <c r="V69" i="34"/>
  <c r="R58" i="34"/>
  <c r="R57" i="34"/>
  <c r="V50" i="34"/>
  <c r="P43" i="34"/>
  <c r="L43" i="34"/>
  <c r="F43" i="34"/>
  <c r="R36" i="34"/>
  <c r="P36" i="34"/>
  <c r="N36" i="34"/>
  <c r="L36" i="34"/>
  <c r="J36" i="34"/>
  <c r="H36" i="34"/>
  <c r="F36" i="34"/>
  <c r="D36" i="34"/>
  <c r="R35" i="34"/>
  <c r="P35" i="34"/>
  <c r="N35" i="34"/>
  <c r="L35" i="34"/>
  <c r="J35" i="34"/>
  <c r="H35" i="34"/>
  <c r="F35" i="34"/>
  <c r="D35" i="34"/>
  <c r="V34" i="34"/>
  <c r="R33" i="34"/>
  <c r="P33" i="34"/>
  <c r="N33" i="34"/>
  <c r="L33" i="34"/>
  <c r="J33" i="34"/>
  <c r="H33" i="34"/>
  <c r="F33" i="34"/>
  <c r="D33" i="34"/>
  <c r="R32" i="34"/>
  <c r="P32" i="34"/>
  <c r="N32" i="34"/>
  <c r="L32" i="34"/>
  <c r="J32" i="34"/>
  <c r="H32" i="34"/>
  <c r="F32" i="34"/>
  <c r="D32" i="34"/>
  <c r="U278" i="34"/>
  <c r="S259" i="34"/>
  <c r="S263" i="34"/>
  <c r="S265" i="34"/>
  <c r="S264" i="34"/>
  <c r="T123" i="34"/>
  <c r="V169" i="33"/>
  <c r="T89" i="33"/>
  <c r="T96" i="33" s="1"/>
  <c r="P68" i="33"/>
  <c r="V106" i="33"/>
  <c r="V104" i="33"/>
  <c r="V91" i="33"/>
  <c r="V90" i="33"/>
  <c r="R68" i="33"/>
  <c r="R71" i="33" s="1"/>
  <c r="P44" i="33"/>
  <c r="L44" i="33"/>
  <c r="F44" i="33"/>
  <c r="U280" i="33"/>
  <c r="T280" i="33"/>
  <c r="S280" i="33"/>
  <c r="R280" i="33"/>
  <c r="T268" i="33"/>
  <c r="R268" i="33"/>
  <c r="S260" i="33" s="1"/>
  <c r="T256" i="33"/>
  <c r="U247" i="33" s="1"/>
  <c r="R256" i="33"/>
  <c r="T242" i="33"/>
  <c r="R242" i="33"/>
  <c r="T241" i="33"/>
  <c r="R241" i="33"/>
  <c r="T240" i="33"/>
  <c r="R240" i="33"/>
  <c r="T239" i="33"/>
  <c r="R239" i="33"/>
  <c r="T238" i="33"/>
  <c r="R238" i="33"/>
  <c r="T237" i="33"/>
  <c r="R237" i="33"/>
  <c r="T236" i="33"/>
  <c r="R236" i="33"/>
  <c r="T235" i="33"/>
  <c r="R235" i="33"/>
  <c r="V167" i="33"/>
  <c r="V149" i="33"/>
  <c r="B136" i="33"/>
  <c r="B196" i="33" s="1"/>
  <c r="B291" i="33" s="1"/>
  <c r="T121" i="33"/>
  <c r="T114" i="33"/>
  <c r="A114" i="33"/>
  <c r="A115" i="33" s="1"/>
  <c r="A116" i="33" s="1"/>
  <c r="A117" i="33" s="1"/>
  <c r="A118" i="33" s="1"/>
  <c r="A119" i="33" s="1"/>
  <c r="A103" i="33"/>
  <c r="A104" i="33" s="1"/>
  <c r="T98" i="33"/>
  <c r="T97" i="33"/>
  <c r="N87" i="33"/>
  <c r="V82" i="33"/>
  <c r="V81" i="33"/>
  <c r="T71" i="33"/>
  <c r="N71" i="33"/>
  <c r="N84" i="33" s="1"/>
  <c r="L71" i="33"/>
  <c r="L84" i="33" s="1"/>
  <c r="V69" i="33"/>
  <c r="R58" i="33"/>
  <c r="R57" i="33"/>
  <c r="V50" i="33"/>
  <c r="P43" i="33"/>
  <c r="L43" i="33"/>
  <c r="F43" i="33"/>
  <c r="R36" i="33"/>
  <c r="P36" i="33"/>
  <c r="N36" i="33"/>
  <c r="L36" i="33"/>
  <c r="J36" i="33"/>
  <c r="H36" i="33"/>
  <c r="F36" i="33"/>
  <c r="D36" i="33"/>
  <c r="R35" i="33"/>
  <c r="P35" i="33"/>
  <c r="N35" i="33"/>
  <c r="L35" i="33"/>
  <c r="J35" i="33"/>
  <c r="H35" i="33"/>
  <c r="F35" i="33"/>
  <c r="D35" i="33"/>
  <c r="V34" i="33"/>
  <c r="R33" i="33"/>
  <c r="P33" i="33"/>
  <c r="N33" i="33"/>
  <c r="L33" i="33"/>
  <c r="J33" i="33"/>
  <c r="H33" i="33"/>
  <c r="F33" i="33"/>
  <c r="D33" i="33"/>
  <c r="R32" i="33"/>
  <c r="P32" i="33"/>
  <c r="N32" i="33"/>
  <c r="L32" i="33"/>
  <c r="J32" i="33"/>
  <c r="H32" i="33"/>
  <c r="F32" i="33"/>
  <c r="D32" i="33"/>
  <c r="U262" i="33"/>
  <c r="S264" i="33"/>
  <c r="T89" i="32"/>
  <c r="T96" i="32" s="1"/>
  <c r="P68" i="32"/>
  <c r="V106" i="32"/>
  <c r="V104" i="32"/>
  <c r="V91" i="32"/>
  <c r="V90" i="32"/>
  <c r="R68" i="32"/>
  <c r="R71" i="32" s="1"/>
  <c r="P44" i="32"/>
  <c r="L44" i="32"/>
  <c r="F44" i="32"/>
  <c r="U280" i="32"/>
  <c r="T280" i="32"/>
  <c r="T217" i="32" s="1"/>
  <c r="S280" i="32"/>
  <c r="R280" i="32"/>
  <c r="T268" i="32"/>
  <c r="U262" i="32" s="1"/>
  <c r="R268" i="32"/>
  <c r="S263" i="32" s="1"/>
  <c r="T256" i="32"/>
  <c r="R256" i="32"/>
  <c r="T242" i="32"/>
  <c r="R242" i="32"/>
  <c r="T241" i="32"/>
  <c r="R241" i="32"/>
  <c r="T240" i="32"/>
  <c r="R240" i="32"/>
  <c r="T239" i="32"/>
  <c r="R239" i="32"/>
  <c r="T238" i="32"/>
  <c r="R238" i="32"/>
  <c r="T237" i="32"/>
  <c r="R237" i="32"/>
  <c r="T236" i="32"/>
  <c r="R236" i="32"/>
  <c r="T235" i="32"/>
  <c r="R235" i="32"/>
  <c r="V167" i="32"/>
  <c r="V149" i="32"/>
  <c r="B136" i="32"/>
  <c r="B196" i="32" s="1"/>
  <c r="B291" i="32" s="1"/>
  <c r="T121" i="32"/>
  <c r="T114" i="32"/>
  <c r="A114" i="32"/>
  <c r="A115" i="32" s="1"/>
  <c r="A116" i="32" s="1"/>
  <c r="A117" i="32" s="1"/>
  <c r="A118" i="32" s="1"/>
  <c r="A119" i="32" s="1"/>
  <c r="A103" i="32"/>
  <c r="A104" i="32" s="1"/>
  <c r="T98" i="32"/>
  <c r="T97" i="32"/>
  <c r="N87" i="32"/>
  <c r="V82" i="32"/>
  <c r="V81" i="32"/>
  <c r="T71" i="32"/>
  <c r="N71" i="32"/>
  <c r="L71" i="32"/>
  <c r="L84" i="32" s="1"/>
  <c r="V69" i="32"/>
  <c r="R58" i="32"/>
  <c r="R57" i="32"/>
  <c r="V50" i="32"/>
  <c r="P43" i="32"/>
  <c r="L43" i="32"/>
  <c r="F43" i="32"/>
  <c r="R36" i="32"/>
  <c r="P36" i="32"/>
  <c r="N36" i="32"/>
  <c r="L36" i="32"/>
  <c r="J36" i="32"/>
  <c r="H36" i="32"/>
  <c r="F36" i="32"/>
  <c r="D36" i="32"/>
  <c r="R35" i="32"/>
  <c r="P35" i="32"/>
  <c r="N35" i="32"/>
  <c r="L35" i="32"/>
  <c r="J35" i="32"/>
  <c r="H35" i="32"/>
  <c r="F35" i="32"/>
  <c r="D35" i="32"/>
  <c r="V34" i="32"/>
  <c r="S179" i="32" s="1"/>
  <c r="R33" i="32"/>
  <c r="P33" i="32"/>
  <c r="N33" i="32"/>
  <c r="L33" i="32"/>
  <c r="J33" i="32"/>
  <c r="H33" i="32"/>
  <c r="F33" i="32"/>
  <c r="D33" i="32"/>
  <c r="R32" i="32"/>
  <c r="P32" i="32"/>
  <c r="N32" i="32"/>
  <c r="L32" i="32"/>
  <c r="J32" i="32"/>
  <c r="H32" i="32"/>
  <c r="F32" i="32"/>
  <c r="D32" i="32"/>
  <c r="S259" i="32"/>
  <c r="S251" i="32"/>
  <c r="S253" i="32"/>
  <c r="V106" i="31"/>
  <c r="V104" i="31"/>
  <c r="V91" i="31"/>
  <c r="V90" i="31"/>
  <c r="T89" i="31"/>
  <c r="T96" i="31" s="1"/>
  <c r="R68" i="31"/>
  <c r="R71" i="31" s="1"/>
  <c r="P68" i="31"/>
  <c r="P44" i="31"/>
  <c r="L44" i="31"/>
  <c r="F44" i="31"/>
  <c r="U280" i="31"/>
  <c r="T280" i="31"/>
  <c r="T217" i="31" s="1"/>
  <c r="S280" i="31"/>
  <c r="R280" i="31"/>
  <c r="S217" i="31" s="1"/>
  <c r="T268" i="31"/>
  <c r="U262" i="31" s="1"/>
  <c r="R268" i="31"/>
  <c r="S265" i="31" s="1"/>
  <c r="T256" i="31"/>
  <c r="R256" i="31"/>
  <c r="S254" i="31" s="1"/>
  <c r="T242" i="31"/>
  <c r="R242" i="31"/>
  <c r="T241" i="31"/>
  <c r="R241" i="31"/>
  <c r="T240" i="31"/>
  <c r="R240" i="31"/>
  <c r="T239" i="31"/>
  <c r="R239" i="31"/>
  <c r="T238" i="31"/>
  <c r="R238" i="31"/>
  <c r="T237" i="31"/>
  <c r="R237" i="31"/>
  <c r="T236" i="31"/>
  <c r="R236" i="31"/>
  <c r="T235" i="31"/>
  <c r="R235" i="31"/>
  <c r="T216" i="31"/>
  <c r="V167" i="31"/>
  <c r="V149" i="31"/>
  <c r="B136" i="31"/>
  <c r="B196" i="31" s="1"/>
  <c r="B291" i="31" s="1"/>
  <c r="T121" i="31"/>
  <c r="T114" i="31"/>
  <c r="A114" i="31"/>
  <c r="A115" i="31" s="1"/>
  <c r="A116" i="31" s="1"/>
  <c r="A117" i="31" s="1"/>
  <c r="A118" i="31" s="1"/>
  <c r="A119" i="31" s="1"/>
  <c r="A103" i="31"/>
  <c r="A104" i="31" s="1"/>
  <c r="T98" i="31"/>
  <c r="T97" i="31"/>
  <c r="N87" i="31"/>
  <c r="V82" i="31"/>
  <c r="V81" i="31"/>
  <c r="T71" i="31"/>
  <c r="N71" i="31"/>
  <c r="N84" i="31" s="1"/>
  <c r="L71" i="31"/>
  <c r="L84" i="31" s="1"/>
  <c r="V69" i="31"/>
  <c r="T211" i="31"/>
  <c r="R58" i="31"/>
  <c r="R57" i="31"/>
  <c r="V50" i="31"/>
  <c r="P43" i="31"/>
  <c r="L43" i="31"/>
  <c r="F43" i="31"/>
  <c r="R36" i="31"/>
  <c r="P36" i="31"/>
  <c r="N36" i="31"/>
  <c r="L36" i="31"/>
  <c r="J36" i="31"/>
  <c r="H36" i="31"/>
  <c r="F36" i="31"/>
  <c r="V36" i="31" s="1"/>
  <c r="D36" i="31"/>
  <c r="R35" i="31"/>
  <c r="P35" i="31"/>
  <c r="N35" i="31"/>
  <c r="L35" i="31"/>
  <c r="J35" i="31"/>
  <c r="H35" i="31"/>
  <c r="F35" i="31"/>
  <c r="D35" i="31"/>
  <c r="V34" i="31"/>
  <c r="R33" i="31"/>
  <c r="P33" i="31"/>
  <c r="N33" i="31"/>
  <c r="L33" i="31"/>
  <c r="J33" i="31"/>
  <c r="H33" i="31"/>
  <c r="F33" i="31"/>
  <c r="D33" i="31"/>
  <c r="R32" i="31"/>
  <c r="P32" i="31"/>
  <c r="N32" i="31"/>
  <c r="L32" i="31"/>
  <c r="J32" i="31"/>
  <c r="H32" i="31"/>
  <c r="F32" i="31"/>
  <c r="D32" i="31"/>
  <c r="V106" i="30"/>
  <c r="V104" i="30"/>
  <c r="V91" i="30"/>
  <c r="V90" i="30"/>
  <c r="T89" i="30"/>
  <c r="T96" i="30" s="1"/>
  <c r="T98" i="30"/>
  <c r="T97" i="30"/>
  <c r="R68" i="30"/>
  <c r="R71" i="30" s="1"/>
  <c r="P68" i="30"/>
  <c r="P71" i="30" s="1"/>
  <c r="P44" i="30"/>
  <c r="L44" i="30"/>
  <c r="F44" i="30"/>
  <c r="V169" i="30"/>
  <c r="T280" i="30"/>
  <c r="R280" i="30"/>
  <c r="S217" i="30" s="1"/>
  <c r="S280" i="30"/>
  <c r="T268" i="30"/>
  <c r="U266" i="30" s="1"/>
  <c r="R268" i="30"/>
  <c r="T256" i="30"/>
  <c r="R256" i="30"/>
  <c r="T242" i="30"/>
  <c r="R242" i="30"/>
  <c r="T241" i="30"/>
  <c r="R241" i="30"/>
  <c r="T240" i="30"/>
  <c r="R240" i="30"/>
  <c r="T239" i="30"/>
  <c r="R239" i="30"/>
  <c r="T238" i="30"/>
  <c r="R238" i="30"/>
  <c r="T237" i="30"/>
  <c r="R237" i="30"/>
  <c r="T236" i="30"/>
  <c r="R236" i="30"/>
  <c r="T235" i="30"/>
  <c r="R235" i="30"/>
  <c r="V167" i="30"/>
  <c r="V149" i="30"/>
  <c r="B136" i="30"/>
  <c r="B196" i="30" s="1"/>
  <c r="B291" i="30" s="1"/>
  <c r="T123" i="30"/>
  <c r="T121" i="30"/>
  <c r="T114" i="30"/>
  <c r="A114" i="30"/>
  <c r="A115" i="30" s="1"/>
  <c r="A116" i="30" s="1"/>
  <c r="A117" i="30" s="1"/>
  <c r="A118" i="30" s="1"/>
  <c r="A119" i="30" s="1"/>
  <c r="A103" i="30"/>
  <c r="A104" i="30" s="1"/>
  <c r="N87" i="30"/>
  <c r="V82" i="30"/>
  <c r="V81" i="30"/>
  <c r="T71" i="30"/>
  <c r="N71" i="30"/>
  <c r="N84" i="30" s="1"/>
  <c r="L71" i="30"/>
  <c r="L84" i="30" s="1"/>
  <c r="V69" i="30"/>
  <c r="R58" i="30"/>
  <c r="R57" i="30"/>
  <c r="V50" i="30"/>
  <c r="P43" i="30"/>
  <c r="L43" i="30"/>
  <c r="F43" i="30"/>
  <c r="R36" i="30"/>
  <c r="P36" i="30"/>
  <c r="N36" i="30"/>
  <c r="L36" i="30"/>
  <c r="J36" i="30"/>
  <c r="V36" i="30" s="1"/>
  <c r="H36" i="30"/>
  <c r="F36" i="30"/>
  <c r="D36" i="30"/>
  <c r="R35" i="30"/>
  <c r="P35" i="30"/>
  <c r="N35" i="30"/>
  <c r="L35" i="30"/>
  <c r="J35" i="30"/>
  <c r="V35" i="30" s="1"/>
  <c r="V43" i="30" s="1"/>
  <c r="T203" i="30" s="1"/>
  <c r="T204" i="30" s="1"/>
  <c r="H35" i="30"/>
  <c r="F35" i="30"/>
  <c r="D35" i="30"/>
  <c r="V34" i="30"/>
  <c r="V52" i="30" s="1"/>
  <c r="R33" i="30"/>
  <c r="P33" i="30"/>
  <c r="N33" i="30"/>
  <c r="L33" i="30"/>
  <c r="J33" i="30"/>
  <c r="H33" i="30"/>
  <c r="F33" i="30"/>
  <c r="D33" i="30"/>
  <c r="R32" i="30"/>
  <c r="P32" i="30"/>
  <c r="N32" i="30"/>
  <c r="L32" i="30"/>
  <c r="J32" i="30"/>
  <c r="H32" i="30"/>
  <c r="F32" i="30"/>
  <c r="D32" i="30"/>
  <c r="V106" i="29"/>
  <c r="V104" i="29"/>
  <c r="V91" i="29"/>
  <c r="V90" i="29"/>
  <c r="T89" i="29"/>
  <c r="T96" i="29" s="1"/>
  <c r="R68" i="29"/>
  <c r="R71" i="29" s="1"/>
  <c r="P68" i="29"/>
  <c r="P71" i="29" s="1"/>
  <c r="P44" i="29"/>
  <c r="L44" i="29"/>
  <c r="F44" i="29"/>
  <c r="T280" i="29"/>
  <c r="R280" i="29"/>
  <c r="S278" i="29" s="1"/>
  <c r="S280" i="29" s="1"/>
  <c r="T268" i="29"/>
  <c r="U259" i="29" s="1"/>
  <c r="R268" i="29"/>
  <c r="S216" i="29" s="1"/>
  <c r="T256" i="29"/>
  <c r="U252" i="29" s="1"/>
  <c r="R256" i="29"/>
  <c r="S247" i="29" s="1"/>
  <c r="T242" i="29"/>
  <c r="R242" i="29"/>
  <c r="T241" i="29"/>
  <c r="R241" i="29"/>
  <c r="T240" i="29"/>
  <c r="R240" i="29"/>
  <c r="T239" i="29"/>
  <c r="R239" i="29"/>
  <c r="T238" i="29"/>
  <c r="R238" i="29"/>
  <c r="T237" i="29"/>
  <c r="R237" i="29"/>
  <c r="T236" i="29"/>
  <c r="R236" i="29"/>
  <c r="T235" i="29"/>
  <c r="R235" i="29"/>
  <c r="V167" i="29"/>
  <c r="V149" i="29"/>
  <c r="B136" i="29"/>
  <c r="B196" i="29" s="1"/>
  <c r="B291" i="29" s="1"/>
  <c r="T121" i="29"/>
  <c r="T114" i="29"/>
  <c r="A114" i="29"/>
  <c r="A115" i="29" s="1"/>
  <c r="A116" i="29" s="1"/>
  <c r="A117" i="29" s="1"/>
  <c r="A118" i="29" s="1"/>
  <c r="A119" i="29" s="1"/>
  <c r="A103" i="29"/>
  <c r="A104" i="29" s="1"/>
  <c r="T98" i="29"/>
  <c r="T97" i="29"/>
  <c r="N87" i="29"/>
  <c r="V82" i="29"/>
  <c r="V81" i="29"/>
  <c r="T71" i="29"/>
  <c r="N71" i="29"/>
  <c r="N84" i="29" s="1"/>
  <c r="L71" i="29"/>
  <c r="L84" i="29" s="1"/>
  <c r="V69" i="29"/>
  <c r="R58" i="29"/>
  <c r="R57" i="29"/>
  <c r="V50" i="29"/>
  <c r="P43" i="29"/>
  <c r="L43" i="29"/>
  <c r="F43" i="29"/>
  <c r="R36" i="29"/>
  <c r="P36" i="29"/>
  <c r="N36" i="29"/>
  <c r="L36" i="29"/>
  <c r="J36" i="29"/>
  <c r="H36" i="29"/>
  <c r="V36" i="29" s="1"/>
  <c r="F36" i="29"/>
  <c r="D36" i="29"/>
  <c r="R35" i="29"/>
  <c r="P35" i="29"/>
  <c r="N35" i="29"/>
  <c r="L35" i="29"/>
  <c r="J35" i="29"/>
  <c r="H35" i="29"/>
  <c r="V35" i="29" s="1"/>
  <c r="V43" i="29" s="1"/>
  <c r="T203" i="29" s="1"/>
  <c r="T204" i="29" s="1"/>
  <c r="F35" i="29"/>
  <c r="D35" i="29"/>
  <c r="V34" i="29"/>
  <c r="R33" i="29"/>
  <c r="P33" i="29"/>
  <c r="N33" i="29"/>
  <c r="L33" i="29"/>
  <c r="J33" i="29"/>
  <c r="H33" i="29"/>
  <c r="F33" i="29"/>
  <c r="D33" i="29"/>
  <c r="R32" i="29"/>
  <c r="P32" i="29"/>
  <c r="N32" i="29"/>
  <c r="L32" i="29"/>
  <c r="J32" i="29"/>
  <c r="H32" i="29"/>
  <c r="F32" i="29"/>
  <c r="D32" i="29"/>
  <c r="V169" i="28"/>
  <c r="V106" i="28"/>
  <c r="V104" i="28"/>
  <c r="V91" i="28"/>
  <c r="V90" i="28"/>
  <c r="T89" i="28"/>
  <c r="T96" i="28" s="1"/>
  <c r="P68" i="28"/>
  <c r="T211" i="28" s="1"/>
  <c r="P44" i="28"/>
  <c r="L44" i="28"/>
  <c r="F44" i="28"/>
  <c r="T280" i="28"/>
  <c r="T217" i="28" s="1"/>
  <c r="R280" i="28"/>
  <c r="T268" i="28"/>
  <c r="U259" i="28" s="1"/>
  <c r="R268" i="28"/>
  <c r="S266" i="28" s="1"/>
  <c r="T256" i="28"/>
  <c r="R256" i="28"/>
  <c r="T242" i="28"/>
  <c r="R242" i="28"/>
  <c r="T241" i="28"/>
  <c r="R241" i="28"/>
  <c r="T240" i="28"/>
  <c r="R240" i="28"/>
  <c r="T239" i="28"/>
  <c r="R239" i="28"/>
  <c r="T238" i="28"/>
  <c r="R238" i="28"/>
  <c r="T237" i="28"/>
  <c r="R237" i="28"/>
  <c r="T236" i="28"/>
  <c r="R236" i="28"/>
  <c r="T235" i="28"/>
  <c r="R235" i="28"/>
  <c r="S216" i="28"/>
  <c r="V181" i="28"/>
  <c r="V167" i="28"/>
  <c r="V149" i="28"/>
  <c r="B136" i="28"/>
  <c r="B196" i="28" s="1"/>
  <c r="B291" i="28" s="1"/>
  <c r="T123" i="28"/>
  <c r="T121" i="28"/>
  <c r="T114" i="28"/>
  <c r="A114" i="28"/>
  <c r="A115" i="28" s="1"/>
  <c r="A116" i="28" s="1"/>
  <c r="A117" i="28" s="1"/>
  <c r="A118" i="28" s="1"/>
  <c r="A119" i="28" s="1"/>
  <c r="A103" i="28"/>
  <c r="A104" i="28" s="1"/>
  <c r="T98" i="28"/>
  <c r="T97" i="28"/>
  <c r="T100" i="28" s="1"/>
  <c r="N87" i="28"/>
  <c r="V82" i="28"/>
  <c r="V81" i="28"/>
  <c r="T71" i="28"/>
  <c r="N71" i="28"/>
  <c r="N84" i="28" s="1"/>
  <c r="L71" i="28"/>
  <c r="L84" i="28" s="1"/>
  <c r="V69" i="28"/>
  <c r="R71" i="28"/>
  <c r="R58" i="28"/>
  <c r="R57" i="28"/>
  <c r="V50" i="28"/>
  <c r="P43" i="28"/>
  <c r="L43" i="28"/>
  <c r="F43" i="28"/>
  <c r="R36" i="28"/>
  <c r="P36" i="28"/>
  <c r="N36" i="28"/>
  <c r="L36" i="28"/>
  <c r="J36" i="28"/>
  <c r="H36" i="28"/>
  <c r="F36" i="28"/>
  <c r="D36" i="28"/>
  <c r="R35" i="28"/>
  <c r="P35" i="28"/>
  <c r="N35" i="28"/>
  <c r="L35" i="28"/>
  <c r="J35" i="28"/>
  <c r="H35" i="28"/>
  <c r="F35" i="28"/>
  <c r="D35" i="28"/>
  <c r="V34" i="28"/>
  <c r="R33" i="28"/>
  <c r="P33" i="28"/>
  <c r="N33" i="28"/>
  <c r="L33" i="28"/>
  <c r="J33" i="28"/>
  <c r="H33" i="28"/>
  <c r="F33" i="28"/>
  <c r="D33" i="28"/>
  <c r="R32" i="28"/>
  <c r="P32" i="28"/>
  <c r="N32" i="28"/>
  <c r="L32" i="28"/>
  <c r="J32" i="28"/>
  <c r="H32" i="28"/>
  <c r="F32" i="28"/>
  <c r="D32" i="28"/>
  <c r="V106" i="27"/>
  <c r="V104" i="27"/>
  <c r="V91" i="27"/>
  <c r="V90" i="27"/>
  <c r="T89" i="27"/>
  <c r="T96" i="27" s="1"/>
  <c r="T100" i="27" s="1"/>
  <c r="R68" i="27"/>
  <c r="R71" i="27" s="1"/>
  <c r="P68" i="27"/>
  <c r="T211" i="27" s="1"/>
  <c r="P44" i="27"/>
  <c r="L44" i="27"/>
  <c r="F44" i="27"/>
  <c r="T280" i="27"/>
  <c r="T256" i="27"/>
  <c r="T268" i="27"/>
  <c r="T216" i="27" s="1"/>
  <c r="R280" i="27"/>
  <c r="S217" i="27" s="1"/>
  <c r="R256" i="27"/>
  <c r="R268" i="27"/>
  <c r="T242" i="27"/>
  <c r="R242" i="27"/>
  <c r="T241" i="27"/>
  <c r="R241" i="27"/>
  <c r="T240" i="27"/>
  <c r="R240" i="27"/>
  <c r="T239" i="27"/>
  <c r="R239" i="27"/>
  <c r="T238" i="27"/>
  <c r="R238" i="27"/>
  <c r="T237" i="27"/>
  <c r="R237" i="27"/>
  <c r="T236" i="27"/>
  <c r="R236" i="27"/>
  <c r="T235" i="27"/>
  <c r="R235" i="27"/>
  <c r="V181" i="27"/>
  <c r="V167" i="27"/>
  <c r="V166" i="27"/>
  <c r="V149" i="27"/>
  <c r="B136" i="27"/>
  <c r="B196" i="27" s="1"/>
  <c r="B291" i="27" s="1"/>
  <c r="T123" i="27"/>
  <c r="T121" i="27"/>
  <c r="T114" i="27"/>
  <c r="A114" i="27"/>
  <c r="A115" i="27" s="1"/>
  <c r="A116" i="27" s="1"/>
  <c r="A117" i="27" s="1"/>
  <c r="A118" i="27" s="1"/>
  <c r="A119" i="27" s="1"/>
  <c r="A103" i="27"/>
  <c r="A104" i="27" s="1"/>
  <c r="T98" i="27"/>
  <c r="T97" i="27"/>
  <c r="N87" i="27"/>
  <c r="V82" i="27"/>
  <c r="V81" i="27"/>
  <c r="T71" i="27"/>
  <c r="N71" i="27"/>
  <c r="N84" i="27" s="1"/>
  <c r="L71" i="27"/>
  <c r="L84" i="27" s="1"/>
  <c r="V69" i="27"/>
  <c r="R58" i="27"/>
  <c r="R57" i="27"/>
  <c r="V50" i="27"/>
  <c r="P43" i="27"/>
  <c r="L43" i="27"/>
  <c r="F43" i="27"/>
  <c r="R36" i="27"/>
  <c r="P36" i="27"/>
  <c r="N36" i="27"/>
  <c r="L36" i="27"/>
  <c r="J36" i="27"/>
  <c r="H36" i="27"/>
  <c r="F36" i="27"/>
  <c r="D36" i="27"/>
  <c r="R35" i="27"/>
  <c r="P35" i="27"/>
  <c r="N35" i="27"/>
  <c r="L35" i="27"/>
  <c r="J35" i="27"/>
  <c r="H35" i="27"/>
  <c r="F35" i="27"/>
  <c r="D35" i="27"/>
  <c r="V34" i="27"/>
  <c r="V52" i="27" s="1"/>
  <c r="R33" i="27"/>
  <c r="P33" i="27"/>
  <c r="N33" i="27"/>
  <c r="L33" i="27"/>
  <c r="J33" i="27"/>
  <c r="H33" i="27"/>
  <c r="F33" i="27"/>
  <c r="D33" i="27"/>
  <c r="R32" i="27"/>
  <c r="P32" i="27"/>
  <c r="N32" i="27"/>
  <c r="L32" i="27"/>
  <c r="J32" i="27"/>
  <c r="H32" i="27"/>
  <c r="F32" i="27"/>
  <c r="D32" i="27"/>
  <c r="V106" i="26"/>
  <c r="V104" i="26"/>
  <c r="V91" i="26"/>
  <c r="V96" i="26" s="1"/>
  <c r="V100" i="26" s="1"/>
  <c r="V90" i="26"/>
  <c r="T89" i="26"/>
  <c r="T96" i="26" s="1"/>
  <c r="P68" i="26"/>
  <c r="R68" i="26"/>
  <c r="P44" i="26"/>
  <c r="L44" i="26"/>
  <c r="F44" i="26"/>
  <c r="T279" i="26"/>
  <c r="U277" i="26" s="1"/>
  <c r="U279" i="26" s="1"/>
  <c r="R279" i="26"/>
  <c r="T267" i="26"/>
  <c r="R267" i="26"/>
  <c r="T255" i="26"/>
  <c r="U251" i="26" s="1"/>
  <c r="R255" i="26"/>
  <c r="T241" i="26"/>
  <c r="R241" i="26"/>
  <c r="T240" i="26"/>
  <c r="R240" i="26"/>
  <c r="T239" i="26"/>
  <c r="R239" i="26"/>
  <c r="T238" i="26"/>
  <c r="R238" i="26"/>
  <c r="T237" i="26"/>
  <c r="R237" i="26"/>
  <c r="T236" i="26"/>
  <c r="U236" i="26" s="1"/>
  <c r="R236" i="26"/>
  <c r="T235" i="26"/>
  <c r="R235" i="26"/>
  <c r="T234" i="26"/>
  <c r="R234" i="26"/>
  <c r="V180" i="26"/>
  <c r="V166" i="26"/>
  <c r="V148" i="26"/>
  <c r="B135" i="26"/>
  <c r="B195" i="26" s="1"/>
  <c r="B290" i="26" s="1"/>
  <c r="T122" i="26"/>
  <c r="T120" i="26"/>
  <c r="T113" i="26"/>
  <c r="A113" i="26"/>
  <c r="A114" i="26" s="1"/>
  <c r="A115" i="26" s="1"/>
  <c r="A116" i="26" s="1"/>
  <c r="A117" i="26" s="1"/>
  <c r="A118" i="26" s="1"/>
  <c r="A103" i="26"/>
  <c r="A104" i="26" s="1"/>
  <c r="T98" i="26"/>
  <c r="T97" i="26"/>
  <c r="N87" i="26"/>
  <c r="V82" i="26"/>
  <c r="V81" i="26"/>
  <c r="T71" i="26"/>
  <c r="N71" i="26"/>
  <c r="N84" i="26" s="1"/>
  <c r="L71" i="26"/>
  <c r="L84" i="26" s="1"/>
  <c r="V69" i="26"/>
  <c r="R71" i="26"/>
  <c r="R58" i="26"/>
  <c r="R57" i="26"/>
  <c r="V50" i="26"/>
  <c r="P43" i="26"/>
  <c r="L43" i="26"/>
  <c r="F43" i="26"/>
  <c r="R36" i="26"/>
  <c r="P36" i="26"/>
  <c r="N36" i="26"/>
  <c r="L36" i="26"/>
  <c r="J36" i="26"/>
  <c r="H36" i="26"/>
  <c r="V36" i="26" s="1"/>
  <c r="F36" i="26"/>
  <c r="D36" i="26"/>
  <c r="R35" i="26"/>
  <c r="P35" i="26"/>
  <c r="N35" i="26"/>
  <c r="L35" i="26"/>
  <c r="J35" i="26"/>
  <c r="H35" i="26"/>
  <c r="F35" i="26"/>
  <c r="D35" i="26"/>
  <c r="V34" i="26"/>
  <c r="V139" i="26" s="1"/>
  <c r="R33" i="26"/>
  <c r="P33" i="26"/>
  <c r="N33" i="26"/>
  <c r="L33" i="26"/>
  <c r="J33" i="26"/>
  <c r="H33" i="26"/>
  <c r="F33" i="26"/>
  <c r="D33" i="26"/>
  <c r="R32" i="26"/>
  <c r="P32" i="26"/>
  <c r="N32" i="26"/>
  <c r="L32" i="26"/>
  <c r="J32" i="26"/>
  <c r="H32" i="26"/>
  <c r="F32" i="26"/>
  <c r="D32" i="26"/>
  <c r="T89" i="25"/>
  <c r="T96" i="25" s="1"/>
  <c r="P68" i="25"/>
  <c r="P71" i="25" s="1"/>
  <c r="R68" i="25"/>
  <c r="V106" i="25"/>
  <c r="V104" i="25"/>
  <c r="V91" i="25"/>
  <c r="V90" i="25"/>
  <c r="P44" i="25"/>
  <c r="L44" i="25"/>
  <c r="F44" i="25"/>
  <c r="T279" i="25"/>
  <c r="R279" i="25"/>
  <c r="S216" i="25" s="1"/>
  <c r="T267" i="25"/>
  <c r="U259" i="25" s="1"/>
  <c r="R267" i="25"/>
  <c r="T255" i="25"/>
  <c r="R255" i="25"/>
  <c r="T241" i="25"/>
  <c r="R241" i="25"/>
  <c r="T240" i="25"/>
  <c r="R240" i="25"/>
  <c r="T239" i="25"/>
  <c r="R239" i="25"/>
  <c r="T238" i="25"/>
  <c r="R238" i="25"/>
  <c r="T237" i="25"/>
  <c r="R237" i="25"/>
  <c r="T236" i="25"/>
  <c r="R236" i="25"/>
  <c r="T235" i="25"/>
  <c r="R235" i="25"/>
  <c r="T234" i="25"/>
  <c r="R234" i="25"/>
  <c r="V180" i="25"/>
  <c r="V168" i="25"/>
  <c r="V166" i="25"/>
  <c r="V148" i="25"/>
  <c r="B135" i="25"/>
  <c r="B195" i="25" s="1"/>
  <c r="B290" i="25" s="1"/>
  <c r="T122" i="25"/>
  <c r="T120" i="25"/>
  <c r="T113" i="25"/>
  <c r="A113" i="25"/>
  <c r="A114" i="25" s="1"/>
  <c r="A115" i="25" s="1"/>
  <c r="A116" i="25" s="1"/>
  <c r="A117" i="25" s="1"/>
  <c r="A118" i="25" s="1"/>
  <c r="A103" i="25"/>
  <c r="A104" i="25" s="1"/>
  <c r="T98" i="25"/>
  <c r="T97" i="25"/>
  <c r="N87" i="25"/>
  <c r="V82" i="25"/>
  <c r="V81" i="25"/>
  <c r="T71" i="25"/>
  <c r="N71" i="25"/>
  <c r="N84" i="25" s="1"/>
  <c r="L71" i="25"/>
  <c r="L84" i="25" s="1"/>
  <c r="V69" i="25"/>
  <c r="R58" i="25"/>
  <c r="R57" i="25"/>
  <c r="V50" i="25"/>
  <c r="P43" i="25"/>
  <c r="L43" i="25"/>
  <c r="F43" i="25"/>
  <c r="R36" i="25"/>
  <c r="P36" i="25"/>
  <c r="N36" i="25"/>
  <c r="L36" i="25"/>
  <c r="J36" i="25"/>
  <c r="H36" i="25"/>
  <c r="F36" i="25"/>
  <c r="D36" i="25"/>
  <c r="R35" i="25"/>
  <c r="P35" i="25"/>
  <c r="N35" i="25"/>
  <c r="L35" i="25"/>
  <c r="J35" i="25"/>
  <c r="H35" i="25"/>
  <c r="F35" i="25"/>
  <c r="D35" i="25"/>
  <c r="V34" i="25"/>
  <c r="V139" i="25" s="1"/>
  <c r="R33" i="25"/>
  <c r="P33" i="25"/>
  <c r="N33" i="25"/>
  <c r="L33" i="25"/>
  <c r="J33" i="25"/>
  <c r="H33" i="25"/>
  <c r="F33" i="25"/>
  <c r="D33" i="25"/>
  <c r="R32" i="25"/>
  <c r="P32" i="25"/>
  <c r="N32" i="25"/>
  <c r="L32" i="25"/>
  <c r="J32" i="25"/>
  <c r="H32" i="25"/>
  <c r="F32" i="25"/>
  <c r="D32" i="25"/>
  <c r="T89" i="24"/>
  <c r="P68" i="24"/>
  <c r="T210" i="24" s="1"/>
  <c r="R68" i="24"/>
  <c r="V168" i="24"/>
  <c r="V106" i="24"/>
  <c r="V104" i="24"/>
  <c r="V91" i="24"/>
  <c r="V96" i="24" s="1"/>
  <c r="V100" i="24" s="1"/>
  <c r="V90" i="24"/>
  <c r="P44" i="24"/>
  <c r="L44" i="24"/>
  <c r="F44" i="24"/>
  <c r="T279" i="24"/>
  <c r="U274" i="24" s="1"/>
  <c r="U279" i="24" s="1"/>
  <c r="R279" i="24"/>
  <c r="S274" i="24" s="1"/>
  <c r="S279" i="24" s="1"/>
  <c r="T267" i="24"/>
  <c r="U265" i="24" s="1"/>
  <c r="R267" i="24"/>
  <c r="S263" i="24" s="1"/>
  <c r="T255" i="24"/>
  <c r="U250" i="24" s="1"/>
  <c r="R255" i="24"/>
  <c r="T241" i="24"/>
  <c r="R241" i="24"/>
  <c r="T240" i="24"/>
  <c r="R240" i="24"/>
  <c r="T239" i="24"/>
  <c r="R239" i="24"/>
  <c r="T238" i="24"/>
  <c r="R238" i="24"/>
  <c r="T237" i="24"/>
  <c r="R237" i="24"/>
  <c r="T236" i="24"/>
  <c r="R236" i="24"/>
  <c r="T235" i="24"/>
  <c r="R235" i="24"/>
  <c r="T234" i="24"/>
  <c r="R234" i="24"/>
  <c r="V180" i="24"/>
  <c r="V166" i="24"/>
  <c r="V148" i="24"/>
  <c r="B135" i="24"/>
  <c r="B195" i="24" s="1"/>
  <c r="B290" i="24" s="1"/>
  <c r="T122" i="24"/>
  <c r="T120" i="24"/>
  <c r="T131" i="24" s="1"/>
  <c r="T113" i="24"/>
  <c r="A113" i="24"/>
  <c r="A114" i="24" s="1"/>
  <c r="A115" i="24" s="1"/>
  <c r="A116" i="24" s="1"/>
  <c r="A117" i="24" s="1"/>
  <c r="A118" i="24" s="1"/>
  <c r="A103" i="24"/>
  <c r="A104" i="24" s="1"/>
  <c r="T98" i="24"/>
  <c r="T97" i="24"/>
  <c r="T96" i="24"/>
  <c r="N87" i="24"/>
  <c r="V82" i="24"/>
  <c r="V81" i="24"/>
  <c r="T71" i="24"/>
  <c r="N71" i="24"/>
  <c r="N84" i="24" s="1"/>
  <c r="L71" i="24"/>
  <c r="L84" i="24" s="1"/>
  <c r="V69" i="24"/>
  <c r="R58" i="24"/>
  <c r="R57" i="24"/>
  <c r="V50" i="24"/>
  <c r="P43" i="24"/>
  <c r="L43" i="24"/>
  <c r="F43" i="24"/>
  <c r="R36" i="24"/>
  <c r="P36" i="24"/>
  <c r="N36" i="24"/>
  <c r="L36" i="24"/>
  <c r="J36" i="24"/>
  <c r="V36" i="24" s="1"/>
  <c r="H36" i="24"/>
  <c r="F36" i="24"/>
  <c r="D36" i="24"/>
  <c r="R35" i="24"/>
  <c r="P35" i="24"/>
  <c r="N35" i="24"/>
  <c r="L35" i="24"/>
  <c r="J35" i="24"/>
  <c r="V35" i="24" s="1"/>
  <c r="V43" i="24" s="1"/>
  <c r="T202" i="24" s="1"/>
  <c r="T203" i="24" s="1"/>
  <c r="H35" i="24"/>
  <c r="F35" i="24"/>
  <c r="D35" i="24"/>
  <c r="V34" i="24"/>
  <c r="V52" i="24" s="1"/>
  <c r="R33" i="24"/>
  <c r="P33" i="24"/>
  <c r="N33" i="24"/>
  <c r="L33" i="24"/>
  <c r="J33" i="24"/>
  <c r="H33" i="24"/>
  <c r="F33" i="24"/>
  <c r="D33" i="24"/>
  <c r="R32" i="24"/>
  <c r="P32" i="24"/>
  <c r="N32" i="24"/>
  <c r="L32" i="24"/>
  <c r="J32" i="24"/>
  <c r="H32" i="24"/>
  <c r="F32" i="24"/>
  <c r="D32" i="24"/>
  <c r="V106" i="23"/>
  <c r="V104" i="23"/>
  <c r="V91" i="23"/>
  <c r="V90" i="23"/>
  <c r="V96" i="23" s="1"/>
  <c r="V100" i="23" s="1"/>
  <c r="V190" i="23" s="1"/>
  <c r="T89" i="23"/>
  <c r="T96" i="23" s="1"/>
  <c r="R68" i="23"/>
  <c r="P68" i="23"/>
  <c r="P44" i="23"/>
  <c r="L44" i="23"/>
  <c r="F44" i="23"/>
  <c r="U279" i="23"/>
  <c r="T279" i="23"/>
  <c r="T216" i="23" s="1"/>
  <c r="S279" i="23"/>
  <c r="R279" i="23"/>
  <c r="T267" i="23"/>
  <c r="R267" i="23"/>
  <c r="S259" i="23" s="1"/>
  <c r="T255" i="23"/>
  <c r="R255" i="23"/>
  <c r="T241" i="23"/>
  <c r="R241" i="23"/>
  <c r="T240" i="23"/>
  <c r="R240" i="23"/>
  <c r="T239" i="23"/>
  <c r="R239" i="23"/>
  <c r="T238" i="23"/>
  <c r="R238" i="23"/>
  <c r="T237" i="23"/>
  <c r="R237" i="23"/>
  <c r="T236" i="23"/>
  <c r="R236" i="23"/>
  <c r="T235" i="23"/>
  <c r="R235" i="23"/>
  <c r="R243" i="23" s="1"/>
  <c r="S238" i="23" s="1"/>
  <c r="T234" i="23"/>
  <c r="R234" i="23"/>
  <c r="V180" i="23"/>
  <c r="V166" i="23"/>
  <c r="V148" i="23"/>
  <c r="B135" i="23"/>
  <c r="B195" i="23" s="1"/>
  <c r="B290" i="23" s="1"/>
  <c r="T122" i="23"/>
  <c r="T120" i="23"/>
  <c r="T131" i="23" s="1"/>
  <c r="T113" i="23"/>
  <c r="A113" i="23"/>
  <c r="A114" i="23" s="1"/>
  <c r="A115" i="23" s="1"/>
  <c r="A116" i="23" s="1"/>
  <c r="A117" i="23" s="1"/>
  <c r="A118" i="23" s="1"/>
  <c r="A103" i="23"/>
  <c r="A104" i="23" s="1"/>
  <c r="T98" i="23"/>
  <c r="T100" i="23" s="1"/>
  <c r="T97" i="23"/>
  <c r="N87" i="23"/>
  <c r="V82" i="23"/>
  <c r="V81" i="23"/>
  <c r="T71" i="23"/>
  <c r="N71" i="23"/>
  <c r="N84" i="23" s="1"/>
  <c r="L71" i="23"/>
  <c r="L84" i="23" s="1"/>
  <c r="V69" i="23"/>
  <c r="R58" i="23"/>
  <c r="R57" i="23"/>
  <c r="V50" i="23"/>
  <c r="P43" i="23"/>
  <c r="L43" i="23"/>
  <c r="F43" i="23"/>
  <c r="R36" i="23"/>
  <c r="P36" i="23"/>
  <c r="N36" i="23"/>
  <c r="L36" i="23"/>
  <c r="J36" i="23"/>
  <c r="H36" i="23"/>
  <c r="F36" i="23"/>
  <c r="D36" i="23"/>
  <c r="R35" i="23"/>
  <c r="P35" i="23"/>
  <c r="N35" i="23"/>
  <c r="L35" i="23"/>
  <c r="J35" i="23"/>
  <c r="H35" i="23"/>
  <c r="V35" i="23" s="1"/>
  <c r="V43" i="23" s="1"/>
  <c r="T202" i="23" s="1"/>
  <c r="T203" i="23" s="1"/>
  <c r="F35" i="23"/>
  <c r="D35" i="23"/>
  <c r="V34" i="23"/>
  <c r="R33" i="23"/>
  <c r="P33" i="23"/>
  <c r="N33" i="23"/>
  <c r="L33" i="23"/>
  <c r="J33" i="23"/>
  <c r="H33" i="23"/>
  <c r="F33" i="23"/>
  <c r="D33" i="23"/>
  <c r="R32" i="23"/>
  <c r="P32" i="23"/>
  <c r="N32" i="23"/>
  <c r="L32" i="23"/>
  <c r="J32" i="23"/>
  <c r="H32" i="23"/>
  <c r="F32" i="23"/>
  <c r="D32" i="23"/>
  <c r="V106" i="22"/>
  <c r="V91" i="22"/>
  <c r="V104" i="22"/>
  <c r="V90" i="22"/>
  <c r="T89" i="22"/>
  <c r="T96" i="22" s="1"/>
  <c r="R68" i="22"/>
  <c r="R71" i="22" s="1"/>
  <c r="P68" i="22"/>
  <c r="P44" i="22"/>
  <c r="L44" i="22"/>
  <c r="F44" i="22"/>
  <c r="D32" i="22"/>
  <c r="F32" i="22"/>
  <c r="H32" i="22"/>
  <c r="J32" i="22"/>
  <c r="L32" i="22"/>
  <c r="N32" i="22"/>
  <c r="P32" i="22"/>
  <c r="R32" i="22"/>
  <c r="D33" i="22"/>
  <c r="F33" i="22"/>
  <c r="H33" i="22"/>
  <c r="J33" i="22"/>
  <c r="L33" i="22"/>
  <c r="N33" i="22"/>
  <c r="P33" i="22"/>
  <c r="R33" i="22"/>
  <c r="V34" i="22"/>
  <c r="V139" i="22" s="1"/>
  <c r="D35" i="22"/>
  <c r="F35" i="22"/>
  <c r="V35" i="22" s="1"/>
  <c r="V43" i="22" s="1"/>
  <c r="T202" i="22" s="1"/>
  <c r="T203" i="22" s="1"/>
  <c r="H35" i="22"/>
  <c r="J35" i="22"/>
  <c r="L35" i="22"/>
  <c r="N35" i="22"/>
  <c r="P35" i="22"/>
  <c r="R35" i="22"/>
  <c r="D36" i="22"/>
  <c r="F36" i="22"/>
  <c r="H36" i="22"/>
  <c r="J36" i="22"/>
  <c r="L36" i="22"/>
  <c r="N36" i="22"/>
  <c r="P36" i="22"/>
  <c r="R36" i="22"/>
  <c r="F43" i="22"/>
  <c r="L43" i="22"/>
  <c r="P43" i="22"/>
  <c r="V50" i="22"/>
  <c r="R57" i="22"/>
  <c r="R58" i="22"/>
  <c r="V69" i="22"/>
  <c r="L71" i="22"/>
  <c r="L84" i="22" s="1"/>
  <c r="N71" i="22"/>
  <c r="N84" i="22" s="1"/>
  <c r="T71" i="22"/>
  <c r="V81" i="22"/>
  <c r="V82" i="22"/>
  <c r="N87" i="22"/>
  <c r="T97" i="22"/>
  <c r="T98" i="22"/>
  <c r="A103" i="22"/>
  <c r="A104" i="22" s="1"/>
  <c r="A113" i="22"/>
  <c r="A114" i="22" s="1"/>
  <c r="A115" i="22" s="1"/>
  <c r="A116" i="22" s="1"/>
  <c r="A117" i="22" s="1"/>
  <c r="A118" i="22" s="1"/>
  <c r="T113" i="22"/>
  <c r="T120" i="22"/>
  <c r="B135" i="22"/>
  <c r="B195" i="22" s="1"/>
  <c r="B290" i="22" s="1"/>
  <c r="V148" i="22"/>
  <c r="V165" i="22"/>
  <c r="V166" i="22"/>
  <c r="V168" i="22"/>
  <c r="T122" i="22"/>
  <c r="V180" i="22"/>
  <c r="T267" i="22"/>
  <c r="R234" i="22"/>
  <c r="R235" i="22"/>
  <c r="R236" i="22"/>
  <c r="R243" i="22" s="1"/>
  <c r="R237" i="22"/>
  <c r="R239" i="22"/>
  <c r="R240" i="22"/>
  <c r="R241" i="22"/>
  <c r="T234" i="22"/>
  <c r="T235" i="22"/>
  <c r="T236" i="22"/>
  <c r="T237" i="22"/>
  <c r="T239" i="22"/>
  <c r="T240" i="22"/>
  <c r="T241" i="22"/>
  <c r="T238" i="22"/>
  <c r="R238" i="22"/>
  <c r="T255" i="22"/>
  <c r="R255" i="22"/>
  <c r="R267" i="22"/>
  <c r="S264" i="22" s="1"/>
  <c r="R279" i="22"/>
  <c r="S216" i="22" s="1"/>
  <c r="S279" i="22"/>
  <c r="T279" i="22"/>
  <c r="T216" i="22" s="1"/>
  <c r="U279" i="22"/>
  <c r="V106" i="21"/>
  <c r="V104" i="21"/>
  <c r="V91" i="21"/>
  <c r="V90" i="21"/>
  <c r="V96" i="21" s="1"/>
  <c r="V100" i="21" s="1"/>
  <c r="T204" i="21" s="1"/>
  <c r="T89" i="21"/>
  <c r="T96" i="21" s="1"/>
  <c r="R68" i="21"/>
  <c r="P68" i="21"/>
  <c r="T210" i="21" s="1"/>
  <c r="P44" i="21"/>
  <c r="L44" i="21"/>
  <c r="F44" i="21"/>
  <c r="V168" i="21"/>
  <c r="V180" i="7"/>
  <c r="V181" i="15"/>
  <c r="V181" i="16"/>
  <c r="D32" i="21"/>
  <c r="F32" i="21"/>
  <c r="H32" i="21"/>
  <c r="J32" i="21"/>
  <c r="L32" i="21"/>
  <c r="N32" i="21"/>
  <c r="P32" i="21"/>
  <c r="R32" i="21"/>
  <c r="D33" i="21"/>
  <c r="F33" i="21"/>
  <c r="H33" i="21"/>
  <c r="J33" i="21"/>
  <c r="L33" i="21"/>
  <c r="N33" i="21"/>
  <c r="P33" i="21"/>
  <c r="R33" i="21"/>
  <c r="V34" i="21"/>
  <c r="S178" i="21" s="1"/>
  <c r="D35" i="21"/>
  <c r="F35" i="21"/>
  <c r="H35" i="21"/>
  <c r="J35" i="21"/>
  <c r="L35" i="21"/>
  <c r="N35" i="21"/>
  <c r="P35" i="21"/>
  <c r="R35" i="21"/>
  <c r="D36" i="21"/>
  <c r="F36" i="21"/>
  <c r="H36" i="21"/>
  <c r="J36" i="21"/>
  <c r="L36" i="21"/>
  <c r="N36" i="21"/>
  <c r="P36" i="21"/>
  <c r="R36" i="21"/>
  <c r="F43" i="21"/>
  <c r="L43" i="21"/>
  <c r="P43" i="21"/>
  <c r="V50" i="21"/>
  <c r="R57" i="21"/>
  <c r="R58" i="21"/>
  <c r="V69" i="21"/>
  <c r="L71" i="21"/>
  <c r="L84" i="21" s="1"/>
  <c r="N71" i="21"/>
  <c r="N84" i="21" s="1"/>
  <c r="T71" i="21"/>
  <c r="V81" i="21"/>
  <c r="V82" i="21"/>
  <c r="N87" i="21"/>
  <c r="T97" i="21"/>
  <c r="T98" i="21"/>
  <c r="A103" i="21"/>
  <c r="A104" i="21" s="1"/>
  <c r="A113" i="21"/>
  <c r="A114" i="21" s="1"/>
  <c r="A115" i="21" s="1"/>
  <c r="A116" i="21" s="1"/>
  <c r="A117" i="21" s="1"/>
  <c r="A118" i="21" s="1"/>
  <c r="T113" i="21"/>
  <c r="T120" i="21"/>
  <c r="B135" i="21"/>
  <c r="B195" i="21" s="1"/>
  <c r="B290" i="21" s="1"/>
  <c r="V148" i="21"/>
  <c r="V166" i="21"/>
  <c r="R267" i="21"/>
  <c r="T267" i="21"/>
  <c r="R279" i="21"/>
  <c r="T279" i="21"/>
  <c r="T216" i="21" s="1"/>
  <c r="R234" i="21"/>
  <c r="R235" i="21"/>
  <c r="R236" i="21"/>
  <c r="R237" i="21"/>
  <c r="R238" i="21"/>
  <c r="R239" i="21"/>
  <c r="R240" i="21"/>
  <c r="R241" i="21"/>
  <c r="T234" i="21"/>
  <c r="T235" i="21"/>
  <c r="T236" i="21"/>
  <c r="T237" i="21"/>
  <c r="T238" i="21"/>
  <c r="T239" i="21"/>
  <c r="T240" i="21"/>
  <c r="T241" i="21"/>
  <c r="R255" i="21"/>
  <c r="T255" i="21"/>
  <c r="U247" i="21" s="1"/>
  <c r="S279" i="21"/>
  <c r="U279" i="21"/>
  <c r="T89" i="20"/>
  <c r="R68" i="20"/>
  <c r="R71" i="20" s="1"/>
  <c r="P68" i="20"/>
  <c r="P71" i="20" s="1"/>
  <c r="D36" i="20"/>
  <c r="F36" i="20"/>
  <c r="H36" i="20"/>
  <c r="J36" i="20"/>
  <c r="L36" i="20"/>
  <c r="N36" i="20"/>
  <c r="P36" i="20"/>
  <c r="R36" i="20"/>
  <c r="V106" i="20"/>
  <c r="V104" i="20"/>
  <c r="V91" i="20"/>
  <c r="V90" i="20"/>
  <c r="V69" i="20"/>
  <c r="P44" i="20"/>
  <c r="L44" i="20"/>
  <c r="F44" i="20"/>
  <c r="D32" i="20"/>
  <c r="F32" i="20"/>
  <c r="H32" i="20"/>
  <c r="J32" i="20"/>
  <c r="L32" i="20"/>
  <c r="N32" i="20"/>
  <c r="P32" i="20"/>
  <c r="R32" i="20"/>
  <c r="D33" i="20"/>
  <c r="F33" i="20"/>
  <c r="H33" i="20"/>
  <c r="J33" i="20"/>
  <c r="L33" i="20"/>
  <c r="N33" i="20"/>
  <c r="P33" i="20"/>
  <c r="R33" i="20"/>
  <c r="V34" i="20"/>
  <c r="S178" i="20" s="1"/>
  <c r="D35" i="20"/>
  <c r="F35" i="20"/>
  <c r="H35" i="20"/>
  <c r="J35" i="20"/>
  <c r="L35" i="20"/>
  <c r="N35" i="20"/>
  <c r="P35" i="20"/>
  <c r="R35" i="20"/>
  <c r="F43" i="20"/>
  <c r="L43" i="20"/>
  <c r="P43" i="20"/>
  <c r="V50" i="20"/>
  <c r="R57" i="20"/>
  <c r="R58" i="20"/>
  <c r="L71" i="20"/>
  <c r="L84" i="20" s="1"/>
  <c r="N71" i="20"/>
  <c r="T71" i="20"/>
  <c r="V81" i="20"/>
  <c r="V82" i="20"/>
  <c r="N87" i="20"/>
  <c r="T96" i="20"/>
  <c r="T97" i="20"/>
  <c r="T98" i="20"/>
  <c r="A103" i="20"/>
  <c r="A104" i="20" s="1"/>
  <c r="A113" i="20"/>
  <c r="A114" i="20" s="1"/>
  <c r="A115" i="20" s="1"/>
  <c r="A116" i="20" s="1"/>
  <c r="A117" i="20" s="1"/>
  <c r="A118" i="20" s="1"/>
  <c r="T113" i="20"/>
  <c r="T120" i="20"/>
  <c r="T122" i="20"/>
  <c r="B135" i="20"/>
  <c r="B195" i="20" s="1"/>
  <c r="B290" i="20" s="1"/>
  <c r="V148" i="20"/>
  <c r="V166" i="20"/>
  <c r="V180" i="20"/>
  <c r="R267" i="20"/>
  <c r="S258" i="20" s="1"/>
  <c r="T267" i="20"/>
  <c r="U264" i="20" s="1"/>
  <c r="R279" i="20"/>
  <c r="T279" i="20"/>
  <c r="T216" i="20" s="1"/>
  <c r="R234" i="20"/>
  <c r="R235" i="20"/>
  <c r="R236" i="20"/>
  <c r="R237" i="20"/>
  <c r="R238" i="20"/>
  <c r="R239" i="20"/>
  <c r="R240" i="20"/>
  <c r="R241" i="20"/>
  <c r="T234" i="20"/>
  <c r="T235" i="20"/>
  <c r="T236" i="20"/>
  <c r="T237" i="20"/>
  <c r="T238" i="20"/>
  <c r="T239" i="20"/>
  <c r="T240" i="20"/>
  <c r="T241" i="20"/>
  <c r="R255" i="20"/>
  <c r="T255" i="20"/>
  <c r="S279" i="20"/>
  <c r="U279" i="20"/>
  <c r="V104" i="19"/>
  <c r="V91" i="19"/>
  <c r="V90" i="19"/>
  <c r="T89" i="19"/>
  <c r="T96" i="19" s="1"/>
  <c r="R68" i="19"/>
  <c r="R71" i="19" s="1"/>
  <c r="P68" i="19"/>
  <c r="P44" i="19"/>
  <c r="L44" i="19"/>
  <c r="F44" i="19"/>
  <c r="D32" i="19"/>
  <c r="F32" i="19"/>
  <c r="H32" i="19"/>
  <c r="J32" i="19"/>
  <c r="L32" i="19"/>
  <c r="N32" i="19"/>
  <c r="P32" i="19"/>
  <c r="R32" i="19"/>
  <c r="D33" i="19"/>
  <c r="F33" i="19"/>
  <c r="H33" i="19"/>
  <c r="J33" i="19"/>
  <c r="L33" i="19"/>
  <c r="N33" i="19"/>
  <c r="P33" i="19"/>
  <c r="R33" i="19"/>
  <c r="V34" i="19"/>
  <c r="V52" i="19" s="1"/>
  <c r="D35" i="19"/>
  <c r="F35" i="19"/>
  <c r="H35" i="19"/>
  <c r="J35" i="19"/>
  <c r="L35" i="19"/>
  <c r="N35" i="19"/>
  <c r="P35" i="19"/>
  <c r="R35" i="19"/>
  <c r="D36" i="19"/>
  <c r="F36" i="19"/>
  <c r="H36" i="19"/>
  <c r="J36" i="19"/>
  <c r="L36" i="19"/>
  <c r="N36" i="19"/>
  <c r="P36" i="19"/>
  <c r="R36" i="19"/>
  <c r="F43" i="19"/>
  <c r="L43" i="19"/>
  <c r="P43" i="19"/>
  <c r="V50" i="19"/>
  <c r="R57" i="19"/>
  <c r="R58" i="19"/>
  <c r="V69" i="19"/>
  <c r="L71" i="19"/>
  <c r="L84" i="19" s="1"/>
  <c r="N71" i="19"/>
  <c r="N84" i="19" s="1"/>
  <c r="T71" i="19"/>
  <c r="V81" i="19"/>
  <c r="V82" i="19"/>
  <c r="N87" i="19"/>
  <c r="T97" i="19"/>
  <c r="T98" i="19"/>
  <c r="A103" i="19"/>
  <c r="A104" i="19" s="1"/>
  <c r="A113" i="19"/>
  <c r="A114" i="19" s="1"/>
  <c r="A115" i="19" s="1"/>
  <c r="A116" i="19" s="1"/>
  <c r="A117" i="19" s="1"/>
  <c r="A118" i="19" s="1"/>
  <c r="T113" i="19"/>
  <c r="T120" i="19"/>
  <c r="T122" i="19"/>
  <c r="B135" i="19"/>
  <c r="B195" i="19" s="1"/>
  <c r="B290" i="19" s="1"/>
  <c r="V148" i="19"/>
  <c r="V166" i="19"/>
  <c r="S178" i="19"/>
  <c r="V180" i="19"/>
  <c r="R267" i="19"/>
  <c r="T267" i="19"/>
  <c r="R279" i="19"/>
  <c r="S216" i="19" s="1"/>
  <c r="T279" i="19"/>
  <c r="T216" i="19" s="1"/>
  <c r="R234" i="19"/>
  <c r="R235" i="19"/>
  <c r="R237" i="19"/>
  <c r="R238" i="19"/>
  <c r="R240" i="19"/>
  <c r="R236" i="19"/>
  <c r="R241" i="19"/>
  <c r="R239" i="19"/>
  <c r="T234" i="19"/>
  <c r="T235" i="19"/>
  <c r="T236" i="19"/>
  <c r="T237" i="19"/>
  <c r="T238" i="19"/>
  <c r="T239" i="19"/>
  <c r="T240" i="19"/>
  <c r="T241" i="19"/>
  <c r="R255" i="19"/>
  <c r="T255" i="19"/>
  <c r="S279" i="19"/>
  <c r="U279" i="19"/>
  <c r="V168" i="18"/>
  <c r="V106" i="18"/>
  <c r="V104" i="18"/>
  <c r="V91" i="18"/>
  <c r="V90" i="18"/>
  <c r="T89" i="18"/>
  <c r="T96" i="18" s="1"/>
  <c r="P68" i="18"/>
  <c r="T210" i="18"/>
  <c r="R68" i="18"/>
  <c r="P44" i="18"/>
  <c r="L44" i="18"/>
  <c r="F44" i="18"/>
  <c r="D32" i="18"/>
  <c r="F32" i="18"/>
  <c r="H32" i="18"/>
  <c r="J32" i="18"/>
  <c r="L32" i="18"/>
  <c r="N32" i="18"/>
  <c r="P32" i="18"/>
  <c r="R32" i="18"/>
  <c r="D33" i="18"/>
  <c r="F33" i="18"/>
  <c r="H33" i="18"/>
  <c r="J33" i="18"/>
  <c r="L33" i="18"/>
  <c r="N33" i="18"/>
  <c r="P33" i="18"/>
  <c r="R33" i="18"/>
  <c r="V34" i="18"/>
  <c r="D35" i="18"/>
  <c r="F35" i="18"/>
  <c r="H35" i="18"/>
  <c r="J35" i="18"/>
  <c r="L35" i="18"/>
  <c r="N35" i="18"/>
  <c r="P35" i="18"/>
  <c r="R35" i="18"/>
  <c r="F43" i="18"/>
  <c r="L43" i="18"/>
  <c r="P43" i="18"/>
  <c r="D36" i="18"/>
  <c r="F36" i="18"/>
  <c r="H36" i="18"/>
  <c r="J36" i="18"/>
  <c r="L36" i="18"/>
  <c r="N36" i="18"/>
  <c r="P36" i="18"/>
  <c r="R36" i="18"/>
  <c r="V50" i="18"/>
  <c r="R57" i="18"/>
  <c r="R58" i="18"/>
  <c r="V69" i="18"/>
  <c r="L71" i="18"/>
  <c r="L84" i="18" s="1"/>
  <c r="N71" i="18"/>
  <c r="N84" i="18" s="1"/>
  <c r="T71" i="18"/>
  <c r="V81" i="18"/>
  <c r="V82" i="18"/>
  <c r="N87" i="18"/>
  <c r="T97" i="18"/>
  <c r="T98" i="18"/>
  <c r="A103" i="18"/>
  <c r="A104" i="18" s="1"/>
  <c r="A113" i="18"/>
  <c r="A114" i="18" s="1"/>
  <c r="A115" i="18" s="1"/>
  <c r="A116" i="18" s="1"/>
  <c r="A117" i="18" s="1"/>
  <c r="A118" i="18" s="1"/>
  <c r="T113" i="18"/>
  <c r="T120" i="18"/>
  <c r="B135" i="18"/>
  <c r="B195" i="18" s="1"/>
  <c r="B290" i="18" s="1"/>
  <c r="V148" i="18"/>
  <c r="V166" i="18"/>
  <c r="R267" i="18"/>
  <c r="S262" i="18" s="1"/>
  <c r="T267" i="18"/>
  <c r="R279" i="18"/>
  <c r="S216" i="18" s="1"/>
  <c r="T279" i="18"/>
  <c r="T216" i="18" s="1"/>
  <c r="R234" i="18"/>
  <c r="R235" i="18"/>
  <c r="R236" i="18"/>
  <c r="R237" i="18"/>
  <c r="R238" i="18"/>
  <c r="R239" i="18"/>
  <c r="R240" i="18"/>
  <c r="R241" i="18"/>
  <c r="T234" i="18"/>
  <c r="T235" i="18"/>
  <c r="T236" i="18"/>
  <c r="T237" i="18"/>
  <c r="T238" i="18"/>
  <c r="T239" i="18"/>
  <c r="T240" i="18"/>
  <c r="T241" i="18"/>
  <c r="R255" i="18"/>
  <c r="S253" i="18" s="1"/>
  <c r="T255" i="18"/>
  <c r="U251" i="18" s="1"/>
  <c r="S279" i="18"/>
  <c r="U279" i="18"/>
  <c r="T235" i="17"/>
  <c r="T236" i="17"/>
  <c r="T237" i="17"/>
  <c r="T238" i="17"/>
  <c r="T239" i="17"/>
  <c r="T240" i="17"/>
  <c r="T241" i="17"/>
  <c r="T234" i="17"/>
  <c r="R235" i="17"/>
  <c r="R234" i="17"/>
  <c r="R236" i="17"/>
  <c r="R237" i="17"/>
  <c r="R238" i="17"/>
  <c r="R239" i="17"/>
  <c r="R240" i="17"/>
  <c r="R241" i="17"/>
  <c r="V106" i="17"/>
  <c r="V104" i="17"/>
  <c r="V91" i="17"/>
  <c r="V90" i="17"/>
  <c r="T89" i="17"/>
  <c r="T96" i="17" s="1"/>
  <c r="R68" i="17"/>
  <c r="R71" i="17" s="1"/>
  <c r="P68" i="17"/>
  <c r="T210" i="17" s="1"/>
  <c r="P44" i="17"/>
  <c r="L44" i="17"/>
  <c r="F44" i="17"/>
  <c r="D32" i="17"/>
  <c r="F32" i="17"/>
  <c r="H32" i="17"/>
  <c r="J32" i="17"/>
  <c r="L32" i="17"/>
  <c r="N32" i="17"/>
  <c r="P32" i="17"/>
  <c r="R32" i="17"/>
  <c r="D33" i="17"/>
  <c r="F33" i="17"/>
  <c r="H33" i="17"/>
  <c r="J33" i="17"/>
  <c r="L33" i="17"/>
  <c r="N33" i="17"/>
  <c r="P33" i="17"/>
  <c r="R33" i="17"/>
  <c r="V34" i="17"/>
  <c r="D35" i="17"/>
  <c r="F35" i="17"/>
  <c r="H35" i="17"/>
  <c r="J35" i="17"/>
  <c r="L35" i="17"/>
  <c r="N35" i="17"/>
  <c r="P35" i="17"/>
  <c r="R35" i="17"/>
  <c r="F43" i="17"/>
  <c r="L43" i="17"/>
  <c r="P43" i="17"/>
  <c r="D36" i="17"/>
  <c r="F36" i="17"/>
  <c r="H36" i="17"/>
  <c r="J36" i="17"/>
  <c r="L36" i="17"/>
  <c r="N36" i="17"/>
  <c r="P36" i="17"/>
  <c r="R36" i="17"/>
  <c r="V50" i="17"/>
  <c r="R57" i="17"/>
  <c r="R58" i="17"/>
  <c r="V69" i="17"/>
  <c r="L71" i="17"/>
  <c r="L84" i="17" s="1"/>
  <c r="N71" i="17"/>
  <c r="N84" i="17" s="1"/>
  <c r="T71" i="17"/>
  <c r="V81" i="17"/>
  <c r="V82" i="17"/>
  <c r="N87" i="17"/>
  <c r="T97" i="17"/>
  <c r="T98" i="17"/>
  <c r="A103" i="17"/>
  <c r="A104" i="17" s="1"/>
  <c r="A113" i="17"/>
  <c r="A114" i="17" s="1"/>
  <c r="A115" i="17" s="1"/>
  <c r="A116" i="17" s="1"/>
  <c r="A117" i="17" s="1"/>
  <c r="A118" i="17" s="1"/>
  <c r="T113" i="17"/>
  <c r="T120" i="17"/>
  <c r="T122" i="17"/>
  <c r="B135" i="17"/>
  <c r="B195" i="17" s="1"/>
  <c r="B290" i="17" s="1"/>
  <c r="V148" i="17"/>
  <c r="V166" i="17"/>
  <c r="V180" i="17"/>
  <c r="R267" i="17"/>
  <c r="S264" i="17" s="1"/>
  <c r="T267" i="17"/>
  <c r="U260" i="17" s="1"/>
  <c r="R279" i="17"/>
  <c r="T279" i="17"/>
  <c r="R255" i="17"/>
  <c r="S249" i="17" s="1"/>
  <c r="T255" i="17"/>
  <c r="U251" i="17" s="1"/>
  <c r="S279" i="17"/>
  <c r="U279" i="17"/>
  <c r="T90" i="16"/>
  <c r="T97" i="16" s="1"/>
  <c r="P69" i="16"/>
  <c r="T211" i="16" s="1"/>
  <c r="V107" i="16"/>
  <c r="V105" i="16"/>
  <c r="V92" i="16"/>
  <c r="V91" i="16"/>
  <c r="R69" i="16"/>
  <c r="R72" i="16" s="1"/>
  <c r="P44" i="16"/>
  <c r="L44" i="16"/>
  <c r="F44" i="16"/>
  <c r="D32" i="16"/>
  <c r="F32" i="16"/>
  <c r="H32" i="16"/>
  <c r="J32" i="16"/>
  <c r="L32" i="16"/>
  <c r="N32" i="16"/>
  <c r="P32" i="16"/>
  <c r="R32" i="16"/>
  <c r="D33" i="16"/>
  <c r="F33" i="16"/>
  <c r="H33" i="16"/>
  <c r="J33" i="16"/>
  <c r="L33" i="16"/>
  <c r="N33" i="16"/>
  <c r="P33" i="16"/>
  <c r="R33" i="16"/>
  <c r="V34" i="16"/>
  <c r="S179" i="16" s="1"/>
  <c r="D35" i="16"/>
  <c r="F35" i="16"/>
  <c r="H35" i="16"/>
  <c r="J35" i="16"/>
  <c r="L35" i="16"/>
  <c r="N35" i="16"/>
  <c r="P35" i="16"/>
  <c r="R35" i="16"/>
  <c r="F43" i="16"/>
  <c r="L43" i="16"/>
  <c r="P43" i="16"/>
  <c r="D36" i="16"/>
  <c r="F36" i="16"/>
  <c r="H36" i="16"/>
  <c r="J36" i="16"/>
  <c r="L36" i="16"/>
  <c r="N36" i="16"/>
  <c r="P36" i="16"/>
  <c r="R36" i="16"/>
  <c r="V50" i="16"/>
  <c r="R57" i="16"/>
  <c r="R58" i="16"/>
  <c r="V70" i="16"/>
  <c r="L72" i="16"/>
  <c r="L85" i="16" s="1"/>
  <c r="N72" i="16"/>
  <c r="N85" i="16" s="1"/>
  <c r="P72" i="16"/>
  <c r="T72" i="16"/>
  <c r="V82" i="16"/>
  <c r="V83" i="16"/>
  <c r="N88" i="16"/>
  <c r="T98" i="16"/>
  <c r="T99" i="16"/>
  <c r="A104" i="16"/>
  <c r="A105" i="16" s="1"/>
  <c r="A114" i="16"/>
  <c r="A115" i="16" s="1"/>
  <c r="A116" i="16" s="1"/>
  <c r="A117" i="16" s="1"/>
  <c r="A118" i="16" s="1"/>
  <c r="A119" i="16" s="1"/>
  <c r="T114" i="16"/>
  <c r="T121" i="16"/>
  <c r="T123" i="16"/>
  <c r="B136" i="16"/>
  <c r="B196" i="16" s="1"/>
  <c r="B279" i="16" s="1"/>
  <c r="V140" i="16"/>
  <c r="V149" i="16"/>
  <c r="V167" i="16"/>
  <c r="V169" i="16"/>
  <c r="R256" i="16"/>
  <c r="T256" i="16"/>
  <c r="R244" i="16"/>
  <c r="T244" i="16"/>
  <c r="U235" i="16" s="1"/>
  <c r="R268" i="16"/>
  <c r="S217" i="16" s="1"/>
  <c r="S268" i="16"/>
  <c r="T268" i="16"/>
  <c r="T217" i="16" s="1"/>
  <c r="U268" i="16"/>
  <c r="V107" i="15"/>
  <c r="V105" i="15"/>
  <c r="V92" i="15"/>
  <c r="V91" i="15"/>
  <c r="V97" i="15" s="1"/>
  <c r="V101" i="15" s="1"/>
  <c r="T90" i="15"/>
  <c r="T97" i="15" s="1"/>
  <c r="R69" i="15"/>
  <c r="R72" i="15" s="1"/>
  <c r="P69" i="15"/>
  <c r="T211" i="15" s="1"/>
  <c r="P44" i="15"/>
  <c r="L44" i="15"/>
  <c r="F44" i="15"/>
  <c r="V169" i="15"/>
  <c r="D32" i="15"/>
  <c r="F32" i="15"/>
  <c r="H32" i="15"/>
  <c r="J32" i="15"/>
  <c r="L32" i="15"/>
  <c r="N32" i="15"/>
  <c r="P32" i="15"/>
  <c r="R32" i="15"/>
  <c r="D33" i="15"/>
  <c r="F33" i="15"/>
  <c r="H33" i="15"/>
  <c r="J33" i="15"/>
  <c r="L33" i="15"/>
  <c r="N33" i="15"/>
  <c r="P33" i="15"/>
  <c r="R33" i="15"/>
  <c r="V34" i="15"/>
  <c r="V52" i="15" s="1"/>
  <c r="D35" i="15"/>
  <c r="F35" i="15"/>
  <c r="H35" i="15"/>
  <c r="J35" i="15"/>
  <c r="L35" i="15"/>
  <c r="N35" i="15"/>
  <c r="P35" i="15"/>
  <c r="R35" i="15"/>
  <c r="F43" i="15"/>
  <c r="L43" i="15"/>
  <c r="P43" i="15"/>
  <c r="D36" i="15"/>
  <c r="F36" i="15"/>
  <c r="H36" i="15"/>
  <c r="J36" i="15"/>
  <c r="L36" i="15"/>
  <c r="N36" i="15"/>
  <c r="P36" i="15"/>
  <c r="R36" i="15"/>
  <c r="V50" i="15"/>
  <c r="R57" i="15"/>
  <c r="R58" i="15"/>
  <c r="V70" i="15"/>
  <c r="L72" i="15"/>
  <c r="L85" i="15" s="1"/>
  <c r="N72" i="15"/>
  <c r="N85" i="15" s="1"/>
  <c r="T72" i="15"/>
  <c r="V82" i="15"/>
  <c r="V83" i="15"/>
  <c r="N88" i="15"/>
  <c r="T99" i="15"/>
  <c r="T98" i="15"/>
  <c r="T121" i="15"/>
  <c r="T123" i="15"/>
  <c r="T114" i="15"/>
  <c r="A104" i="15"/>
  <c r="A105" i="15" s="1"/>
  <c r="A114" i="15"/>
  <c r="A115" i="15" s="1"/>
  <c r="A116" i="15" s="1"/>
  <c r="A117" i="15" s="1"/>
  <c r="A118" i="15" s="1"/>
  <c r="A119" i="15" s="1"/>
  <c r="B136" i="15"/>
  <c r="B196" i="15" s="1"/>
  <c r="B279" i="15" s="1"/>
  <c r="V149" i="15"/>
  <c r="V167" i="15"/>
  <c r="R256" i="15"/>
  <c r="S254" i="15" s="1"/>
  <c r="T256" i="15"/>
  <c r="U254" i="15" s="1"/>
  <c r="R268" i="15"/>
  <c r="S217" i="15" s="1"/>
  <c r="T268" i="15"/>
  <c r="T217" i="15" s="1"/>
  <c r="R244" i="15"/>
  <c r="S239" i="15" s="1"/>
  <c r="T244" i="15"/>
  <c r="S268" i="15"/>
  <c r="U268" i="15"/>
  <c r="V107" i="14"/>
  <c r="V106" i="14"/>
  <c r="V105" i="14"/>
  <c r="V92" i="14"/>
  <c r="V91" i="14"/>
  <c r="V97" i="14" s="1"/>
  <c r="V101" i="14" s="1"/>
  <c r="V119" i="14" s="1"/>
  <c r="V132" i="14" s="1"/>
  <c r="V133" i="14" s="1"/>
  <c r="T90" i="14"/>
  <c r="R69" i="14"/>
  <c r="R72" i="14" s="1"/>
  <c r="P69" i="14"/>
  <c r="P44" i="14"/>
  <c r="L44" i="14"/>
  <c r="F44" i="14"/>
  <c r="D32" i="14"/>
  <c r="F32" i="14"/>
  <c r="H32" i="14"/>
  <c r="J32" i="14"/>
  <c r="L32" i="14"/>
  <c r="N32" i="14"/>
  <c r="P32" i="14"/>
  <c r="R32" i="14"/>
  <c r="D33" i="14"/>
  <c r="F33" i="14"/>
  <c r="H33" i="14"/>
  <c r="J33" i="14"/>
  <c r="L33" i="14"/>
  <c r="N33" i="14"/>
  <c r="P33" i="14"/>
  <c r="R33" i="14"/>
  <c r="V34" i="14"/>
  <c r="V140" i="14" s="1"/>
  <c r="D35" i="14"/>
  <c r="F35" i="14"/>
  <c r="H35" i="14"/>
  <c r="J35" i="14"/>
  <c r="L35" i="14"/>
  <c r="N35" i="14"/>
  <c r="P35" i="14"/>
  <c r="R35" i="14"/>
  <c r="F43" i="14"/>
  <c r="L43" i="14"/>
  <c r="P43" i="14"/>
  <c r="D36" i="14"/>
  <c r="F36" i="14"/>
  <c r="H36" i="14"/>
  <c r="J36" i="14"/>
  <c r="L36" i="14"/>
  <c r="N36" i="14"/>
  <c r="P36" i="14"/>
  <c r="R36" i="14"/>
  <c r="V50" i="14"/>
  <c r="R57" i="14"/>
  <c r="R58" i="14"/>
  <c r="V70" i="14"/>
  <c r="L72" i="14"/>
  <c r="L85" i="14" s="1"/>
  <c r="N72" i="14"/>
  <c r="N85" i="14" s="1"/>
  <c r="T72" i="14"/>
  <c r="V82" i="14"/>
  <c r="V83" i="14"/>
  <c r="N88" i="14"/>
  <c r="T97" i="14"/>
  <c r="T98" i="14"/>
  <c r="T99" i="14"/>
  <c r="A104" i="14"/>
  <c r="A105" i="14" s="1"/>
  <c r="A114" i="14"/>
  <c r="A115" i="14" s="1"/>
  <c r="A116" i="14" s="1"/>
  <c r="A117" i="14" s="1"/>
  <c r="A118" i="14" s="1"/>
  <c r="A119" i="14" s="1"/>
  <c r="T114" i="14"/>
  <c r="T121" i="14"/>
  <c r="B136" i="14"/>
  <c r="B196" i="14" s="1"/>
  <c r="B279" i="14" s="1"/>
  <c r="V149" i="14"/>
  <c r="V166" i="14"/>
  <c r="V168" i="14" s="1"/>
  <c r="V167" i="14"/>
  <c r="R256" i="14"/>
  <c r="S249" i="14" s="1"/>
  <c r="T256" i="14"/>
  <c r="R268" i="14"/>
  <c r="T268" i="14"/>
  <c r="T217" i="14" s="1"/>
  <c r="R244" i="14"/>
  <c r="T244" i="14"/>
  <c r="S268" i="14"/>
  <c r="U268" i="14"/>
  <c r="V107" i="13"/>
  <c r="V106" i="13"/>
  <c r="V105" i="13"/>
  <c r="V92" i="13"/>
  <c r="V91" i="13"/>
  <c r="T90" i="13"/>
  <c r="T97" i="13" s="1"/>
  <c r="P69" i="13"/>
  <c r="P72" i="13" s="1"/>
  <c r="R69" i="13"/>
  <c r="V70" i="13"/>
  <c r="F43" i="13"/>
  <c r="P44" i="13"/>
  <c r="L44" i="13"/>
  <c r="F44" i="13"/>
  <c r="D32" i="13"/>
  <c r="F32" i="13"/>
  <c r="H32" i="13"/>
  <c r="J32" i="13"/>
  <c r="L32" i="13"/>
  <c r="N32" i="13"/>
  <c r="P32" i="13"/>
  <c r="R32" i="13"/>
  <c r="D33" i="13"/>
  <c r="F33" i="13"/>
  <c r="H33" i="13"/>
  <c r="J33" i="13"/>
  <c r="L33" i="13"/>
  <c r="N33" i="13"/>
  <c r="P33" i="13"/>
  <c r="R33" i="13"/>
  <c r="V34" i="13"/>
  <c r="V140" i="13" s="1"/>
  <c r="D35" i="13"/>
  <c r="F35" i="13"/>
  <c r="H35" i="13"/>
  <c r="J35" i="13"/>
  <c r="L35" i="13"/>
  <c r="N35" i="13"/>
  <c r="P35" i="13"/>
  <c r="R35" i="13"/>
  <c r="D36" i="13"/>
  <c r="F36" i="13"/>
  <c r="H36" i="13"/>
  <c r="J36" i="13"/>
  <c r="L36" i="13"/>
  <c r="N36" i="13"/>
  <c r="P36" i="13"/>
  <c r="R36" i="13"/>
  <c r="L43" i="13"/>
  <c r="P43" i="13"/>
  <c r="V50" i="13"/>
  <c r="V52" i="13"/>
  <c r="R57" i="13"/>
  <c r="R58" i="13"/>
  <c r="L72" i="13"/>
  <c r="L85" i="13" s="1"/>
  <c r="N72" i="13"/>
  <c r="N85" i="13" s="1"/>
  <c r="T72" i="13"/>
  <c r="V82" i="13"/>
  <c r="V83" i="13"/>
  <c r="N88" i="13"/>
  <c r="T98" i="13"/>
  <c r="T99" i="13"/>
  <c r="A104" i="13"/>
  <c r="A105" i="13" s="1"/>
  <c r="A114" i="13"/>
  <c r="A115" i="13" s="1"/>
  <c r="A116" i="13" s="1"/>
  <c r="A117" i="13" s="1"/>
  <c r="A118" i="13" s="1"/>
  <c r="A119" i="13" s="1"/>
  <c r="T114" i="13"/>
  <c r="T121" i="13"/>
  <c r="B136" i="13"/>
  <c r="B195" i="13" s="1"/>
  <c r="B278" i="13" s="1"/>
  <c r="V149" i="13"/>
  <c r="V167" i="13"/>
  <c r="R255" i="13"/>
  <c r="T255" i="13"/>
  <c r="U250" i="13" s="1"/>
  <c r="R267" i="13"/>
  <c r="S216" i="13" s="1"/>
  <c r="T267" i="13"/>
  <c r="R243" i="13"/>
  <c r="S238" i="13" s="1"/>
  <c r="T243" i="13"/>
  <c r="U239" i="13" s="1"/>
  <c r="S246" i="13"/>
  <c r="S267" i="13"/>
  <c r="U267" i="13"/>
  <c r="P69" i="12"/>
  <c r="V112" i="12"/>
  <c r="V110" i="12"/>
  <c r="V107" i="12"/>
  <c r="V105" i="12"/>
  <c r="V91" i="12"/>
  <c r="V97" i="12" s="1"/>
  <c r="V101" i="12" s="1"/>
  <c r="V92" i="12"/>
  <c r="T90" i="12"/>
  <c r="T97" i="12" s="1"/>
  <c r="R69" i="12"/>
  <c r="R72" i="12" s="1"/>
  <c r="P44" i="12"/>
  <c r="L44" i="12"/>
  <c r="F44" i="12"/>
  <c r="D35" i="12"/>
  <c r="F35" i="12"/>
  <c r="H35" i="12"/>
  <c r="J35" i="12"/>
  <c r="L35" i="12"/>
  <c r="N35" i="12"/>
  <c r="P35" i="12"/>
  <c r="R35" i="12"/>
  <c r="F43" i="12"/>
  <c r="L43" i="12"/>
  <c r="P43" i="12"/>
  <c r="D32" i="12"/>
  <c r="F32" i="12"/>
  <c r="H32" i="12"/>
  <c r="J32" i="12"/>
  <c r="L32" i="12"/>
  <c r="N32" i="12"/>
  <c r="P32" i="12"/>
  <c r="R32" i="12"/>
  <c r="D33" i="12"/>
  <c r="F33" i="12"/>
  <c r="H33" i="12"/>
  <c r="J33" i="12"/>
  <c r="L33" i="12"/>
  <c r="N33" i="12"/>
  <c r="P33" i="12"/>
  <c r="R33" i="12"/>
  <c r="V34" i="12"/>
  <c r="D36" i="12"/>
  <c r="F36" i="12"/>
  <c r="H36" i="12"/>
  <c r="J36" i="12"/>
  <c r="L36" i="12"/>
  <c r="N36" i="12"/>
  <c r="P36" i="12"/>
  <c r="R36" i="12"/>
  <c r="V50" i="12"/>
  <c r="R57" i="12"/>
  <c r="R58" i="12"/>
  <c r="V70" i="12"/>
  <c r="L72" i="12"/>
  <c r="L85" i="12" s="1"/>
  <c r="N72" i="12"/>
  <c r="N85" i="12" s="1"/>
  <c r="T72" i="12"/>
  <c r="V82" i="12"/>
  <c r="V83" i="12"/>
  <c r="N88" i="12"/>
  <c r="T98" i="12"/>
  <c r="T99" i="12"/>
  <c r="A104" i="12"/>
  <c r="A105" i="12" s="1"/>
  <c r="A114" i="12"/>
  <c r="A115" i="12" s="1"/>
  <c r="A116" i="12" s="1"/>
  <c r="A117" i="12" s="1"/>
  <c r="A118" i="12" s="1"/>
  <c r="A119" i="12" s="1"/>
  <c r="T114" i="12"/>
  <c r="T121" i="12"/>
  <c r="T123" i="12"/>
  <c r="T132" i="12" s="1"/>
  <c r="B136" i="12"/>
  <c r="B195" i="12" s="1"/>
  <c r="B278" i="12" s="1"/>
  <c r="V149" i="12"/>
  <c r="V166" i="12"/>
  <c r="V167" i="12"/>
  <c r="V180" i="12"/>
  <c r="R255" i="12"/>
  <c r="S251" i="12" s="1"/>
  <c r="T255" i="12"/>
  <c r="R267" i="12"/>
  <c r="T267" i="12"/>
  <c r="R243" i="12"/>
  <c r="T243" i="12"/>
  <c r="S267" i="12"/>
  <c r="U267" i="12"/>
  <c r="R69" i="11"/>
  <c r="D36" i="11"/>
  <c r="F36" i="11"/>
  <c r="H36" i="11"/>
  <c r="J36" i="11"/>
  <c r="L36" i="11"/>
  <c r="N36" i="11"/>
  <c r="P36" i="11"/>
  <c r="R36" i="11"/>
  <c r="P69" i="11"/>
  <c r="P72" i="11" s="1"/>
  <c r="V112" i="11"/>
  <c r="V110" i="11"/>
  <c r="V107" i="11"/>
  <c r="V105" i="11"/>
  <c r="V92" i="11"/>
  <c r="V91" i="11"/>
  <c r="T90" i="11"/>
  <c r="T97" i="11" s="1"/>
  <c r="D35" i="11"/>
  <c r="F35" i="11"/>
  <c r="H35" i="11"/>
  <c r="J35" i="11"/>
  <c r="L35" i="11"/>
  <c r="N35" i="11"/>
  <c r="P35" i="11"/>
  <c r="R35" i="11"/>
  <c r="F43" i="11"/>
  <c r="L43" i="11"/>
  <c r="P43" i="11"/>
  <c r="P44" i="11"/>
  <c r="L44" i="11"/>
  <c r="F44" i="11"/>
  <c r="D32" i="11"/>
  <c r="F32" i="11"/>
  <c r="H32" i="11"/>
  <c r="J32" i="11"/>
  <c r="L32" i="11"/>
  <c r="N32" i="11"/>
  <c r="P32" i="11"/>
  <c r="R32" i="11"/>
  <c r="D33" i="11"/>
  <c r="F33" i="11"/>
  <c r="H33" i="11"/>
  <c r="J33" i="11"/>
  <c r="L33" i="11"/>
  <c r="N33" i="11"/>
  <c r="P33" i="11"/>
  <c r="R33" i="11"/>
  <c r="V34" i="11"/>
  <c r="V140" i="11" s="1"/>
  <c r="V50" i="11"/>
  <c r="R57" i="11"/>
  <c r="R58" i="11"/>
  <c r="V70" i="11"/>
  <c r="L72" i="11"/>
  <c r="L85" i="11" s="1"/>
  <c r="N72" i="11"/>
  <c r="N85" i="11" s="1"/>
  <c r="T72" i="11"/>
  <c r="V82" i="11"/>
  <c r="V83" i="11"/>
  <c r="N88" i="11"/>
  <c r="T98" i="11"/>
  <c r="T99" i="11"/>
  <c r="A104" i="11"/>
  <c r="A105" i="11" s="1"/>
  <c r="A114" i="11"/>
  <c r="A115" i="11" s="1"/>
  <c r="A116" i="11" s="1"/>
  <c r="A117" i="11" s="1"/>
  <c r="A118" i="11" s="1"/>
  <c r="A119" i="11" s="1"/>
  <c r="T114" i="11"/>
  <c r="T121" i="11"/>
  <c r="B136" i="11"/>
  <c r="B195" i="11" s="1"/>
  <c r="B278" i="11" s="1"/>
  <c r="V149" i="11"/>
  <c r="V166" i="11"/>
  <c r="V167" i="11"/>
  <c r="R255" i="11"/>
  <c r="T255" i="11"/>
  <c r="U249" i="11" s="1"/>
  <c r="R267" i="11"/>
  <c r="T267" i="11"/>
  <c r="R243" i="11"/>
  <c r="T243" i="11"/>
  <c r="U238" i="11" s="1"/>
  <c r="S267" i="11"/>
  <c r="U267" i="11"/>
  <c r="P69" i="10"/>
  <c r="T210" i="10" s="1"/>
  <c r="V112" i="10"/>
  <c r="V110" i="10"/>
  <c r="V107" i="10"/>
  <c r="V105" i="10"/>
  <c r="V94" i="10"/>
  <c r="V92" i="10"/>
  <c r="V91" i="10"/>
  <c r="T90" i="10"/>
  <c r="T97" i="10" s="1"/>
  <c r="R69" i="10"/>
  <c r="R72" i="10" s="1"/>
  <c r="P44" i="10"/>
  <c r="L44" i="10"/>
  <c r="F44" i="10"/>
  <c r="D36" i="10"/>
  <c r="F36" i="10"/>
  <c r="H36" i="10"/>
  <c r="J36" i="10"/>
  <c r="L36" i="10"/>
  <c r="N36" i="10"/>
  <c r="P36" i="10"/>
  <c r="R36" i="10"/>
  <c r="D32" i="10"/>
  <c r="F32" i="10"/>
  <c r="H32" i="10"/>
  <c r="J32" i="10"/>
  <c r="L32" i="10"/>
  <c r="N32" i="10"/>
  <c r="P32" i="10"/>
  <c r="R32" i="10"/>
  <c r="D33" i="10"/>
  <c r="F33" i="10"/>
  <c r="H33" i="10"/>
  <c r="J33" i="10"/>
  <c r="L33" i="10"/>
  <c r="N33" i="10"/>
  <c r="P33" i="10"/>
  <c r="R33" i="10"/>
  <c r="V34" i="10"/>
  <c r="D35" i="10"/>
  <c r="F35" i="10"/>
  <c r="H35" i="10"/>
  <c r="J35" i="10"/>
  <c r="L35" i="10"/>
  <c r="N35" i="10"/>
  <c r="P35" i="10"/>
  <c r="R35" i="10"/>
  <c r="F43" i="10"/>
  <c r="L43" i="10"/>
  <c r="P43" i="10"/>
  <c r="V50" i="10"/>
  <c r="R57" i="10"/>
  <c r="R58" i="10"/>
  <c r="V70" i="10"/>
  <c r="L72" i="10"/>
  <c r="L85" i="10" s="1"/>
  <c r="N72" i="10"/>
  <c r="N85" i="10" s="1"/>
  <c r="T72" i="10"/>
  <c r="V82" i="10"/>
  <c r="V83" i="10"/>
  <c r="N88" i="10"/>
  <c r="T98" i="10"/>
  <c r="T99" i="10"/>
  <c r="A104" i="10"/>
  <c r="A105" i="10" s="1"/>
  <c r="A114" i="10"/>
  <c r="A115" i="10" s="1"/>
  <c r="A116" i="10" s="1"/>
  <c r="A117" i="10" s="1"/>
  <c r="A118" i="10" s="1"/>
  <c r="A119" i="10" s="1"/>
  <c r="T114" i="10"/>
  <c r="T121" i="10"/>
  <c r="B136" i="10"/>
  <c r="B195" i="10" s="1"/>
  <c r="B278" i="10" s="1"/>
  <c r="V149" i="10"/>
  <c r="V167" i="10"/>
  <c r="R255" i="10"/>
  <c r="S251" i="10" s="1"/>
  <c r="T255" i="10"/>
  <c r="R267" i="10"/>
  <c r="S216" i="10" s="1"/>
  <c r="T267" i="10"/>
  <c r="R243" i="10"/>
  <c r="T243" i="10"/>
  <c r="U237" i="10" s="1"/>
  <c r="S267" i="10"/>
  <c r="U267" i="10"/>
  <c r="U267" i="9"/>
  <c r="T267" i="9"/>
  <c r="T216" i="9" s="1"/>
  <c r="R267" i="9"/>
  <c r="S267" i="9"/>
  <c r="V107" i="9"/>
  <c r="V105" i="9"/>
  <c r="V94" i="9"/>
  <c r="V92" i="9"/>
  <c r="V91" i="9"/>
  <c r="T90" i="9"/>
  <c r="T97" i="9" s="1"/>
  <c r="R69" i="9"/>
  <c r="P69" i="9"/>
  <c r="V70" i="9"/>
  <c r="P44" i="9"/>
  <c r="L44" i="9"/>
  <c r="F44" i="9"/>
  <c r="D35" i="9"/>
  <c r="F35" i="9"/>
  <c r="H35" i="9"/>
  <c r="J35" i="9"/>
  <c r="L35" i="9"/>
  <c r="N35" i="9"/>
  <c r="P35" i="9"/>
  <c r="R35" i="9"/>
  <c r="F43" i="9"/>
  <c r="L43" i="9"/>
  <c r="P43" i="9"/>
  <c r="D32" i="9"/>
  <c r="F32" i="9"/>
  <c r="H32" i="9"/>
  <c r="J32" i="9"/>
  <c r="L32" i="9"/>
  <c r="N32" i="9"/>
  <c r="P32" i="9"/>
  <c r="R32" i="9"/>
  <c r="D33" i="9"/>
  <c r="F33" i="9"/>
  <c r="H33" i="9"/>
  <c r="J33" i="9"/>
  <c r="L33" i="9"/>
  <c r="N33" i="9"/>
  <c r="P33" i="9"/>
  <c r="R33" i="9"/>
  <c r="V34" i="9"/>
  <c r="D36" i="9"/>
  <c r="F36" i="9"/>
  <c r="H36" i="9"/>
  <c r="J36" i="9"/>
  <c r="L36" i="9"/>
  <c r="N36" i="9"/>
  <c r="P36" i="9"/>
  <c r="R36" i="9"/>
  <c r="V50" i="9"/>
  <c r="R57" i="9"/>
  <c r="R58" i="9"/>
  <c r="L72" i="9"/>
  <c r="L85" i="9" s="1"/>
  <c r="N72" i="9"/>
  <c r="N85" i="9" s="1"/>
  <c r="T72" i="9"/>
  <c r="V82" i="9"/>
  <c r="V83" i="9"/>
  <c r="N88" i="9"/>
  <c r="T98" i="9"/>
  <c r="T99" i="9"/>
  <c r="A104" i="9"/>
  <c r="A105" i="9" s="1"/>
  <c r="A114" i="9"/>
  <c r="A115" i="9" s="1"/>
  <c r="A116" i="9" s="1"/>
  <c r="A117" i="9" s="1"/>
  <c r="A118" i="9" s="1"/>
  <c r="A119" i="9" s="1"/>
  <c r="T114" i="9"/>
  <c r="T121" i="9"/>
  <c r="B136" i="9"/>
  <c r="B195" i="9" s="1"/>
  <c r="B278" i="9" s="1"/>
  <c r="V149" i="9"/>
  <c r="V167" i="9"/>
  <c r="R255" i="9"/>
  <c r="S252" i="9" s="1"/>
  <c r="T255" i="9"/>
  <c r="U246" i="9" s="1"/>
  <c r="R243" i="9"/>
  <c r="T243" i="9"/>
  <c r="U234" i="9" s="1"/>
  <c r="P69" i="7"/>
  <c r="N69" i="7"/>
  <c r="N72" i="7" s="1"/>
  <c r="D36" i="7"/>
  <c r="F36" i="7"/>
  <c r="H36" i="7"/>
  <c r="J36" i="7"/>
  <c r="L36" i="7"/>
  <c r="N36" i="7"/>
  <c r="P36" i="7"/>
  <c r="R36" i="7"/>
  <c r="D35" i="6"/>
  <c r="F35" i="6"/>
  <c r="H35" i="6"/>
  <c r="J35" i="6"/>
  <c r="L35" i="6"/>
  <c r="N35" i="6"/>
  <c r="P35" i="6"/>
  <c r="R35" i="6"/>
  <c r="F43" i="6"/>
  <c r="L43" i="6"/>
  <c r="P43" i="6"/>
  <c r="D35" i="5"/>
  <c r="F35" i="5"/>
  <c r="H35" i="5"/>
  <c r="J35" i="5"/>
  <c r="L35" i="5"/>
  <c r="N35" i="5"/>
  <c r="P35" i="5"/>
  <c r="R35" i="5"/>
  <c r="F43" i="5"/>
  <c r="L43" i="5"/>
  <c r="P43" i="5"/>
  <c r="D35" i="4"/>
  <c r="F35" i="4"/>
  <c r="H35" i="4"/>
  <c r="J35" i="4"/>
  <c r="L35" i="4"/>
  <c r="N35" i="4"/>
  <c r="P35" i="4"/>
  <c r="R35" i="4"/>
  <c r="F43" i="4"/>
  <c r="L43" i="4"/>
  <c r="P43" i="4"/>
  <c r="D35" i="3"/>
  <c r="F35" i="3"/>
  <c r="H35" i="3"/>
  <c r="J35" i="3"/>
  <c r="L35" i="3"/>
  <c r="N35" i="3"/>
  <c r="P35" i="3"/>
  <c r="R35" i="3"/>
  <c r="D35" i="7"/>
  <c r="F35" i="7"/>
  <c r="H35" i="7"/>
  <c r="J35" i="7"/>
  <c r="L35" i="7"/>
  <c r="N35" i="7"/>
  <c r="P35" i="7"/>
  <c r="R35" i="7"/>
  <c r="F43" i="7"/>
  <c r="L43" i="7"/>
  <c r="P43" i="7"/>
  <c r="V107" i="7"/>
  <c r="V105" i="7"/>
  <c r="V94" i="7"/>
  <c r="V92" i="7"/>
  <c r="V91" i="7"/>
  <c r="T90" i="7"/>
  <c r="T97" i="7" s="1"/>
  <c r="T99" i="7"/>
  <c r="T98" i="7"/>
  <c r="T121" i="7"/>
  <c r="T114" i="7"/>
  <c r="R69" i="7"/>
  <c r="R72" i="7" s="1"/>
  <c r="P44" i="7"/>
  <c r="L44" i="7"/>
  <c r="F44" i="7"/>
  <c r="D32" i="7"/>
  <c r="F32" i="7"/>
  <c r="H32" i="7"/>
  <c r="J32" i="7"/>
  <c r="L32" i="7"/>
  <c r="N32" i="7"/>
  <c r="P32" i="7"/>
  <c r="R32" i="7"/>
  <c r="D33" i="7"/>
  <c r="F33" i="7"/>
  <c r="H33" i="7"/>
  <c r="J33" i="7"/>
  <c r="L33" i="7"/>
  <c r="N33" i="7"/>
  <c r="P33" i="7"/>
  <c r="R33" i="7"/>
  <c r="V34" i="7"/>
  <c r="V50" i="7"/>
  <c r="R57" i="7"/>
  <c r="R58" i="7"/>
  <c r="V70" i="7"/>
  <c r="L72" i="7"/>
  <c r="L85" i="7" s="1"/>
  <c r="T72" i="7"/>
  <c r="V82" i="7"/>
  <c r="V83" i="7"/>
  <c r="N88" i="7"/>
  <c r="A104" i="7"/>
  <c r="A105" i="7" s="1"/>
  <c r="A114" i="7"/>
  <c r="A115" i="7" s="1"/>
  <c r="A116" i="7" s="1"/>
  <c r="A117" i="7" s="1"/>
  <c r="A118" i="7" s="1"/>
  <c r="A119" i="7" s="1"/>
  <c r="B136" i="7"/>
  <c r="B195" i="7" s="1"/>
  <c r="B278" i="7" s="1"/>
  <c r="V149" i="7"/>
  <c r="V166" i="7"/>
  <c r="V167" i="7"/>
  <c r="R255" i="7"/>
  <c r="S247" i="7" s="1"/>
  <c r="T255" i="7"/>
  <c r="R243" i="7"/>
  <c r="T243" i="7"/>
  <c r="U235" i="7" s="1"/>
  <c r="R267" i="7"/>
  <c r="S267" i="7"/>
  <c r="T267" i="7"/>
  <c r="U267" i="7"/>
  <c r="V107" i="6"/>
  <c r="V105" i="6"/>
  <c r="V92" i="6"/>
  <c r="V91" i="6"/>
  <c r="T90" i="6"/>
  <c r="T97" i="6" s="1"/>
  <c r="R69" i="6"/>
  <c r="R72" i="6" s="1"/>
  <c r="P69" i="6"/>
  <c r="T210" i="6" s="1"/>
  <c r="P44" i="6"/>
  <c r="L44" i="6"/>
  <c r="F44" i="6"/>
  <c r="D32" i="6"/>
  <c r="F32" i="6"/>
  <c r="H32" i="6"/>
  <c r="J32" i="6"/>
  <c r="L32" i="6"/>
  <c r="N32" i="6"/>
  <c r="P32" i="6"/>
  <c r="R32" i="6"/>
  <c r="D33" i="6"/>
  <c r="F33" i="6"/>
  <c r="H33" i="6"/>
  <c r="J33" i="6"/>
  <c r="L33" i="6"/>
  <c r="N33" i="6"/>
  <c r="P33" i="6"/>
  <c r="R33" i="6"/>
  <c r="V34" i="6"/>
  <c r="V52" i="6" s="1"/>
  <c r="D36" i="6"/>
  <c r="F36" i="6"/>
  <c r="H36" i="6"/>
  <c r="J36" i="6"/>
  <c r="L36" i="6"/>
  <c r="N36" i="6"/>
  <c r="P36" i="6"/>
  <c r="R36" i="6"/>
  <c r="V50" i="6"/>
  <c r="R57" i="6"/>
  <c r="R58" i="6"/>
  <c r="V70" i="6"/>
  <c r="L72" i="6"/>
  <c r="L85" i="6" s="1"/>
  <c r="N72" i="6"/>
  <c r="N85" i="6" s="1"/>
  <c r="T72" i="6"/>
  <c r="V82" i="6"/>
  <c r="V83" i="6"/>
  <c r="N88" i="6"/>
  <c r="T99" i="6"/>
  <c r="T98" i="6"/>
  <c r="T121" i="6"/>
  <c r="T123" i="6"/>
  <c r="T114" i="6"/>
  <c r="A104" i="6"/>
  <c r="A105" i="6" s="1"/>
  <c r="A114" i="6"/>
  <c r="A115" i="6" s="1"/>
  <c r="A116" i="6" s="1"/>
  <c r="A117" i="6" s="1"/>
  <c r="A118" i="6" s="1"/>
  <c r="A119" i="6" s="1"/>
  <c r="B136" i="6"/>
  <c r="B195" i="6" s="1"/>
  <c r="B278" i="6" s="1"/>
  <c r="V149" i="6"/>
  <c r="V166" i="6"/>
  <c r="V167" i="6"/>
  <c r="V180" i="6"/>
  <c r="R255" i="6"/>
  <c r="S252" i="6" s="1"/>
  <c r="T255" i="6"/>
  <c r="T215" i="6" s="1"/>
  <c r="R243" i="6"/>
  <c r="S237" i="6" s="1"/>
  <c r="T243" i="6"/>
  <c r="U240" i="6" s="1"/>
  <c r="R267" i="6"/>
  <c r="S267" i="6"/>
  <c r="T267" i="6"/>
  <c r="U267" i="6"/>
  <c r="V106" i="5"/>
  <c r="V104" i="5"/>
  <c r="V92" i="5"/>
  <c r="V91" i="5"/>
  <c r="T90" i="5"/>
  <c r="T97" i="5" s="1"/>
  <c r="R69" i="5"/>
  <c r="P69" i="5"/>
  <c r="T209" i="5" s="1"/>
  <c r="V70" i="5"/>
  <c r="P44" i="5"/>
  <c r="L44" i="5"/>
  <c r="F44" i="5"/>
  <c r="D32" i="5"/>
  <c r="F32" i="5"/>
  <c r="H32" i="5"/>
  <c r="J32" i="5"/>
  <c r="L32" i="5"/>
  <c r="N32" i="5"/>
  <c r="P32" i="5"/>
  <c r="R32" i="5"/>
  <c r="D33" i="5"/>
  <c r="F33" i="5"/>
  <c r="H33" i="5"/>
  <c r="J33" i="5"/>
  <c r="L33" i="5"/>
  <c r="N33" i="5"/>
  <c r="P33" i="5"/>
  <c r="R33" i="5"/>
  <c r="V34" i="5"/>
  <c r="V52" i="5" s="1"/>
  <c r="D36" i="5"/>
  <c r="F36" i="5"/>
  <c r="H36" i="5"/>
  <c r="J36" i="5"/>
  <c r="L36" i="5"/>
  <c r="N36" i="5"/>
  <c r="P36" i="5"/>
  <c r="R36" i="5"/>
  <c r="V50" i="5"/>
  <c r="R57" i="5"/>
  <c r="R58" i="5"/>
  <c r="L72" i="5"/>
  <c r="L85" i="5" s="1"/>
  <c r="N72" i="5"/>
  <c r="N85" i="5" s="1"/>
  <c r="T72" i="5"/>
  <c r="V82" i="5"/>
  <c r="V83" i="5"/>
  <c r="N88" i="5"/>
  <c r="T98" i="5"/>
  <c r="T99" i="5"/>
  <c r="A103" i="5"/>
  <c r="A104" i="5" s="1"/>
  <c r="A113" i="5"/>
  <c r="A114" i="5" s="1"/>
  <c r="A115" i="5" s="1"/>
  <c r="A116" i="5" s="1"/>
  <c r="A117" i="5" s="1"/>
  <c r="A118" i="5" s="1"/>
  <c r="T113" i="5"/>
  <c r="T120" i="5"/>
  <c r="T122" i="5"/>
  <c r="B135" i="5"/>
  <c r="B194" i="5" s="1"/>
  <c r="B277" i="5" s="1"/>
  <c r="V148" i="5"/>
  <c r="V166" i="5"/>
  <c r="V179" i="5"/>
  <c r="R254" i="5"/>
  <c r="T254" i="5"/>
  <c r="U249" i="5" s="1"/>
  <c r="R242" i="5"/>
  <c r="T242" i="5"/>
  <c r="U240" i="5" s="1"/>
  <c r="R266" i="5"/>
  <c r="S266" i="5"/>
  <c r="T266" i="5"/>
  <c r="U266" i="5"/>
  <c r="T97" i="4"/>
  <c r="T99" i="4"/>
  <c r="T98" i="4"/>
  <c r="T120" i="4"/>
  <c r="T122" i="4"/>
  <c r="T113" i="4"/>
  <c r="V166" i="4"/>
  <c r="V106" i="4"/>
  <c r="V104" i="4"/>
  <c r="V92" i="4"/>
  <c r="V91" i="4"/>
  <c r="R69" i="4"/>
  <c r="R72" i="4" s="1"/>
  <c r="P69" i="4"/>
  <c r="P44" i="4"/>
  <c r="L44" i="4"/>
  <c r="F44" i="4"/>
  <c r="D32" i="4"/>
  <c r="F32" i="4"/>
  <c r="H32" i="4"/>
  <c r="J32" i="4"/>
  <c r="L32" i="4"/>
  <c r="N32" i="4"/>
  <c r="P32" i="4"/>
  <c r="R32" i="4"/>
  <c r="D33" i="4"/>
  <c r="F33" i="4"/>
  <c r="H33" i="4"/>
  <c r="J33" i="4"/>
  <c r="L33" i="4"/>
  <c r="N33" i="4"/>
  <c r="P33" i="4"/>
  <c r="R33" i="4"/>
  <c r="V34" i="4"/>
  <c r="V52" i="4" s="1"/>
  <c r="D36" i="4"/>
  <c r="F36" i="4"/>
  <c r="H36" i="4"/>
  <c r="J36" i="4"/>
  <c r="L36" i="4"/>
  <c r="N36" i="4"/>
  <c r="P36" i="4"/>
  <c r="R36" i="4"/>
  <c r="V50" i="4"/>
  <c r="R57" i="4"/>
  <c r="R58" i="4"/>
  <c r="V70" i="4"/>
  <c r="L72" i="4"/>
  <c r="L85" i="4" s="1"/>
  <c r="N72" i="4"/>
  <c r="N85" i="4" s="1"/>
  <c r="T72" i="4"/>
  <c r="V82" i="4"/>
  <c r="V83" i="4"/>
  <c r="N88" i="4"/>
  <c r="A103" i="4"/>
  <c r="A104" i="4" s="1"/>
  <c r="A113" i="4"/>
  <c r="A114" i="4" s="1"/>
  <c r="A115" i="4" s="1"/>
  <c r="A116" i="4" s="1"/>
  <c r="A117" i="4" s="1"/>
  <c r="A118" i="4" s="1"/>
  <c r="B135" i="4"/>
  <c r="B194" i="4" s="1"/>
  <c r="B277" i="4" s="1"/>
  <c r="V148" i="4"/>
  <c r="V179" i="4"/>
  <c r="R254" i="4"/>
  <c r="T254" i="4"/>
  <c r="T214" i="4" s="1"/>
  <c r="R242" i="4"/>
  <c r="S234" i="4" s="1"/>
  <c r="T242" i="4"/>
  <c r="R266" i="4"/>
  <c r="S266" i="4"/>
  <c r="T266" i="4"/>
  <c r="T268" i="4" s="1"/>
  <c r="U266" i="4"/>
  <c r="P69" i="3"/>
  <c r="P72" i="3" s="1"/>
  <c r="D36" i="3"/>
  <c r="F36" i="3"/>
  <c r="H36" i="3"/>
  <c r="J36" i="3"/>
  <c r="L36" i="3"/>
  <c r="N36" i="3"/>
  <c r="P36" i="3"/>
  <c r="R36" i="3"/>
  <c r="V106" i="3"/>
  <c r="V104" i="3"/>
  <c r="V92" i="3"/>
  <c r="V91" i="3"/>
  <c r="R69" i="3"/>
  <c r="R72" i="3" s="1"/>
  <c r="P44" i="3"/>
  <c r="L44" i="3"/>
  <c r="F44" i="3"/>
  <c r="S220" i="3"/>
  <c r="D32" i="3"/>
  <c r="F32" i="3"/>
  <c r="H32" i="3"/>
  <c r="J32" i="3"/>
  <c r="L32" i="3"/>
  <c r="N32" i="3"/>
  <c r="P32" i="3"/>
  <c r="R32" i="3"/>
  <c r="D33" i="3"/>
  <c r="F33" i="3"/>
  <c r="H33" i="3"/>
  <c r="J33" i="3"/>
  <c r="L33" i="3"/>
  <c r="N33" i="3"/>
  <c r="P33" i="3"/>
  <c r="R33" i="3"/>
  <c r="V34" i="3"/>
  <c r="F43" i="3"/>
  <c r="L43" i="3"/>
  <c r="P43" i="3"/>
  <c r="V50" i="3"/>
  <c r="R57" i="3"/>
  <c r="R58" i="3"/>
  <c r="V70" i="3"/>
  <c r="L72" i="3"/>
  <c r="L85" i="3" s="1"/>
  <c r="N72" i="3"/>
  <c r="N85" i="3" s="1"/>
  <c r="T72" i="3"/>
  <c r="V82" i="3"/>
  <c r="V83" i="3"/>
  <c r="N88" i="3"/>
  <c r="T97" i="3"/>
  <c r="T98" i="3"/>
  <c r="T99" i="3"/>
  <c r="A103" i="3"/>
  <c r="A104" i="3" s="1"/>
  <c r="A113" i="3"/>
  <c r="A114" i="3" s="1"/>
  <c r="A115" i="3" s="1"/>
  <c r="A116" i="3" s="1"/>
  <c r="A117" i="3" s="1"/>
  <c r="A118" i="3" s="1"/>
  <c r="T120" i="3"/>
  <c r="T122" i="3"/>
  <c r="B135" i="3"/>
  <c r="B194" i="3" s="1"/>
  <c r="B277" i="3" s="1"/>
  <c r="V148" i="3"/>
  <c r="V165" i="3"/>
  <c r="V166" i="3"/>
  <c r="V179" i="3"/>
  <c r="R254" i="3"/>
  <c r="T254" i="3"/>
  <c r="R242" i="3"/>
  <c r="S238" i="3" s="1"/>
  <c r="T242" i="3"/>
  <c r="U237" i="3" s="1"/>
  <c r="R266" i="3"/>
  <c r="S266" i="3"/>
  <c r="T266" i="3"/>
  <c r="U266" i="3"/>
  <c r="R69" i="2"/>
  <c r="P69" i="2"/>
  <c r="T90" i="2" s="1"/>
  <c r="T97" i="2" s="1"/>
  <c r="V70" i="2"/>
  <c r="T99" i="2"/>
  <c r="T98" i="2"/>
  <c r="D36" i="2"/>
  <c r="F36" i="2"/>
  <c r="H36" i="2"/>
  <c r="J36" i="2"/>
  <c r="L36" i="2"/>
  <c r="N36" i="2"/>
  <c r="P36" i="2"/>
  <c r="R36" i="2"/>
  <c r="V91" i="2"/>
  <c r="V92" i="2"/>
  <c r="V106" i="2"/>
  <c r="V104" i="2"/>
  <c r="R57" i="2"/>
  <c r="P44" i="2"/>
  <c r="L44" i="2"/>
  <c r="F44" i="2"/>
  <c r="R35" i="2"/>
  <c r="R32" i="2"/>
  <c r="P35" i="2"/>
  <c r="P32" i="2"/>
  <c r="N35" i="2"/>
  <c r="N32" i="2"/>
  <c r="L35" i="2"/>
  <c r="L32" i="2"/>
  <c r="J35" i="2"/>
  <c r="J32" i="2"/>
  <c r="H35" i="2"/>
  <c r="H32" i="2"/>
  <c r="F35" i="2"/>
  <c r="F32" i="2"/>
  <c r="D35" i="2"/>
  <c r="F43" i="2"/>
  <c r="L43" i="2"/>
  <c r="P43" i="2"/>
  <c r="D32" i="2"/>
  <c r="D33" i="2"/>
  <c r="N72" i="2"/>
  <c r="N85" i="2" s="1"/>
  <c r="V148" i="2"/>
  <c r="S220" i="2"/>
  <c r="T218" i="1"/>
  <c r="T219" i="1" s="1"/>
  <c r="F33" i="2"/>
  <c r="H33" i="2"/>
  <c r="J33" i="2"/>
  <c r="L33" i="2"/>
  <c r="N33" i="2"/>
  <c r="P33" i="2"/>
  <c r="R33" i="2"/>
  <c r="V34" i="2"/>
  <c r="V52" i="2" s="1"/>
  <c r="V50" i="2"/>
  <c r="R58" i="2"/>
  <c r="L72" i="2"/>
  <c r="L85" i="2" s="1"/>
  <c r="T72" i="2"/>
  <c r="V82" i="2"/>
  <c r="V83" i="2"/>
  <c r="N88" i="2"/>
  <c r="A103" i="2"/>
  <c r="A104" i="2" s="1"/>
  <c r="A113" i="2"/>
  <c r="A114" i="2" s="1"/>
  <c r="A115" i="2" s="1"/>
  <c r="A116" i="2" s="1"/>
  <c r="A117" i="2" s="1"/>
  <c r="A118" i="2" s="1"/>
  <c r="T120" i="2"/>
  <c r="T122" i="2"/>
  <c r="B135" i="2"/>
  <c r="B194" i="2" s="1"/>
  <c r="B277" i="2" s="1"/>
  <c r="V165" i="2"/>
  <c r="V166" i="2"/>
  <c r="V179" i="2"/>
  <c r="R254" i="2"/>
  <c r="T254" i="2"/>
  <c r="R242" i="2"/>
  <c r="S239" i="2" s="1"/>
  <c r="T242" i="2"/>
  <c r="U238" i="2" s="1"/>
  <c r="R266" i="2"/>
  <c r="S266" i="2"/>
  <c r="T266" i="2"/>
  <c r="U266" i="2"/>
  <c r="V91" i="1"/>
  <c r="V92" i="1"/>
  <c r="V101" i="1"/>
  <c r="L72" i="1"/>
  <c r="L85" i="1" s="1"/>
  <c r="V105" i="1"/>
  <c r="V103" i="1"/>
  <c r="T97" i="1"/>
  <c r="T96" i="1"/>
  <c r="T98" i="1"/>
  <c r="T119" i="1"/>
  <c r="T121" i="1"/>
  <c r="P69" i="1"/>
  <c r="R69" i="1"/>
  <c r="V70" i="1"/>
  <c r="V50" i="1"/>
  <c r="L36" i="1"/>
  <c r="N36" i="1"/>
  <c r="P36" i="1"/>
  <c r="R36" i="1"/>
  <c r="D36" i="1"/>
  <c r="F36" i="1"/>
  <c r="H36" i="1"/>
  <c r="J36" i="1"/>
  <c r="L33" i="1"/>
  <c r="J33" i="1"/>
  <c r="H33" i="1"/>
  <c r="F33" i="1"/>
  <c r="D33" i="1"/>
  <c r="P33" i="1"/>
  <c r="R33" i="1"/>
  <c r="T265" i="1"/>
  <c r="T253" i="1"/>
  <c r="U246" i="1" s="1"/>
  <c r="T241" i="1"/>
  <c r="U234" i="1" s="1"/>
  <c r="R265" i="1"/>
  <c r="R253" i="1"/>
  <c r="S249" i="1" s="1"/>
  <c r="R241" i="1"/>
  <c r="S238" i="1" s="1"/>
  <c r="V35" i="1"/>
  <c r="N33" i="1"/>
  <c r="N88" i="1"/>
  <c r="U265" i="1"/>
  <c r="S265" i="1"/>
  <c r="N72" i="1"/>
  <c r="N85" i="1" s="1"/>
  <c r="A112" i="1"/>
  <c r="A113" i="1" s="1"/>
  <c r="A114" i="1" s="1"/>
  <c r="A115" i="1" s="1"/>
  <c r="A116" i="1" s="1"/>
  <c r="A117" i="1" s="1"/>
  <c r="V82" i="1"/>
  <c r="A102" i="1"/>
  <c r="A103" i="1" s="1"/>
  <c r="R58" i="1"/>
  <c r="V177" i="1"/>
  <c r="T72" i="1"/>
  <c r="B134" i="1"/>
  <c r="B193" i="1" s="1"/>
  <c r="B276" i="1" s="1"/>
  <c r="V164" i="1"/>
  <c r="V165" i="1"/>
  <c r="V178" i="1"/>
  <c r="V83" i="1"/>
  <c r="U251" i="4"/>
  <c r="U248" i="4"/>
  <c r="U247" i="4"/>
  <c r="U245" i="4"/>
  <c r="U252" i="15"/>
  <c r="U250" i="15"/>
  <c r="U240" i="15"/>
  <c r="U249" i="16"/>
  <c r="U249" i="17"/>
  <c r="U253" i="19"/>
  <c r="U241" i="13"/>
  <c r="P71" i="21"/>
  <c r="S251" i="7"/>
  <c r="S242" i="15"/>
  <c r="U245" i="5"/>
  <c r="S249" i="15"/>
  <c r="S217" i="14"/>
  <c r="U239" i="10"/>
  <c r="U234" i="12"/>
  <c r="U235" i="12"/>
  <c r="T270" i="16"/>
  <c r="S249" i="7"/>
  <c r="S216" i="12"/>
  <c r="S179" i="14"/>
  <c r="V165" i="19"/>
  <c r="U235" i="4"/>
  <c r="U239" i="4"/>
  <c r="V52" i="16"/>
  <c r="U248" i="17"/>
  <c r="U263" i="18"/>
  <c r="V139" i="20"/>
  <c r="V52" i="20"/>
  <c r="U235" i="3"/>
  <c r="U237" i="4"/>
  <c r="S238" i="7"/>
  <c r="U248" i="9"/>
  <c r="P72" i="10"/>
  <c r="S248" i="11"/>
  <c r="U251" i="12"/>
  <c r="U262" i="17"/>
  <c r="V165" i="18"/>
  <c r="U249" i="10"/>
  <c r="U236" i="3"/>
  <c r="U236" i="4"/>
  <c r="U250" i="4"/>
  <c r="U246" i="4"/>
  <c r="S237" i="7"/>
  <c r="S238" i="11"/>
  <c r="S236" i="5"/>
  <c r="U249" i="4"/>
  <c r="U239" i="1"/>
  <c r="U240" i="3"/>
  <c r="S246" i="3"/>
  <c r="U252" i="4"/>
  <c r="U240" i="4"/>
  <c r="U234" i="4"/>
  <c r="S214" i="4"/>
  <c r="R72" i="13"/>
  <c r="T216" i="16"/>
  <c r="U262" i="18"/>
  <c r="U246" i="18"/>
  <c r="U250" i="18"/>
  <c r="U249" i="18"/>
  <c r="T210" i="19"/>
  <c r="P71" i="19"/>
  <c r="S259" i="21"/>
  <c r="S265" i="21"/>
  <c r="S258" i="21"/>
  <c r="S264" i="21"/>
  <c r="S178" i="18"/>
  <c r="S258" i="19"/>
  <c r="S262" i="19"/>
  <c r="S261" i="19"/>
  <c r="T215" i="20"/>
  <c r="U259" i="20"/>
  <c r="U261" i="20"/>
  <c r="U263" i="20"/>
  <c r="U265" i="20"/>
  <c r="U258" i="20"/>
  <c r="S235" i="13"/>
  <c r="S239" i="13"/>
  <c r="S247" i="13"/>
  <c r="S249" i="13"/>
  <c r="S251" i="13"/>
  <c r="S253" i="13"/>
  <c r="S241" i="14"/>
  <c r="U262" i="20"/>
  <c r="T123" i="11"/>
  <c r="V180" i="11"/>
  <c r="T210" i="20"/>
  <c r="V140" i="7"/>
  <c r="N85" i="7"/>
  <c r="S247" i="16"/>
  <c r="S248" i="16"/>
  <c r="S250" i="16"/>
  <c r="S254" i="16"/>
  <c r="S249" i="2"/>
  <c r="T214" i="3"/>
  <c r="U247" i="3"/>
  <c r="U246" i="3"/>
  <c r="U240" i="2"/>
  <c r="S247" i="12"/>
  <c r="S252" i="3"/>
  <c r="T216" i="11"/>
  <c r="S215" i="20"/>
  <c r="S248" i="4"/>
  <c r="S234" i="7"/>
  <c r="T123" i="7"/>
  <c r="T132" i="7" s="1"/>
  <c r="T215" i="13"/>
  <c r="S247" i="14"/>
  <c r="V69" i="11"/>
  <c r="R72" i="11"/>
  <c r="S178" i="13"/>
  <c r="U247" i="18"/>
  <c r="U253" i="18"/>
  <c r="U248" i="18"/>
  <c r="U252" i="18"/>
  <c r="V166" i="15"/>
  <c r="V168" i="15" s="1"/>
  <c r="S240" i="13"/>
  <c r="U259" i="21"/>
  <c r="S247" i="22"/>
  <c r="S249" i="22"/>
  <c r="S251" i="22"/>
  <c r="S246" i="22"/>
  <c r="P71" i="22"/>
  <c r="T210" i="22"/>
  <c r="S265" i="22"/>
  <c r="T131" i="22"/>
  <c r="S250" i="19"/>
  <c r="U238" i="3"/>
  <c r="U246" i="6"/>
  <c r="S236" i="6"/>
  <c r="S251" i="19"/>
  <c r="S247" i="19"/>
  <c r="V139" i="19"/>
  <c r="V165" i="23"/>
  <c r="S178" i="23"/>
  <c r="P71" i="24"/>
  <c r="V52" i="25"/>
  <c r="S178" i="25"/>
  <c r="U252" i="25"/>
  <c r="U248" i="25"/>
  <c r="U246" i="25"/>
  <c r="U247" i="25"/>
  <c r="U249" i="25"/>
  <c r="U251" i="25"/>
  <c r="S248" i="25"/>
  <c r="V52" i="26"/>
  <c r="V165" i="26"/>
  <c r="V167" i="26" s="1"/>
  <c r="S178" i="26"/>
  <c r="T243" i="26"/>
  <c r="U235" i="26" s="1"/>
  <c r="U248" i="26"/>
  <c r="S252" i="26"/>
  <c r="V68" i="27"/>
  <c r="V71" i="27" s="1"/>
  <c r="P71" i="27"/>
  <c r="V140" i="27"/>
  <c r="S179" i="27"/>
  <c r="U248" i="27"/>
  <c r="U264" i="27"/>
  <c r="U278" i="27"/>
  <c r="U280" i="27" s="1"/>
  <c r="U259" i="27"/>
  <c r="S259" i="27"/>
  <c r="S262" i="27"/>
  <c r="S266" i="27"/>
  <c r="V68" i="28"/>
  <c r="P71" i="28"/>
  <c r="S179" i="28"/>
  <c r="U251" i="28"/>
  <c r="U252" i="28"/>
  <c r="U253" i="28"/>
  <c r="U264" i="28"/>
  <c r="U278" i="28"/>
  <c r="U280" i="28" s="1"/>
  <c r="S263" i="28"/>
  <c r="S259" i="28"/>
  <c r="S260" i="28"/>
  <c r="S265" i="28"/>
  <c r="S261" i="28"/>
  <c r="S262" i="28"/>
  <c r="S264" i="28"/>
  <c r="U247" i="28"/>
  <c r="U248" i="28"/>
  <c r="U249" i="28"/>
  <c r="U250" i="28"/>
  <c r="U254" i="28"/>
  <c r="S251" i="28"/>
  <c r="R244" i="28"/>
  <c r="S242" i="28" s="1"/>
  <c r="T211" i="29"/>
  <c r="V68" i="29"/>
  <c r="V96" i="29"/>
  <c r="V100" i="29" s="1"/>
  <c r="V191" i="29" s="1"/>
  <c r="T282" i="29"/>
  <c r="T244" i="29"/>
  <c r="U238" i="29" s="1"/>
  <c r="U248" i="29"/>
  <c r="U250" i="29"/>
  <c r="U247" i="29"/>
  <c r="U249" i="29"/>
  <c r="U251" i="29"/>
  <c r="U253" i="29"/>
  <c r="U254" i="29"/>
  <c r="V166" i="30"/>
  <c r="V168" i="30" s="1"/>
  <c r="V181" i="30"/>
  <c r="T211" i="30"/>
  <c r="V68" i="30"/>
  <c r="V71" i="30" s="1"/>
  <c r="V174" i="30" s="1"/>
  <c r="T244" i="30"/>
  <c r="U242" i="30" s="1"/>
  <c r="U280" i="30"/>
  <c r="V139" i="4"/>
  <c r="T132" i="6"/>
  <c r="S248" i="13"/>
  <c r="V68" i="21"/>
  <c r="V71" i="21" s="1"/>
  <c r="U261" i="22"/>
  <c r="U263" i="23"/>
  <c r="T216" i="24"/>
  <c r="T216" i="26"/>
  <c r="U260" i="30"/>
  <c r="U264" i="30"/>
  <c r="S248" i="31"/>
  <c r="U260" i="20"/>
  <c r="V35" i="25"/>
  <c r="V43" i="25" s="1"/>
  <c r="T202" i="25" s="1"/>
  <c r="T203" i="25" s="1"/>
  <c r="P72" i="15"/>
  <c r="P71" i="18"/>
  <c r="U248" i="23"/>
  <c r="S249" i="31"/>
  <c r="U259" i="31"/>
  <c r="U263" i="31"/>
  <c r="T100" i="3"/>
  <c r="R71" i="21"/>
  <c r="T243" i="23"/>
  <c r="U234" i="23" s="1"/>
  <c r="S265" i="26"/>
  <c r="U260" i="31"/>
  <c r="S246" i="26"/>
  <c r="S250" i="26"/>
  <c r="S247" i="26"/>
  <c r="S251" i="26"/>
  <c r="P72" i="5"/>
  <c r="P72" i="6"/>
  <c r="V180" i="9"/>
  <c r="S258" i="24"/>
  <c r="S215" i="24"/>
  <c r="R71" i="24"/>
  <c r="V165" i="25"/>
  <c r="S263" i="27"/>
  <c r="S264" i="27"/>
  <c r="S216" i="27"/>
  <c r="U249" i="27"/>
  <c r="U253" i="27"/>
  <c r="U250" i="27"/>
  <c r="S249" i="26"/>
  <c r="S248" i="26"/>
  <c r="S237" i="1"/>
  <c r="U246" i="22"/>
  <c r="U249" i="22"/>
  <c r="U251" i="22"/>
  <c r="U248" i="22"/>
  <c r="U252" i="22"/>
  <c r="U253" i="22"/>
  <c r="S216" i="23"/>
  <c r="V51" i="24"/>
  <c r="S253" i="24"/>
  <c r="S249" i="24"/>
  <c r="T216" i="14"/>
  <c r="U249" i="14"/>
  <c r="S241" i="28"/>
  <c r="S253" i="26"/>
  <c r="U250" i="22"/>
  <c r="R244" i="27"/>
  <c r="S241" i="27" s="1"/>
  <c r="U266" i="29"/>
  <c r="U261" i="29"/>
  <c r="T216" i="29"/>
  <c r="U264" i="29"/>
  <c r="U260" i="29"/>
  <c r="U263" i="29"/>
  <c r="U262" i="29"/>
  <c r="U235" i="14"/>
  <c r="U238" i="14"/>
  <c r="U241" i="14"/>
  <c r="U237" i="14"/>
  <c r="U237" i="16"/>
  <c r="S265" i="17"/>
  <c r="T215" i="24"/>
  <c r="U258" i="24"/>
  <c r="S252" i="27"/>
  <c r="S250" i="27"/>
  <c r="S249" i="27"/>
  <c r="T217" i="27"/>
  <c r="S261" i="31"/>
  <c r="U246" i="12"/>
  <c r="U247" i="12"/>
  <c r="U238" i="12"/>
  <c r="U237" i="12"/>
  <c r="U238" i="16"/>
  <c r="U233" i="4"/>
  <c r="U238" i="4"/>
  <c r="U233" i="5"/>
  <c r="S247" i="6"/>
  <c r="S234" i="9"/>
  <c r="V69" i="14"/>
  <c r="V72" i="14" s="1"/>
  <c r="P72" i="14"/>
  <c r="S240" i="15"/>
  <c r="S253" i="15"/>
  <c r="V140" i="15"/>
  <c r="V68" i="18"/>
  <c r="R71" i="18"/>
  <c r="V166" i="13"/>
  <c r="V168" i="13" s="1"/>
  <c r="U263" i="24"/>
  <c r="S253" i="27"/>
  <c r="S248" i="28"/>
  <c r="S259" i="31"/>
  <c r="U253" i="12"/>
  <c r="U239" i="12"/>
  <c r="U241" i="12"/>
  <c r="U247" i="11"/>
  <c r="S250" i="7"/>
  <c r="S248" i="7"/>
  <c r="S215" i="7"/>
  <c r="S246" i="7"/>
  <c r="S253" i="7"/>
  <c r="U241" i="10"/>
  <c r="V52" i="22"/>
  <c r="S178" i="22"/>
  <c r="U264" i="25"/>
  <c r="S277" i="25"/>
  <c r="S279" i="25" s="1"/>
  <c r="S254" i="27"/>
  <c r="S216" i="31"/>
  <c r="S241" i="6"/>
  <c r="R282" i="27"/>
  <c r="T244" i="31"/>
  <c r="U235" i="31" s="1"/>
  <c r="S278" i="27"/>
  <c r="S280" i="27" s="1"/>
  <c r="T132" i="30"/>
  <c r="U264" i="31"/>
  <c r="U242" i="29"/>
  <c r="U241" i="29"/>
  <c r="S236" i="9"/>
  <c r="S263" i="19"/>
  <c r="T281" i="22"/>
  <c r="U246" i="23"/>
  <c r="S252" i="24"/>
  <c r="U263" i="25"/>
  <c r="V96" i="27"/>
  <c r="V100" i="27" s="1"/>
  <c r="U265" i="29"/>
  <c r="U259" i="30"/>
  <c r="U261" i="30"/>
  <c r="U263" i="30"/>
  <c r="U265" i="30"/>
  <c r="U266" i="31"/>
  <c r="U233" i="3"/>
  <c r="S261" i="23"/>
  <c r="S240" i="11"/>
  <c r="S250" i="24"/>
  <c r="U262" i="25"/>
  <c r="S251" i="27"/>
  <c r="T132" i="28"/>
  <c r="U252" i="23"/>
  <c r="T215" i="23"/>
  <c r="S247" i="24"/>
  <c r="T132" i="27"/>
  <c r="V96" i="30"/>
  <c r="V100" i="30" s="1"/>
  <c r="S263" i="31"/>
  <c r="U236" i="29"/>
  <c r="U235" i="29"/>
  <c r="S215" i="11"/>
  <c r="U252" i="12"/>
  <c r="U248" i="12"/>
  <c r="U250" i="12"/>
  <c r="S248" i="2"/>
  <c r="T209" i="2"/>
  <c r="S234" i="12"/>
  <c r="U264" i="17"/>
  <c r="U265" i="21"/>
  <c r="S247" i="2"/>
  <c r="V139" i="2"/>
  <c r="P72" i="2"/>
  <c r="S249" i="3"/>
  <c r="T210" i="13"/>
  <c r="S234" i="13"/>
  <c r="S241" i="13"/>
  <c r="S236" i="13"/>
  <c r="S237" i="13"/>
  <c r="V178" i="2"/>
  <c r="T210" i="11"/>
  <c r="S250" i="13"/>
  <c r="S251" i="17"/>
  <c r="S215" i="18"/>
  <c r="S264" i="18"/>
  <c r="S246" i="23"/>
  <c r="S252" i="23"/>
  <c r="S250" i="23"/>
  <c r="S248" i="23"/>
  <c r="S253" i="23"/>
  <c r="S251" i="23"/>
  <c r="S249" i="23"/>
  <c r="S247" i="23"/>
  <c r="T211" i="14"/>
  <c r="S246" i="20"/>
  <c r="S246" i="19"/>
  <c r="S249" i="19"/>
  <c r="V165" i="17"/>
  <c r="V167" i="17" s="1"/>
  <c r="U253" i="24"/>
  <c r="U251" i="24"/>
  <c r="U249" i="24"/>
  <c r="U247" i="24"/>
  <c r="U252" i="24"/>
  <c r="U246" i="24"/>
  <c r="U248" i="24"/>
  <c r="U247" i="22"/>
  <c r="S178" i="24"/>
  <c r="U253" i="25"/>
  <c r="U250" i="25"/>
  <c r="T123" i="29"/>
  <c r="V181" i="29"/>
  <c r="U253" i="30"/>
  <c r="U251" i="30"/>
  <c r="U249" i="30"/>
  <c r="U254" i="30"/>
  <c r="U252" i="30"/>
  <c r="U250" i="30"/>
  <c r="U254" i="31"/>
  <c r="U252" i="31"/>
  <c r="U250" i="31"/>
  <c r="U248" i="31"/>
  <c r="U247" i="23"/>
  <c r="U249" i="23"/>
  <c r="U264" i="26"/>
  <c r="U262" i="26"/>
  <c r="U260" i="26"/>
  <c r="U258" i="26"/>
  <c r="U265" i="26"/>
  <c r="U263" i="26"/>
  <c r="U261" i="26"/>
  <c r="U259" i="26"/>
  <c r="S179" i="31"/>
  <c r="V140" i="31"/>
  <c r="U253" i="31"/>
  <c r="U260" i="23"/>
  <c r="U262" i="23"/>
  <c r="T244" i="28"/>
  <c r="U240" i="28" s="1"/>
  <c r="S259" i="29"/>
  <c r="S265" i="29"/>
  <c r="S263" i="29"/>
  <c r="S261" i="29"/>
  <c r="S266" i="29"/>
  <c r="S264" i="29"/>
  <c r="S262" i="29"/>
  <c r="S260" i="29"/>
  <c r="U251" i="31"/>
  <c r="S251" i="24"/>
  <c r="S247" i="28"/>
  <c r="S254" i="28"/>
  <c r="S260" i="31"/>
  <c r="S262" i="31"/>
  <c r="T100" i="31"/>
  <c r="P71" i="31"/>
  <c r="V52" i="31"/>
  <c r="V166" i="31"/>
  <c r="V168" i="31" s="1"/>
  <c r="U238" i="23"/>
  <c r="S236" i="27"/>
  <c r="V180" i="2"/>
  <c r="V118" i="26" l="1"/>
  <c r="V131" i="26" s="1"/>
  <c r="V132" i="26" s="1"/>
  <c r="V188" i="26"/>
  <c r="U266" i="34"/>
  <c r="T188" i="57"/>
  <c r="V179" i="7"/>
  <c r="U239" i="28"/>
  <c r="R282" i="31"/>
  <c r="U260" i="28"/>
  <c r="S265" i="18"/>
  <c r="S267" i="18" s="1"/>
  <c r="S260" i="18"/>
  <c r="U247" i="1"/>
  <c r="U244" i="1"/>
  <c r="U263" i="17"/>
  <c r="S239" i="6"/>
  <c r="U260" i="25"/>
  <c r="U261" i="25"/>
  <c r="S235" i="6"/>
  <c r="S243" i="6" s="1"/>
  <c r="V165" i="20"/>
  <c r="V167" i="20" s="1"/>
  <c r="S252" i="15"/>
  <c r="S247" i="15"/>
  <c r="U236" i="16"/>
  <c r="U244" i="16" s="1"/>
  <c r="R281" i="23"/>
  <c r="S234" i="1"/>
  <c r="S262" i="24"/>
  <c r="S259" i="24"/>
  <c r="U261" i="28"/>
  <c r="U260" i="27"/>
  <c r="U263" i="27"/>
  <c r="U253" i="26"/>
  <c r="U255" i="26" s="1"/>
  <c r="U246" i="26"/>
  <c r="T281" i="25"/>
  <c r="T281" i="23"/>
  <c r="S238" i="6"/>
  <c r="S263" i="22"/>
  <c r="S216" i="14"/>
  <c r="U251" i="13"/>
  <c r="S250" i="14"/>
  <c r="U258" i="17"/>
  <c r="U252" i="17"/>
  <c r="S251" i="15"/>
  <c r="S235" i="15"/>
  <c r="U235" i="13"/>
  <c r="S247" i="9"/>
  <c r="S176" i="1"/>
  <c r="V36" i="21"/>
  <c r="T100" i="25"/>
  <c r="R243" i="25"/>
  <c r="V166" i="28"/>
  <c r="V168" i="28" s="1"/>
  <c r="S260" i="32"/>
  <c r="S268" i="32" s="1"/>
  <c r="S261" i="32"/>
  <c r="R244" i="35"/>
  <c r="S241" i="35" s="1"/>
  <c r="U262" i="36"/>
  <c r="U262" i="39"/>
  <c r="U261" i="43"/>
  <c r="V180" i="5"/>
  <c r="V68" i="31"/>
  <c r="V71" i="31" s="1"/>
  <c r="T216" i="28"/>
  <c r="S261" i="18"/>
  <c r="S263" i="18"/>
  <c r="T213" i="1"/>
  <c r="U259" i="17"/>
  <c r="U267" i="17" s="1"/>
  <c r="U250" i="1"/>
  <c r="U258" i="25"/>
  <c r="S234" i="6"/>
  <c r="S263" i="23"/>
  <c r="S248" i="15"/>
  <c r="S238" i="15"/>
  <c r="U239" i="16"/>
  <c r="U240" i="30"/>
  <c r="U251" i="1"/>
  <c r="U234" i="7"/>
  <c r="S260" i="24"/>
  <c r="S261" i="24"/>
  <c r="S253" i="31"/>
  <c r="S264" i="23"/>
  <c r="S253" i="29"/>
  <c r="U266" i="27"/>
  <c r="U262" i="27"/>
  <c r="U252" i="26"/>
  <c r="U249" i="26"/>
  <c r="R281" i="24"/>
  <c r="S240" i="6"/>
  <c r="S259" i="22"/>
  <c r="S252" i="14"/>
  <c r="U248" i="13"/>
  <c r="S233" i="2"/>
  <c r="U265" i="17"/>
  <c r="S236" i="4"/>
  <c r="S216" i="15"/>
  <c r="U242" i="16"/>
  <c r="S236" i="15"/>
  <c r="U237" i="13"/>
  <c r="V138" i="1"/>
  <c r="V147" i="1" s="1"/>
  <c r="Y34" i="1" s="1"/>
  <c r="V97" i="3"/>
  <c r="V100" i="3" s="1"/>
  <c r="T101" i="13"/>
  <c r="T101" i="14"/>
  <c r="T101" i="15"/>
  <c r="T131" i="17"/>
  <c r="T131" i="19"/>
  <c r="R243" i="24"/>
  <c r="S239" i="24" s="1"/>
  <c r="V166" i="32"/>
  <c r="V168" i="32" s="1"/>
  <c r="S265" i="32"/>
  <c r="S264" i="32"/>
  <c r="V96" i="32"/>
  <c r="V100" i="32" s="1"/>
  <c r="R244" i="33"/>
  <c r="S236" i="33" s="1"/>
  <c r="U249" i="35"/>
  <c r="U260" i="36"/>
  <c r="U265" i="39"/>
  <c r="U261" i="39"/>
  <c r="U268" i="39" s="1"/>
  <c r="T216" i="39"/>
  <c r="V166" i="40"/>
  <c r="V168" i="40" s="1"/>
  <c r="S251" i="48"/>
  <c r="V178" i="4"/>
  <c r="V139" i="24"/>
  <c r="S258" i="18"/>
  <c r="S259" i="18"/>
  <c r="U249" i="1"/>
  <c r="U253" i="1" s="1"/>
  <c r="T215" i="17"/>
  <c r="S262" i="23"/>
  <c r="S258" i="23"/>
  <c r="S265" i="24"/>
  <c r="S260" i="23"/>
  <c r="S179" i="15"/>
  <c r="U240" i="16"/>
  <c r="V166" i="9"/>
  <c r="V168" i="9" s="1"/>
  <c r="V71" i="18"/>
  <c r="V173" i="18" s="1"/>
  <c r="S250" i="15"/>
  <c r="T282" i="27"/>
  <c r="U241" i="16"/>
  <c r="U245" i="1"/>
  <c r="S264" i="24"/>
  <c r="S247" i="31"/>
  <c r="S252" i="31"/>
  <c r="S251" i="31"/>
  <c r="U265" i="28"/>
  <c r="U261" i="27"/>
  <c r="U265" i="27"/>
  <c r="U268" i="27" s="1"/>
  <c r="U250" i="26"/>
  <c r="U247" i="26"/>
  <c r="V165" i="24"/>
  <c r="V167" i="24" s="1"/>
  <c r="V167" i="23"/>
  <c r="V69" i="16"/>
  <c r="V72" i="16" s="1"/>
  <c r="S215" i="22"/>
  <c r="U249" i="13"/>
  <c r="V165" i="4"/>
  <c r="V167" i="4" s="1"/>
  <c r="U261" i="17"/>
  <c r="U238" i="13"/>
  <c r="V97" i="5"/>
  <c r="V100" i="5" s="1"/>
  <c r="T203" i="5" s="1"/>
  <c r="T100" i="17"/>
  <c r="T100" i="22"/>
  <c r="S262" i="32"/>
  <c r="V140" i="38"/>
  <c r="U264" i="39"/>
  <c r="U260" i="39"/>
  <c r="V96" i="40"/>
  <c r="V100" i="40" s="1"/>
  <c r="V52" i="47"/>
  <c r="U248" i="48"/>
  <c r="U256" i="48" s="1"/>
  <c r="V96" i="19"/>
  <c r="V100" i="19" s="1"/>
  <c r="V118" i="19" s="1"/>
  <c r="V131" i="19" s="1"/>
  <c r="V132" i="19" s="1"/>
  <c r="T131" i="20"/>
  <c r="V68" i="22"/>
  <c r="S267" i="24"/>
  <c r="T243" i="20"/>
  <c r="U247" i="48"/>
  <c r="U260" i="48"/>
  <c r="S254" i="48"/>
  <c r="V96" i="20"/>
  <c r="V100" i="20" s="1"/>
  <c r="T244" i="33"/>
  <c r="U240" i="33" s="1"/>
  <c r="U264" i="38"/>
  <c r="S263" i="43"/>
  <c r="S216" i="44"/>
  <c r="U265" i="48"/>
  <c r="U259" i="48"/>
  <c r="T132" i="13"/>
  <c r="T133" i="13" s="1"/>
  <c r="V51" i="11"/>
  <c r="V51" i="14"/>
  <c r="V51" i="19"/>
  <c r="V51" i="21"/>
  <c r="V51" i="22"/>
  <c r="T243" i="24"/>
  <c r="V51" i="27"/>
  <c r="R244" i="31"/>
  <c r="S241" i="31" s="1"/>
  <c r="U263" i="43"/>
  <c r="U264" i="48"/>
  <c r="R244" i="32"/>
  <c r="S236" i="32" s="1"/>
  <c r="T216" i="38"/>
  <c r="P71" i="39"/>
  <c r="V191" i="41"/>
  <c r="S259" i="43"/>
  <c r="S262" i="44"/>
  <c r="U252" i="48"/>
  <c r="U263" i="48"/>
  <c r="T100" i="48"/>
  <c r="S248" i="49"/>
  <c r="U261" i="49"/>
  <c r="V168" i="6"/>
  <c r="V187" i="14"/>
  <c r="T132" i="17"/>
  <c r="V96" i="17"/>
  <c r="V100" i="17" s="1"/>
  <c r="V167" i="22"/>
  <c r="V36" i="25"/>
  <c r="S248" i="39"/>
  <c r="V68" i="39"/>
  <c r="U259" i="43"/>
  <c r="U265" i="43"/>
  <c r="S260" i="44"/>
  <c r="U247" i="46"/>
  <c r="T100" i="47"/>
  <c r="R244" i="47"/>
  <c r="U262" i="48"/>
  <c r="U268" i="48" s="1"/>
  <c r="S247" i="48"/>
  <c r="V96" i="48"/>
  <c r="V100" i="48" s="1"/>
  <c r="S247" i="49"/>
  <c r="T216" i="17"/>
  <c r="T281" i="17"/>
  <c r="S247" i="30"/>
  <c r="S250" i="30"/>
  <c r="S254" i="30"/>
  <c r="T123" i="35"/>
  <c r="V181" i="35"/>
  <c r="U236" i="23"/>
  <c r="V180" i="13"/>
  <c r="R282" i="30"/>
  <c r="U247" i="7"/>
  <c r="U248" i="7"/>
  <c r="S235" i="9"/>
  <c r="S237" i="9"/>
  <c r="S239" i="9"/>
  <c r="S238" i="9"/>
  <c r="S234" i="11"/>
  <c r="S239" i="11"/>
  <c r="S237" i="11"/>
  <c r="S235" i="11"/>
  <c r="S236" i="11"/>
  <c r="S243" i="11" s="1"/>
  <c r="S247" i="11"/>
  <c r="S253" i="11"/>
  <c r="S250" i="11"/>
  <c r="S251" i="11"/>
  <c r="S246" i="11"/>
  <c r="U253" i="38"/>
  <c r="U248" i="38"/>
  <c r="U247" i="38"/>
  <c r="U256" i="38" s="1"/>
  <c r="U252" i="38"/>
  <c r="U250" i="38"/>
  <c r="U249" i="38"/>
  <c r="S247" i="34"/>
  <c r="S253" i="34"/>
  <c r="U262" i="37"/>
  <c r="T216" i="37"/>
  <c r="U266" i="37"/>
  <c r="U259" i="37"/>
  <c r="U251" i="38"/>
  <c r="S254" i="41"/>
  <c r="S253" i="41"/>
  <c r="S247" i="41"/>
  <c r="S251" i="41"/>
  <c r="U251" i="16"/>
  <c r="U248" i="16"/>
  <c r="U250" i="16"/>
  <c r="U254" i="16"/>
  <c r="U252" i="16"/>
  <c r="U253" i="16"/>
  <c r="V139" i="17"/>
  <c r="V52" i="17"/>
  <c r="P71" i="17"/>
  <c r="V68" i="17"/>
  <c r="V71" i="17" s="1"/>
  <c r="V84" i="17" s="1"/>
  <c r="V174" i="17" s="1"/>
  <c r="U251" i="19"/>
  <c r="U246" i="19"/>
  <c r="U249" i="19"/>
  <c r="U248" i="19"/>
  <c r="U255" i="19" s="1"/>
  <c r="U247" i="19"/>
  <c r="U263" i="19"/>
  <c r="U260" i="19"/>
  <c r="T281" i="19"/>
  <c r="U265" i="19"/>
  <c r="S253" i="20"/>
  <c r="S251" i="20"/>
  <c r="S248" i="20"/>
  <c r="S252" i="20"/>
  <c r="S259" i="20"/>
  <c r="S263" i="20"/>
  <c r="S262" i="20"/>
  <c r="S267" i="20" s="1"/>
  <c r="S261" i="20"/>
  <c r="S260" i="20"/>
  <c r="S251" i="21"/>
  <c r="S248" i="21"/>
  <c r="S246" i="21"/>
  <c r="S253" i="21"/>
  <c r="S249" i="21"/>
  <c r="U263" i="21"/>
  <c r="U264" i="21"/>
  <c r="T215" i="21"/>
  <c r="U258" i="21"/>
  <c r="U261" i="21"/>
  <c r="U267" i="21" s="1"/>
  <c r="V139" i="21"/>
  <c r="V52" i="21"/>
  <c r="V181" i="31"/>
  <c r="T123" i="31"/>
  <c r="T132" i="31" s="1"/>
  <c r="T133" i="31" s="1"/>
  <c r="V180" i="18"/>
  <c r="T122" i="18"/>
  <c r="T131" i="18" s="1"/>
  <c r="T221" i="47"/>
  <c r="V166" i="47"/>
  <c r="V168" i="47" s="1"/>
  <c r="V189" i="14"/>
  <c r="S253" i="30"/>
  <c r="U260" i="21"/>
  <c r="S249" i="30"/>
  <c r="R244" i="30"/>
  <c r="S237" i="30" s="1"/>
  <c r="U262" i="19"/>
  <c r="U264" i="19"/>
  <c r="S247" i="20"/>
  <c r="S236" i="10"/>
  <c r="S235" i="10"/>
  <c r="S237" i="10"/>
  <c r="S239" i="10"/>
  <c r="S241" i="10"/>
  <c r="S238" i="10"/>
  <c r="U247" i="36"/>
  <c r="U250" i="36"/>
  <c r="V186" i="23"/>
  <c r="U235" i="23"/>
  <c r="S250" i="20"/>
  <c r="S250" i="10"/>
  <c r="R269" i="13"/>
  <c r="S241" i="11"/>
  <c r="S252" i="30"/>
  <c r="U258" i="19"/>
  <c r="S241" i="9"/>
  <c r="U234" i="5"/>
  <c r="S237" i="22"/>
  <c r="S240" i="22"/>
  <c r="U239" i="26"/>
  <c r="U237" i="26"/>
  <c r="U241" i="26"/>
  <c r="S264" i="20"/>
  <c r="S178" i="17"/>
  <c r="S252" i="21"/>
  <c r="V68" i="19"/>
  <c r="V71" i="19" s="1"/>
  <c r="S240" i="10"/>
  <c r="U250" i="19"/>
  <c r="U239" i="23"/>
  <c r="U241" i="24"/>
  <c r="U234" i="24"/>
  <c r="V186" i="21"/>
  <c r="V191" i="14"/>
  <c r="U240" i="23"/>
  <c r="S238" i="31"/>
  <c r="S249" i="20"/>
  <c r="V69" i="15"/>
  <c r="V72" i="15" s="1"/>
  <c r="S243" i="13"/>
  <c r="S239" i="22"/>
  <c r="S249" i="11"/>
  <c r="T205" i="29"/>
  <c r="S248" i="30"/>
  <c r="S251" i="30"/>
  <c r="U261" i="19"/>
  <c r="S240" i="9"/>
  <c r="U236" i="5"/>
  <c r="U262" i="21"/>
  <c r="S247" i="21"/>
  <c r="S265" i="20"/>
  <c r="S250" i="21"/>
  <c r="S252" i="11"/>
  <c r="S234" i="10"/>
  <c r="U252" i="19"/>
  <c r="U247" i="16"/>
  <c r="U256" i="16" s="1"/>
  <c r="U262" i="22"/>
  <c r="U258" i="22"/>
  <c r="S260" i="27"/>
  <c r="S261" i="27"/>
  <c r="S233" i="1"/>
  <c r="S239" i="1"/>
  <c r="S232" i="1"/>
  <c r="S237" i="2"/>
  <c r="S240" i="2"/>
  <c r="S235" i="2"/>
  <c r="S238" i="4"/>
  <c r="S233" i="4"/>
  <c r="S235" i="4"/>
  <c r="S237" i="4"/>
  <c r="S240" i="4"/>
  <c r="V139" i="23"/>
  <c r="V52" i="23"/>
  <c r="V51" i="23"/>
  <c r="U265" i="23"/>
  <c r="U259" i="23"/>
  <c r="T210" i="23"/>
  <c r="P71" i="23"/>
  <c r="S250" i="25"/>
  <c r="S252" i="25"/>
  <c r="P71" i="26"/>
  <c r="V68" i="26"/>
  <c r="V71" i="26" s="1"/>
  <c r="V173" i="26" s="1"/>
  <c r="U252" i="27"/>
  <c r="U251" i="27"/>
  <c r="U256" i="27" s="1"/>
  <c r="S253" i="28"/>
  <c r="S252" i="28"/>
  <c r="R282" i="28"/>
  <c r="V140" i="29"/>
  <c r="V52" i="29"/>
  <c r="S179" i="30"/>
  <c r="V140" i="30"/>
  <c r="V51" i="30"/>
  <c r="S265" i="30"/>
  <c r="S266" i="30"/>
  <c r="S260" i="30"/>
  <c r="T217" i="30"/>
  <c r="T282" i="30"/>
  <c r="U254" i="33"/>
  <c r="U253" i="33"/>
  <c r="U248" i="33"/>
  <c r="U249" i="33"/>
  <c r="S265" i="40"/>
  <c r="S263" i="40"/>
  <c r="S266" i="43"/>
  <c r="S264" i="43"/>
  <c r="S262" i="43"/>
  <c r="S260" i="43"/>
  <c r="S264" i="31"/>
  <c r="S268" i="31" s="1"/>
  <c r="S259" i="30"/>
  <c r="U258" i="23"/>
  <c r="T282" i="31"/>
  <c r="T132" i="29"/>
  <c r="S250" i="28"/>
  <c r="U247" i="27"/>
  <c r="S236" i="1"/>
  <c r="S249" i="28"/>
  <c r="S256" i="28" s="1"/>
  <c r="S266" i="31"/>
  <c r="U248" i="1"/>
  <c r="S235" i="1"/>
  <c r="U254" i="27"/>
  <c r="S265" i="27"/>
  <c r="S234" i="25"/>
  <c r="U264" i="22"/>
  <c r="R282" i="29"/>
  <c r="S179" i="29"/>
  <c r="T210" i="26"/>
  <c r="S253" i="25"/>
  <c r="S239" i="4"/>
  <c r="V166" i="1"/>
  <c r="T130" i="1"/>
  <c r="V167" i="2"/>
  <c r="S277" i="38"/>
  <c r="S217" i="38"/>
  <c r="S216" i="43"/>
  <c r="T221" i="36"/>
  <c r="V166" i="36"/>
  <c r="V168" i="36" s="1"/>
  <c r="T220" i="21"/>
  <c r="V165" i="21"/>
  <c r="V167" i="21" s="1"/>
  <c r="T131" i="26"/>
  <c r="V35" i="27"/>
  <c r="V43" i="27" s="1"/>
  <c r="T203" i="27" s="1"/>
  <c r="T204" i="27" s="1"/>
  <c r="V36" i="27"/>
  <c r="T244" i="47"/>
  <c r="U236" i="47" s="1"/>
  <c r="U250" i="49"/>
  <c r="U254" i="49"/>
  <c r="V84" i="21"/>
  <c r="V174" i="21" s="1"/>
  <c r="V167" i="19"/>
  <c r="V97" i="4"/>
  <c r="V100" i="4" s="1"/>
  <c r="T203" i="4" s="1"/>
  <c r="V96" i="22"/>
  <c r="V100" i="22" s="1"/>
  <c r="V188" i="22" s="1"/>
  <c r="T131" i="25"/>
  <c r="T132" i="25" s="1"/>
  <c r="T216" i="30"/>
  <c r="T244" i="38"/>
  <c r="U235" i="38" s="1"/>
  <c r="V52" i="39"/>
  <c r="V71" i="39"/>
  <c r="R244" i="41"/>
  <c r="U251" i="41"/>
  <c r="U259" i="41"/>
  <c r="S261" i="47"/>
  <c r="V35" i="48"/>
  <c r="V43" i="48" s="1"/>
  <c r="T203" i="48" s="1"/>
  <c r="T204" i="48" s="1"/>
  <c r="V36" i="48"/>
  <c r="S250" i="48"/>
  <c r="V51" i="49"/>
  <c r="R244" i="50"/>
  <c r="S181" i="7"/>
  <c r="S179" i="9" s="1"/>
  <c r="V179" i="9" s="1"/>
  <c r="S235" i="51"/>
  <c r="S242" i="51"/>
  <c r="V71" i="28"/>
  <c r="V84" i="28" s="1"/>
  <c r="V175" i="28" s="1"/>
  <c r="T99" i="1"/>
  <c r="T131" i="1" s="1"/>
  <c r="T131" i="2"/>
  <c r="T131" i="4"/>
  <c r="V189" i="5"/>
  <c r="R269" i="6"/>
  <c r="T101" i="9"/>
  <c r="T101" i="11"/>
  <c r="T132" i="16"/>
  <c r="V36" i="16"/>
  <c r="V35" i="16"/>
  <c r="V43" i="16" s="1"/>
  <c r="T203" i="16" s="1"/>
  <c r="T204" i="16" s="1"/>
  <c r="V68" i="24"/>
  <c r="V71" i="24" s="1"/>
  <c r="V173" i="24" s="1"/>
  <c r="T243" i="25"/>
  <c r="V96" i="28"/>
  <c r="V100" i="28" s="1"/>
  <c r="V187" i="28" s="1"/>
  <c r="T100" i="29"/>
  <c r="V168" i="35"/>
  <c r="S179" i="38"/>
  <c r="V35" i="40"/>
  <c r="V43" i="40" s="1"/>
  <c r="T203" i="40" s="1"/>
  <c r="T204" i="40" s="1"/>
  <c r="T244" i="43"/>
  <c r="U260" i="43"/>
  <c r="U262" i="43"/>
  <c r="U264" i="43"/>
  <c r="V168" i="50"/>
  <c r="T131" i="21"/>
  <c r="S236" i="51"/>
  <c r="V174" i="14"/>
  <c r="V85" i="14"/>
  <c r="V175" i="14" s="1"/>
  <c r="V191" i="15"/>
  <c r="V189" i="15"/>
  <c r="V187" i="15"/>
  <c r="S251" i="4"/>
  <c r="S252" i="4"/>
  <c r="S252" i="5"/>
  <c r="S250" i="5"/>
  <c r="S178" i="10"/>
  <c r="V52" i="10"/>
  <c r="V51" i="25"/>
  <c r="V51" i="29"/>
  <c r="S249" i="32"/>
  <c r="S247" i="32"/>
  <c r="P71" i="32"/>
  <c r="T211" i="32"/>
  <c r="S254" i="34"/>
  <c r="S251" i="34"/>
  <c r="S250" i="34"/>
  <c r="S249" i="34"/>
  <c r="S252" i="34"/>
  <c r="S248" i="34"/>
  <c r="U248" i="35"/>
  <c r="U250" i="44"/>
  <c r="U254" i="44"/>
  <c r="U251" i="44"/>
  <c r="U249" i="44"/>
  <c r="U263" i="47"/>
  <c r="U266" i="47"/>
  <c r="T219" i="5"/>
  <c r="V165" i="5"/>
  <c r="S240" i="7"/>
  <c r="S241" i="7"/>
  <c r="T215" i="10"/>
  <c r="U250" i="10"/>
  <c r="U251" i="10"/>
  <c r="V181" i="48"/>
  <c r="T123" i="48"/>
  <c r="V178" i="5"/>
  <c r="V180" i="3"/>
  <c r="U235" i="28"/>
  <c r="U237" i="28"/>
  <c r="V190" i="21"/>
  <c r="V187" i="5"/>
  <c r="S241" i="22"/>
  <c r="U237" i="31"/>
  <c r="T133" i="28"/>
  <c r="S246" i="6"/>
  <c r="S260" i="17"/>
  <c r="S178" i="6"/>
  <c r="S182" i="6" s="1"/>
  <c r="U237" i="2"/>
  <c r="S249" i="4"/>
  <c r="U235" i="2"/>
  <c r="U254" i="4"/>
  <c r="U236" i="10"/>
  <c r="V181" i="6"/>
  <c r="V180" i="4"/>
  <c r="V178" i="3"/>
  <c r="U241" i="28"/>
  <c r="U236" i="28"/>
  <c r="V118" i="21"/>
  <c r="V131" i="21" s="1"/>
  <c r="V132" i="21" s="1"/>
  <c r="U241" i="31"/>
  <c r="S253" i="17"/>
  <c r="S250" i="17"/>
  <c r="T269" i="9"/>
  <c r="U236" i="9"/>
  <c r="V173" i="21"/>
  <c r="V187" i="29"/>
  <c r="T133" i="27"/>
  <c r="V166" i="29"/>
  <c r="S250" i="6"/>
  <c r="U237" i="1"/>
  <c r="S237" i="28"/>
  <c r="U246" i="10"/>
  <c r="U235" i="10"/>
  <c r="U232" i="1"/>
  <c r="U250" i="11"/>
  <c r="S251" i="6"/>
  <c r="S262" i="17"/>
  <c r="U240" i="9"/>
  <c r="U246" i="11"/>
  <c r="U248" i="11"/>
  <c r="V84" i="30"/>
  <c r="V175" i="30" s="1"/>
  <c r="V140" i="6"/>
  <c r="U240" i="10"/>
  <c r="S252" i="17"/>
  <c r="V180" i="21"/>
  <c r="S235" i="7"/>
  <c r="S247" i="4"/>
  <c r="U234" i="2"/>
  <c r="S251" i="5"/>
  <c r="S214" i="5"/>
  <c r="S236" i="7"/>
  <c r="U247" i="10"/>
  <c r="U238" i="10"/>
  <c r="T267" i="1"/>
  <c r="S180" i="1"/>
  <c r="V36" i="1"/>
  <c r="T100" i="2"/>
  <c r="T132" i="2" s="1"/>
  <c r="U251" i="3"/>
  <c r="U248" i="3"/>
  <c r="U246" i="13"/>
  <c r="U253" i="13"/>
  <c r="U247" i="13"/>
  <c r="S251" i="16"/>
  <c r="S249" i="16"/>
  <c r="V139" i="18"/>
  <c r="V52" i="18"/>
  <c r="S264" i="19"/>
  <c r="S265" i="19"/>
  <c r="S259" i="19"/>
  <c r="S261" i="21"/>
  <c r="S260" i="21"/>
  <c r="S249" i="25"/>
  <c r="S247" i="25"/>
  <c r="V52" i="28"/>
  <c r="V140" i="28"/>
  <c r="S217" i="28"/>
  <c r="S278" i="28"/>
  <c r="S280" i="28" s="1"/>
  <c r="T100" i="34"/>
  <c r="U253" i="39"/>
  <c r="U249" i="39"/>
  <c r="T216" i="42"/>
  <c r="U266" i="42"/>
  <c r="U260" i="42"/>
  <c r="U264" i="42"/>
  <c r="U259" i="42"/>
  <c r="U263" i="42"/>
  <c r="T208" i="1"/>
  <c r="P72" i="1"/>
  <c r="U253" i="11"/>
  <c r="T215" i="11"/>
  <c r="S258" i="17"/>
  <c r="S259" i="17"/>
  <c r="T211" i="33"/>
  <c r="P71" i="33"/>
  <c r="V68" i="33"/>
  <c r="U277" i="38"/>
  <c r="T282" i="38"/>
  <c r="T123" i="10"/>
  <c r="V180" i="10"/>
  <c r="U255" i="24"/>
  <c r="S246" i="17"/>
  <c r="U238" i="9"/>
  <c r="U234" i="10"/>
  <c r="U235" i="1"/>
  <c r="S263" i="17"/>
  <c r="U235" i="9"/>
  <c r="S215" i="17"/>
  <c r="S236" i="28"/>
  <c r="S177" i="4"/>
  <c r="S181" i="4" s="1"/>
  <c r="U236" i="30"/>
  <c r="U238" i="30"/>
  <c r="S239" i="7"/>
  <c r="V181" i="14"/>
  <c r="V179" i="6"/>
  <c r="V188" i="21"/>
  <c r="S235" i="22"/>
  <c r="S247" i="17"/>
  <c r="S248" i="17"/>
  <c r="S238" i="22"/>
  <c r="V69" i="6"/>
  <c r="V72" i="6" s="1"/>
  <c r="V173" i="6" s="1"/>
  <c r="V69" i="10"/>
  <c r="V72" i="10" s="1"/>
  <c r="V173" i="10" s="1"/>
  <c r="S215" i="6"/>
  <c r="U248" i="10"/>
  <c r="U237" i="9"/>
  <c r="V179" i="1"/>
  <c r="S249" i="6"/>
  <c r="S261" i="17"/>
  <c r="U252" i="11"/>
  <c r="U255" i="22"/>
  <c r="S240" i="28"/>
  <c r="S253" i="6"/>
  <c r="S245" i="4"/>
  <c r="S250" i="4"/>
  <c r="U251" i="11"/>
  <c r="T268" i="2"/>
  <c r="S245" i="5"/>
  <c r="S246" i="4"/>
  <c r="U233" i="1"/>
  <c r="U252" i="10"/>
  <c r="V167" i="18"/>
  <c r="U253" i="10"/>
  <c r="V96" i="1"/>
  <c r="V99" i="1" s="1"/>
  <c r="R268" i="4"/>
  <c r="U236" i="12"/>
  <c r="U240" i="12"/>
  <c r="T215" i="12"/>
  <c r="U249" i="12"/>
  <c r="U255" i="12" s="1"/>
  <c r="V96" i="18"/>
  <c r="V100" i="18" s="1"/>
  <c r="V118" i="18" s="1"/>
  <c r="V131" i="18" s="1"/>
  <c r="V132" i="18" s="1"/>
  <c r="S262" i="22"/>
  <c r="S261" i="22"/>
  <c r="S258" i="22"/>
  <c r="S260" i="22"/>
  <c r="V71" i="22"/>
  <c r="V84" i="22" s="1"/>
  <c r="V174" i="22" s="1"/>
  <c r="R71" i="23"/>
  <c r="V68" i="23"/>
  <c r="V71" i="23" s="1"/>
  <c r="V173" i="23" s="1"/>
  <c r="T215" i="26"/>
  <c r="T281" i="26"/>
  <c r="V166" i="33"/>
  <c r="U261" i="33"/>
  <c r="U266" i="33"/>
  <c r="T216" i="33"/>
  <c r="U259" i="33"/>
  <c r="U265" i="33"/>
  <c r="U254" i="35"/>
  <c r="U252" i="35"/>
  <c r="U247" i="35"/>
  <c r="U253" i="35"/>
  <c r="U251" i="35"/>
  <c r="T100" i="36"/>
  <c r="T211" i="37"/>
  <c r="U250" i="37"/>
  <c r="U254" i="37"/>
  <c r="U249" i="37"/>
  <c r="V35" i="38"/>
  <c r="V43" i="38" s="1"/>
  <c r="T203" i="38" s="1"/>
  <c r="T204" i="38" s="1"/>
  <c r="U278" i="38"/>
  <c r="S249" i="40"/>
  <c r="T100" i="40"/>
  <c r="U265" i="44"/>
  <c r="U266" i="44"/>
  <c r="T216" i="44"/>
  <c r="U261" i="44"/>
  <c r="U264" i="44"/>
  <c r="U263" i="44"/>
  <c r="T101" i="16"/>
  <c r="U278" i="29"/>
  <c r="U280" i="29" s="1"/>
  <c r="T217" i="29"/>
  <c r="V35" i="31"/>
  <c r="V43" i="31" s="1"/>
  <c r="T203" i="31" s="1"/>
  <c r="T204" i="31" s="1"/>
  <c r="U250" i="33"/>
  <c r="U251" i="33"/>
  <c r="U252" i="33"/>
  <c r="S277" i="35"/>
  <c r="S278" i="35"/>
  <c r="U264" i="36"/>
  <c r="U265" i="36"/>
  <c r="U265" i="41"/>
  <c r="U263" i="41"/>
  <c r="T282" i="44"/>
  <c r="S179" i="44"/>
  <c r="V52" i="44"/>
  <c r="S179" i="45"/>
  <c r="V52" i="45"/>
  <c r="S253" i="45"/>
  <c r="S247" i="45"/>
  <c r="S256" i="45" s="1"/>
  <c r="S251" i="45"/>
  <c r="T211" i="45"/>
  <c r="P71" i="45"/>
  <c r="U253" i="46"/>
  <c r="U254" i="46"/>
  <c r="U249" i="46"/>
  <c r="U252" i="46"/>
  <c r="U248" i="46"/>
  <c r="U249" i="48"/>
  <c r="U253" i="48"/>
  <c r="U250" i="48"/>
  <c r="U254" i="48"/>
  <c r="R71" i="48"/>
  <c r="V68" i="48"/>
  <c r="V71" i="48" s="1"/>
  <c r="S253" i="42"/>
  <c r="S250" i="42"/>
  <c r="V51" i="43"/>
  <c r="S266" i="44"/>
  <c r="S263" i="44"/>
  <c r="S261" i="44"/>
  <c r="S264" i="44"/>
  <c r="S252" i="49"/>
  <c r="S249" i="49"/>
  <c r="S253" i="49"/>
  <c r="S250" i="49"/>
  <c r="V181" i="33"/>
  <c r="T123" i="33"/>
  <c r="T132" i="33" s="1"/>
  <c r="T101" i="10"/>
  <c r="T132" i="15"/>
  <c r="T100" i="21"/>
  <c r="V190" i="22"/>
  <c r="V36" i="23"/>
  <c r="V96" i="25"/>
  <c r="V100" i="25" s="1"/>
  <c r="T204" i="25" s="1"/>
  <c r="V96" i="31"/>
  <c r="V100" i="31" s="1"/>
  <c r="V168" i="34"/>
  <c r="R244" i="34"/>
  <c r="S239" i="34" s="1"/>
  <c r="T100" i="35"/>
  <c r="T244" i="36"/>
  <c r="V96" i="36"/>
  <c r="V100" i="36" s="1"/>
  <c r="T205" i="36" s="1"/>
  <c r="V191" i="40"/>
  <c r="V35" i="42"/>
  <c r="V43" i="42" s="1"/>
  <c r="T203" i="42" s="1"/>
  <c r="T204" i="42" s="1"/>
  <c r="R244" i="44"/>
  <c r="T132" i="47"/>
  <c r="T133" i="47" s="1"/>
  <c r="T244" i="48"/>
  <c r="U242" i="48" s="1"/>
  <c r="V35" i="2"/>
  <c r="V43" i="2" s="1"/>
  <c r="T201" i="2" s="1"/>
  <c r="T202" i="2" s="1"/>
  <c r="V51" i="2"/>
  <c r="T268" i="3"/>
  <c r="V167" i="3"/>
  <c r="T131" i="3"/>
  <c r="V185" i="3"/>
  <c r="V51" i="3"/>
  <c r="V187" i="4"/>
  <c r="T100" i="5"/>
  <c r="V97" i="6"/>
  <c r="V101" i="6" s="1"/>
  <c r="V168" i="7"/>
  <c r="V69" i="7"/>
  <c r="V72" i="7" s="1"/>
  <c r="V85" i="7" s="1"/>
  <c r="V174" i="7" s="1"/>
  <c r="V51" i="9"/>
  <c r="V97" i="10"/>
  <c r="V101" i="10" s="1"/>
  <c r="V168" i="11"/>
  <c r="V72" i="11"/>
  <c r="V97" i="11"/>
  <c r="V101" i="11" s="1"/>
  <c r="V190" i="11" s="1"/>
  <c r="V188" i="19"/>
  <c r="T100" i="20"/>
  <c r="T132" i="20" s="1"/>
  <c r="T100" i="26"/>
  <c r="T132" i="26" s="1"/>
  <c r="R244" i="29"/>
  <c r="S240" i="29" s="1"/>
  <c r="U236" i="33"/>
  <c r="T244" i="34"/>
  <c r="U236" i="34" s="1"/>
  <c r="V35" i="35"/>
  <c r="V43" i="35" s="1"/>
  <c r="T203" i="35" s="1"/>
  <c r="T204" i="35" s="1"/>
  <c r="V36" i="35"/>
  <c r="R244" i="37"/>
  <c r="S241" i="37" s="1"/>
  <c r="V96" i="37"/>
  <c r="V100" i="37" s="1"/>
  <c r="V187" i="37" s="1"/>
  <c r="T244" i="40"/>
  <c r="U241" i="40" s="1"/>
  <c r="S259" i="40"/>
  <c r="T100" i="42"/>
  <c r="V168" i="44"/>
  <c r="T100" i="50"/>
  <c r="V186" i="12"/>
  <c r="V188" i="12"/>
  <c r="V190" i="12"/>
  <c r="S239" i="23"/>
  <c r="U242" i="31"/>
  <c r="U235" i="24"/>
  <c r="U239" i="24"/>
  <c r="U237" i="24"/>
  <c r="U240" i="24"/>
  <c r="U236" i="24"/>
  <c r="U238" i="24"/>
  <c r="U251" i="6"/>
  <c r="U247" i="5"/>
  <c r="U254" i="34"/>
  <c r="U249" i="34"/>
  <c r="U253" i="34"/>
  <c r="U250" i="34"/>
  <c r="U247" i="34"/>
  <c r="U251" i="34"/>
  <c r="U248" i="34"/>
  <c r="U252" i="34"/>
  <c r="T220" i="10"/>
  <c r="V166" i="10"/>
  <c r="V168" i="10" s="1"/>
  <c r="T123" i="50"/>
  <c r="V181" i="50"/>
  <c r="V85" i="6"/>
  <c r="V174" i="6" s="1"/>
  <c r="V84" i="26"/>
  <c r="V174" i="26" s="1"/>
  <c r="T204" i="23"/>
  <c r="V118" i="23"/>
  <c r="V131" i="23" s="1"/>
  <c r="V132" i="23" s="1"/>
  <c r="V188" i="23"/>
  <c r="S240" i="27"/>
  <c r="S242" i="27"/>
  <c r="S237" i="27"/>
  <c r="S238" i="27"/>
  <c r="S242" i="4"/>
  <c r="S256" i="15"/>
  <c r="U255" i="25"/>
  <c r="U240" i="31"/>
  <c r="U236" i="31"/>
  <c r="U239" i="31"/>
  <c r="U238" i="31"/>
  <c r="S234" i="23"/>
  <c r="S241" i="23"/>
  <c r="S236" i="23"/>
  <c r="S237" i="23"/>
  <c r="S235" i="23"/>
  <c r="S240" i="23"/>
  <c r="V186" i="26"/>
  <c r="T204" i="26"/>
  <c r="V190" i="26"/>
  <c r="S255" i="21"/>
  <c r="S248" i="1"/>
  <c r="S213" i="1"/>
  <c r="U246" i="2"/>
  <c r="U250" i="2"/>
  <c r="U248" i="2"/>
  <c r="U251" i="2"/>
  <c r="T214" i="2"/>
  <c r="S177" i="3"/>
  <c r="S181" i="3" s="1"/>
  <c r="V52" i="3"/>
  <c r="V36" i="3"/>
  <c r="V118" i="4"/>
  <c r="V131" i="4" s="1"/>
  <c r="V132" i="4" s="1"/>
  <c r="T214" i="5"/>
  <c r="U246" i="5"/>
  <c r="T268" i="5"/>
  <c r="U250" i="5"/>
  <c r="U248" i="5"/>
  <c r="U251" i="5"/>
  <c r="U252" i="5"/>
  <c r="V36" i="5"/>
  <c r="R72" i="5"/>
  <c r="V69" i="5"/>
  <c r="V72" i="5" s="1"/>
  <c r="V118" i="5"/>
  <c r="V131" i="5" s="1"/>
  <c r="V132" i="5" s="1"/>
  <c r="V185" i="5"/>
  <c r="U252" i="6"/>
  <c r="U248" i="6"/>
  <c r="U250" i="6"/>
  <c r="T269" i="6"/>
  <c r="U247" i="6"/>
  <c r="U249" i="6"/>
  <c r="U253" i="6"/>
  <c r="U237" i="7"/>
  <c r="U236" i="7"/>
  <c r="U241" i="7"/>
  <c r="U238" i="7"/>
  <c r="U240" i="7"/>
  <c r="U239" i="7"/>
  <c r="P72" i="7"/>
  <c r="T210" i="7"/>
  <c r="S215" i="9"/>
  <c r="S246" i="9"/>
  <c r="S251" i="9"/>
  <c r="S253" i="9"/>
  <c r="S248" i="9"/>
  <c r="S250" i="9"/>
  <c r="S249" i="9"/>
  <c r="V36" i="9"/>
  <c r="R72" i="9"/>
  <c r="V69" i="9"/>
  <c r="V72" i="9" s="1"/>
  <c r="S216" i="9"/>
  <c r="R269" i="9"/>
  <c r="T204" i="10"/>
  <c r="V186" i="10"/>
  <c r="S216" i="11"/>
  <c r="R269" i="11"/>
  <c r="T269" i="12"/>
  <c r="T216" i="12"/>
  <c r="T216" i="13"/>
  <c r="T269" i="13"/>
  <c r="S260" i="25"/>
  <c r="S258" i="25"/>
  <c r="S263" i="25"/>
  <c r="S261" i="25"/>
  <c r="S264" i="25"/>
  <c r="S215" i="25"/>
  <c r="S259" i="25"/>
  <c r="S262" i="25"/>
  <c r="R281" i="25"/>
  <c r="S265" i="25"/>
  <c r="R243" i="26"/>
  <c r="S237" i="26" s="1"/>
  <c r="S259" i="26"/>
  <c r="S263" i="26"/>
  <c r="S262" i="26"/>
  <c r="S260" i="26"/>
  <c r="S264" i="26"/>
  <c r="R281" i="26"/>
  <c r="S248" i="29"/>
  <c r="S252" i="29"/>
  <c r="S249" i="29"/>
  <c r="S254" i="29"/>
  <c r="S250" i="29"/>
  <c r="S251" i="29"/>
  <c r="S242" i="32"/>
  <c r="S241" i="32"/>
  <c r="S247" i="33"/>
  <c r="S250" i="33"/>
  <c r="T217" i="33"/>
  <c r="T282" i="33"/>
  <c r="S268" i="28"/>
  <c r="U242" i="4"/>
  <c r="R72" i="1"/>
  <c r="V69" i="1"/>
  <c r="V72" i="1" s="1"/>
  <c r="V171" i="1" s="1"/>
  <c r="U262" i="24"/>
  <c r="U261" i="24"/>
  <c r="U262" i="28"/>
  <c r="U266" i="28"/>
  <c r="U247" i="30"/>
  <c r="U248" i="30"/>
  <c r="V51" i="31"/>
  <c r="S216" i="41"/>
  <c r="R282" i="41"/>
  <c r="S266" i="41"/>
  <c r="S264" i="41"/>
  <c r="S262" i="41"/>
  <c r="S260" i="41"/>
  <c r="S265" i="41"/>
  <c r="S261" i="41"/>
  <c r="S259" i="41"/>
  <c r="S249" i="46"/>
  <c r="S251" i="46"/>
  <c r="S253" i="46"/>
  <c r="S247" i="46"/>
  <c r="S238" i="47"/>
  <c r="S240" i="47"/>
  <c r="S237" i="47"/>
  <c r="S239" i="47"/>
  <c r="V166" i="42"/>
  <c r="V168" i="42" s="1"/>
  <c r="T221" i="42"/>
  <c r="T221" i="38"/>
  <c r="V166" i="38"/>
  <c r="V168" i="38" s="1"/>
  <c r="T221" i="16"/>
  <c r="V166" i="16"/>
  <c r="V168" i="16" s="1"/>
  <c r="V119" i="15"/>
  <c r="V132" i="15" s="1"/>
  <c r="V133" i="15" s="1"/>
  <c r="S268" i="29"/>
  <c r="U267" i="26"/>
  <c r="S238" i="30"/>
  <c r="S242" i="30"/>
  <c r="U259" i="24"/>
  <c r="U260" i="24"/>
  <c r="U241" i="23"/>
  <c r="U237" i="23"/>
  <c r="T210" i="25"/>
  <c r="U240" i="29"/>
  <c r="U239" i="29"/>
  <c r="U237" i="29"/>
  <c r="V189" i="29"/>
  <c r="V119" i="29"/>
  <c r="V132" i="29" s="1"/>
  <c r="V133" i="29" s="1"/>
  <c r="T282" i="28"/>
  <c r="U263" i="28"/>
  <c r="T132" i="22"/>
  <c r="S243" i="10"/>
  <c r="U238" i="1"/>
  <c r="U236" i="1"/>
  <c r="U233" i="2"/>
  <c r="U239" i="2"/>
  <c r="U236" i="2"/>
  <c r="V69" i="2"/>
  <c r="V72" i="2" s="1"/>
  <c r="R72" i="2"/>
  <c r="S248" i="3"/>
  <c r="S251" i="3"/>
  <c r="S245" i="3"/>
  <c r="T203" i="3"/>
  <c r="V189" i="3"/>
  <c r="V51" i="4"/>
  <c r="U236" i="14"/>
  <c r="U239" i="14"/>
  <c r="U242" i="14"/>
  <c r="U240" i="14"/>
  <c r="T216" i="15"/>
  <c r="U251" i="15"/>
  <c r="U247" i="15"/>
  <c r="U253" i="15"/>
  <c r="U249" i="15"/>
  <c r="U248" i="15"/>
  <c r="S216" i="16"/>
  <c r="S252" i="16"/>
  <c r="S253" i="16"/>
  <c r="T133" i="16"/>
  <c r="S253" i="19"/>
  <c r="S252" i="19"/>
  <c r="S248" i="19"/>
  <c r="S215" i="19"/>
  <c r="S260" i="19"/>
  <c r="V36" i="19"/>
  <c r="T100" i="19"/>
  <c r="T132" i="19" s="1"/>
  <c r="N84" i="20"/>
  <c r="T204" i="20"/>
  <c r="S215" i="21"/>
  <c r="S263" i="21"/>
  <c r="S262" i="21"/>
  <c r="U253" i="23"/>
  <c r="U250" i="23"/>
  <c r="U251" i="23"/>
  <c r="S236" i="24"/>
  <c r="S238" i="24"/>
  <c r="S240" i="24"/>
  <c r="S246" i="24"/>
  <c r="S248" i="24"/>
  <c r="S238" i="25"/>
  <c r="S246" i="25"/>
  <c r="S251" i="25"/>
  <c r="S263" i="41"/>
  <c r="U256" i="28"/>
  <c r="T205" i="15"/>
  <c r="U238" i="28"/>
  <c r="U242" i="28"/>
  <c r="S234" i="24"/>
  <c r="U264" i="24"/>
  <c r="U268" i="29"/>
  <c r="S255" i="26"/>
  <c r="T281" i="24"/>
  <c r="U267" i="20"/>
  <c r="V52" i="12"/>
  <c r="V140" i="12"/>
  <c r="S178" i="12"/>
  <c r="S248" i="14"/>
  <c r="S251" i="14"/>
  <c r="S253" i="14"/>
  <c r="S254" i="14"/>
  <c r="T205" i="14"/>
  <c r="S241" i="15"/>
  <c r="S237" i="15"/>
  <c r="S216" i="17"/>
  <c r="R281" i="17"/>
  <c r="V36" i="17"/>
  <c r="R243" i="18"/>
  <c r="S240" i="18" s="1"/>
  <c r="V35" i="21"/>
  <c r="V43" i="21" s="1"/>
  <c r="T202" i="21" s="1"/>
  <c r="T203" i="21" s="1"/>
  <c r="S253" i="22"/>
  <c r="S248" i="22"/>
  <c r="R281" i="22"/>
  <c r="T243" i="22"/>
  <c r="U236" i="22" s="1"/>
  <c r="V36" i="22"/>
  <c r="U248" i="32"/>
  <c r="U251" i="32"/>
  <c r="U266" i="40"/>
  <c r="U264" i="40"/>
  <c r="U262" i="40"/>
  <c r="U260" i="40"/>
  <c r="T216" i="40"/>
  <c r="U265" i="40"/>
  <c r="U261" i="40"/>
  <c r="U263" i="40"/>
  <c r="T211" i="40"/>
  <c r="P71" i="40"/>
  <c r="T101" i="7"/>
  <c r="T133" i="7" s="1"/>
  <c r="U253" i="17"/>
  <c r="U247" i="17"/>
  <c r="U246" i="17"/>
  <c r="U250" i="17"/>
  <c r="V84" i="18"/>
  <c r="V174" i="18" s="1"/>
  <c r="V51" i="18"/>
  <c r="V35" i="18"/>
  <c r="V43" i="18" s="1"/>
  <c r="T202" i="18" s="1"/>
  <c r="T203" i="18" s="1"/>
  <c r="T100" i="18"/>
  <c r="T132" i="18" s="1"/>
  <c r="U239" i="20"/>
  <c r="U235" i="20"/>
  <c r="V35" i="20"/>
  <c r="V43" i="20" s="1"/>
  <c r="T202" i="20" s="1"/>
  <c r="T203" i="20" s="1"/>
  <c r="V186" i="20"/>
  <c r="V51" i="20"/>
  <c r="U266" i="32"/>
  <c r="U263" i="32"/>
  <c r="U265" i="32"/>
  <c r="U264" i="32"/>
  <c r="U261" i="32"/>
  <c r="T216" i="32"/>
  <c r="U259" i="32"/>
  <c r="U260" i="32"/>
  <c r="S239" i="33"/>
  <c r="U252" i="36"/>
  <c r="U254" i="36"/>
  <c r="U277" i="36"/>
  <c r="U278" i="36"/>
  <c r="T217" i="36"/>
  <c r="S237" i="41"/>
  <c r="S239" i="41"/>
  <c r="S241" i="41"/>
  <c r="U254" i="45"/>
  <c r="U252" i="45"/>
  <c r="U250" i="45"/>
  <c r="U248" i="45"/>
  <c r="U253" i="45"/>
  <c r="U249" i="45"/>
  <c r="V36" i="46"/>
  <c r="S265" i="48"/>
  <c r="S266" i="48"/>
  <c r="S216" i="48"/>
  <c r="S263" i="48"/>
  <c r="R282" i="48"/>
  <c r="S262" i="48"/>
  <c r="S259" i="48"/>
  <c r="S266" i="49"/>
  <c r="S261" i="49"/>
  <c r="S263" i="49"/>
  <c r="S265" i="49"/>
  <c r="V181" i="41"/>
  <c r="T123" i="41"/>
  <c r="V181" i="36"/>
  <c r="T123" i="36"/>
  <c r="T132" i="36" s="1"/>
  <c r="V181" i="32"/>
  <c r="T123" i="32"/>
  <c r="S255" i="23"/>
  <c r="V168" i="29"/>
  <c r="V71" i="29"/>
  <c r="V174" i="29" s="1"/>
  <c r="U255" i="18"/>
  <c r="U235" i="5"/>
  <c r="V51" i="12"/>
  <c r="U234" i="13"/>
  <c r="U240" i="13"/>
  <c r="U236" i="13"/>
  <c r="V51" i="17"/>
  <c r="T243" i="17"/>
  <c r="U240" i="17" s="1"/>
  <c r="U277" i="25"/>
  <c r="U279" i="25" s="1"/>
  <c r="T216" i="25"/>
  <c r="V35" i="26"/>
  <c r="V43" i="26" s="1"/>
  <c r="T202" i="26" s="1"/>
  <c r="T203" i="26" s="1"/>
  <c r="V68" i="32"/>
  <c r="V71" i="32" s="1"/>
  <c r="V174" i="32" s="1"/>
  <c r="T132" i="32"/>
  <c r="S239" i="32"/>
  <c r="U266" i="35"/>
  <c r="U263" i="35"/>
  <c r="U261" i="35"/>
  <c r="U260" i="35"/>
  <c r="U265" i="35"/>
  <c r="U264" i="35"/>
  <c r="U259" i="35"/>
  <c r="V51" i="41"/>
  <c r="U251" i="45"/>
  <c r="T220" i="2"/>
  <c r="T100" i="4"/>
  <c r="T132" i="4" s="1"/>
  <c r="V51" i="6"/>
  <c r="T101" i="6"/>
  <c r="T133" i="6" s="1"/>
  <c r="R269" i="7"/>
  <c r="V97" i="7"/>
  <c r="V101" i="7" s="1"/>
  <c r="V35" i="3"/>
  <c r="V43" i="3" s="1"/>
  <c r="T201" i="3" s="1"/>
  <c r="T202" i="3" s="1"/>
  <c r="V35" i="4"/>
  <c r="V43" i="4" s="1"/>
  <c r="T201" i="4" s="1"/>
  <c r="T202" i="4" s="1"/>
  <c r="V35" i="6"/>
  <c r="V43" i="6" s="1"/>
  <c r="T202" i="6" s="1"/>
  <c r="T203" i="6" s="1"/>
  <c r="V51" i="7"/>
  <c r="V168" i="12"/>
  <c r="T101" i="12"/>
  <c r="T133" i="12" s="1"/>
  <c r="T132" i="14"/>
  <c r="T133" i="14" s="1"/>
  <c r="R270" i="15"/>
  <c r="V51" i="15"/>
  <c r="V35" i="28"/>
  <c r="V43" i="28" s="1"/>
  <c r="T203" i="28" s="1"/>
  <c r="T204" i="28" s="1"/>
  <c r="V36" i="28"/>
  <c r="T100" i="33"/>
  <c r="S179" i="36"/>
  <c r="V52" i="36"/>
  <c r="V168" i="39"/>
  <c r="S216" i="40"/>
  <c r="S261" i="40"/>
  <c r="T216" i="41"/>
  <c r="U266" i="41"/>
  <c r="U264" i="41"/>
  <c r="U262" i="41"/>
  <c r="U260" i="41"/>
  <c r="P71" i="41"/>
  <c r="T211" i="41"/>
  <c r="U252" i="43"/>
  <c r="U247" i="43"/>
  <c r="V35" i="46"/>
  <c r="V43" i="46" s="1"/>
  <c r="T203" i="46" s="1"/>
  <c r="T204" i="46" s="1"/>
  <c r="U260" i="47"/>
  <c r="U264" i="47"/>
  <c r="U261" i="47"/>
  <c r="U265" i="47"/>
  <c r="S179" i="48"/>
  <c r="V140" i="48"/>
  <c r="V189" i="48"/>
  <c r="U266" i="49"/>
  <c r="U263" i="49"/>
  <c r="T216" i="49"/>
  <c r="U265" i="49"/>
  <c r="U260" i="49"/>
  <c r="T211" i="49"/>
  <c r="V68" i="49"/>
  <c r="P71" i="49"/>
  <c r="T123" i="46"/>
  <c r="V181" i="46"/>
  <c r="V168" i="27"/>
  <c r="S217" i="29"/>
  <c r="U262" i="30"/>
  <c r="U268" i="30" s="1"/>
  <c r="S266" i="32"/>
  <c r="S216" i="32"/>
  <c r="U263" i="33"/>
  <c r="U260" i="33"/>
  <c r="U264" i="33"/>
  <c r="V96" i="33"/>
  <c r="V100" i="33" s="1"/>
  <c r="T205" i="33" s="1"/>
  <c r="S262" i="34"/>
  <c r="S261" i="34"/>
  <c r="S238" i="35"/>
  <c r="V119" i="36"/>
  <c r="V132" i="36" s="1"/>
  <c r="V133" i="36" s="1"/>
  <c r="U278" i="37"/>
  <c r="T217" i="37"/>
  <c r="U277" i="37"/>
  <c r="T100" i="38"/>
  <c r="V140" i="39"/>
  <c r="T132" i="42"/>
  <c r="T132" i="43"/>
  <c r="S239" i="44"/>
  <c r="T132" i="45"/>
  <c r="V96" i="45"/>
  <c r="V100" i="45" s="1"/>
  <c r="S263" i="46"/>
  <c r="S260" i="46"/>
  <c r="U262" i="47"/>
  <c r="V140" i="47"/>
  <c r="T100" i="49"/>
  <c r="U264" i="49"/>
  <c r="T132" i="50"/>
  <c r="U242" i="51"/>
  <c r="U237" i="51"/>
  <c r="U236" i="51"/>
  <c r="V167" i="5"/>
  <c r="V97" i="9"/>
  <c r="V101" i="9" s="1"/>
  <c r="V188" i="9" s="1"/>
  <c r="V51" i="10"/>
  <c r="V51" i="13"/>
  <c r="V69" i="13"/>
  <c r="V72" i="13" s="1"/>
  <c r="V97" i="13"/>
  <c r="V101" i="13" s="1"/>
  <c r="V51" i="16"/>
  <c r="V97" i="16"/>
  <c r="V101" i="16" s="1"/>
  <c r="V189" i="16" s="1"/>
  <c r="V84" i="24"/>
  <c r="V174" i="24" s="1"/>
  <c r="T100" i="24"/>
  <c r="T132" i="24" s="1"/>
  <c r="S263" i="30"/>
  <c r="S260" i="34"/>
  <c r="S216" i="34"/>
  <c r="T132" i="35"/>
  <c r="V96" i="35"/>
  <c r="V100" i="35" s="1"/>
  <c r="V191" i="35" s="1"/>
  <c r="V140" i="36"/>
  <c r="R244" i="36"/>
  <c r="S235" i="36" s="1"/>
  <c r="S247" i="38"/>
  <c r="S252" i="38"/>
  <c r="U254" i="39"/>
  <c r="U247" i="39"/>
  <c r="U251" i="39"/>
  <c r="U248" i="39"/>
  <c r="U252" i="39"/>
  <c r="S266" i="40"/>
  <c r="S264" i="40"/>
  <c r="S262" i="40"/>
  <c r="S260" i="40"/>
  <c r="S254" i="45"/>
  <c r="S252" i="45"/>
  <c r="S250" i="45"/>
  <c r="S248" i="45"/>
  <c r="S238" i="46"/>
  <c r="T211" i="46"/>
  <c r="V68" i="46"/>
  <c r="V71" i="46" s="1"/>
  <c r="V84" i="46" s="1"/>
  <c r="V175" i="46" s="1"/>
  <c r="V51" i="46"/>
  <c r="U259" i="47"/>
  <c r="T216" i="47"/>
  <c r="T244" i="49"/>
  <c r="U236" i="49" s="1"/>
  <c r="U259" i="49"/>
  <c r="T220" i="3"/>
  <c r="V36" i="36"/>
  <c r="T132" i="39"/>
  <c r="R282" i="40"/>
  <c r="V68" i="40"/>
  <c r="V71" i="40" s="1"/>
  <c r="V84" i="40" s="1"/>
  <c r="V175" i="40" s="1"/>
  <c r="S259" i="45"/>
  <c r="V35" i="47"/>
  <c r="V43" i="47" s="1"/>
  <c r="T203" i="47" s="1"/>
  <c r="T204" i="47" s="1"/>
  <c r="V36" i="47"/>
  <c r="S254" i="49"/>
  <c r="U268" i="51"/>
  <c r="S256" i="51"/>
  <c r="T244" i="35"/>
  <c r="U236" i="35" s="1"/>
  <c r="T244" i="37"/>
  <c r="V189" i="40"/>
  <c r="T100" i="41"/>
  <c r="V189" i="41"/>
  <c r="R244" i="42"/>
  <c r="S237" i="42" s="1"/>
  <c r="U261" i="42"/>
  <c r="U265" i="42"/>
  <c r="V96" i="47"/>
  <c r="V100" i="47" s="1"/>
  <c r="T205" i="47" s="1"/>
  <c r="T132" i="48"/>
  <c r="T133" i="48" s="1"/>
  <c r="T282" i="48"/>
  <c r="R244" i="49"/>
  <c r="S235" i="49" s="1"/>
  <c r="V43" i="1"/>
  <c r="T220" i="4"/>
  <c r="T220" i="5" s="1"/>
  <c r="T221" i="6" s="1"/>
  <c r="T221" i="7" s="1"/>
  <c r="T221" i="9" s="1"/>
  <c r="T221" i="10" s="1"/>
  <c r="T221" i="11" s="1"/>
  <c r="T221" i="12" s="1"/>
  <c r="T221" i="13" s="1"/>
  <c r="T222" i="14" s="1"/>
  <c r="T222" i="15" s="1"/>
  <c r="T222" i="16" s="1"/>
  <c r="T221" i="17" s="1"/>
  <c r="T221" i="18" s="1"/>
  <c r="T221" i="19" s="1"/>
  <c r="T221" i="20" s="1"/>
  <c r="T221" i="21" s="1"/>
  <c r="T221" i="22" s="1"/>
  <c r="T221" i="23" s="1"/>
  <c r="T221" i="24" s="1"/>
  <c r="T221" i="25" s="1"/>
  <c r="T221" i="26" s="1"/>
  <c r="T222" i="27" s="1"/>
  <c r="T222" i="28" s="1"/>
  <c r="T222" i="29" s="1"/>
  <c r="T222" i="30" s="1"/>
  <c r="T222" i="31" s="1"/>
  <c r="T222" i="32" s="1"/>
  <c r="T222" i="33" s="1"/>
  <c r="T222" i="34" s="1"/>
  <c r="T222" i="35" s="1"/>
  <c r="T222" i="36" s="1"/>
  <c r="T222" i="37" s="1"/>
  <c r="V96" i="50"/>
  <c r="V100" i="50" s="1"/>
  <c r="V191" i="50" s="1"/>
  <c r="U256" i="51"/>
  <c r="V174" i="31"/>
  <c r="V84" i="31"/>
  <c r="V175" i="31" s="1"/>
  <c r="V174" i="15"/>
  <c r="V85" i="15"/>
  <c r="V175" i="15" s="1"/>
  <c r="S236" i="29"/>
  <c r="S241" i="29"/>
  <c r="U238" i="25"/>
  <c r="U237" i="25"/>
  <c r="U239" i="25"/>
  <c r="U241" i="25"/>
  <c r="U234" i="25"/>
  <c r="U240" i="25"/>
  <c r="U236" i="25"/>
  <c r="U235" i="25"/>
  <c r="V173" i="17"/>
  <c r="U236" i="20"/>
  <c r="U240" i="20"/>
  <c r="U237" i="20"/>
  <c r="U234" i="20"/>
  <c r="P72" i="4"/>
  <c r="T209" i="4"/>
  <c r="V35" i="5"/>
  <c r="V43" i="5" s="1"/>
  <c r="T201" i="5" s="1"/>
  <c r="T202" i="5" s="1"/>
  <c r="V36" i="18"/>
  <c r="T243" i="19"/>
  <c r="U239" i="19" s="1"/>
  <c r="R243" i="19"/>
  <c r="S237" i="19" s="1"/>
  <c r="S216" i="21"/>
  <c r="R281" i="21"/>
  <c r="T132" i="21"/>
  <c r="V188" i="10"/>
  <c r="V190" i="7"/>
  <c r="V69" i="4"/>
  <c r="V72" i="4" s="1"/>
  <c r="V190" i="20"/>
  <c r="S242" i="29"/>
  <c r="T204" i="19"/>
  <c r="S235" i="27"/>
  <c r="S239" i="27"/>
  <c r="S268" i="27"/>
  <c r="R281" i="19"/>
  <c r="T209" i="3"/>
  <c r="V69" i="3"/>
  <c r="V72" i="3" s="1"/>
  <c r="V36" i="4"/>
  <c r="V139" i="5"/>
  <c r="S177" i="5"/>
  <c r="S181" i="5" s="1"/>
  <c r="U238" i="6"/>
  <c r="U241" i="6"/>
  <c r="U235" i="6"/>
  <c r="U234" i="6"/>
  <c r="U239" i="6"/>
  <c r="U236" i="6"/>
  <c r="S178" i="7"/>
  <c r="V52" i="7"/>
  <c r="S215" i="10"/>
  <c r="S249" i="10"/>
  <c r="R269" i="10"/>
  <c r="S253" i="10"/>
  <c r="S247" i="10"/>
  <c r="S248" i="10"/>
  <c r="S252" i="10"/>
  <c r="S246" i="10"/>
  <c r="T132" i="11"/>
  <c r="T133" i="11" s="1"/>
  <c r="V52" i="11"/>
  <c r="S178" i="11"/>
  <c r="V35" i="11"/>
  <c r="V43" i="11" s="1"/>
  <c r="T202" i="11" s="1"/>
  <c r="T203" i="11" s="1"/>
  <c r="V36" i="11"/>
  <c r="V36" i="14"/>
  <c r="V35" i="14"/>
  <c r="V43" i="14" s="1"/>
  <c r="T203" i="14" s="1"/>
  <c r="T204" i="14" s="1"/>
  <c r="U235" i="15"/>
  <c r="U238" i="15"/>
  <c r="U236" i="15"/>
  <c r="U242" i="15"/>
  <c r="V36" i="15"/>
  <c r="V35" i="15"/>
  <c r="V43" i="15" s="1"/>
  <c r="T203" i="15" s="1"/>
  <c r="T204" i="15" s="1"/>
  <c r="U264" i="18"/>
  <c r="U265" i="18"/>
  <c r="U258" i="18"/>
  <c r="T215" i="18"/>
  <c r="U259" i="18"/>
  <c r="U260" i="18"/>
  <c r="U261" i="18"/>
  <c r="T281" i="18"/>
  <c r="V51" i="28"/>
  <c r="S235" i="18"/>
  <c r="S239" i="18"/>
  <c r="S237" i="18"/>
  <c r="V36" i="6"/>
  <c r="V36" i="7"/>
  <c r="S236" i="12"/>
  <c r="S239" i="12"/>
  <c r="S240" i="12"/>
  <c r="S248" i="12"/>
  <c r="S246" i="12"/>
  <c r="S253" i="12"/>
  <c r="S250" i="12"/>
  <c r="S249" i="12"/>
  <c r="R269" i="12"/>
  <c r="S215" i="12"/>
  <c r="S252" i="12"/>
  <c r="T210" i="12"/>
  <c r="V69" i="12"/>
  <c r="V72" i="12" s="1"/>
  <c r="S238" i="16"/>
  <c r="S240" i="16"/>
  <c r="S235" i="16"/>
  <c r="S242" i="16"/>
  <c r="R270" i="16"/>
  <c r="S237" i="16"/>
  <c r="S241" i="16"/>
  <c r="U246" i="20"/>
  <c r="U248" i="20"/>
  <c r="U250" i="20"/>
  <c r="T281" i="20"/>
  <c r="U252" i="20"/>
  <c r="U253" i="20"/>
  <c r="U247" i="20"/>
  <c r="R243" i="20"/>
  <c r="S235" i="20" s="1"/>
  <c r="V36" i="20"/>
  <c r="U249" i="21"/>
  <c r="U252" i="21"/>
  <c r="U246" i="21"/>
  <c r="U250" i="21"/>
  <c r="T281" i="21"/>
  <c r="U251" i="21"/>
  <c r="T243" i="21"/>
  <c r="U241" i="43"/>
  <c r="U235" i="43"/>
  <c r="U237" i="43"/>
  <c r="U237" i="22"/>
  <c r="U235" i="22"/>
  <c r="V119" i="12"/>
  <c r="V132" i="12" s="1"/>
  <c r="V133" i="12" s="1"/>
  <c r="V190" i="10"/>
  <c r="V190" i="19"/>
  <c r="U249" i="20"/>
  <c r="S236" i="18"/>
  <c r="T132" i="23"/>
  <c r="S234" i="22"/>
  <c r="S236" i="22"/>
  <c r="R243" i="21"/>
  <c r="S235" i="21" s="1"/>
  <c r="V84" i="23"/>
  <c r="V174" i="23" s="1"/>
  <c r="U251" i="20"/>
  <c r="S239" i="16"/>
  <c r="U248" i="21"/>
  <c r="V173" i="19"/>
  <c r="V84" i="19"/>
  <c r="V174" i="19" s="1"/>
  <c r="S241" i="12"/>
  <c r="S251" i="2"/>
  <c r="R268" i="2"/>
  <c r="S214" i="2"/>
  <c r="S234" i="5"/>
  <c r="S233" i="5"/>
  <c r="S238" i="5"/>
  <c r="S239" i="5"/>
  <c r="V51" i="5"/>
  <c r="S178" i="9"/>
  <c r="V52" i="9"/>
  <c r="V140" i="9"/>
  <c r="V35" i="9"/>
  <c r="V43" i="9" s="1"/>
  <c r="T202" i="9" s="1"/>
  <c r="T203" i="9" s="1"/>
  <c r="T210" i="9"/>
  <c r="P72" i="9"/>
  <c r="T216" i="10"/>
  <c r="T269" i="10"/>
  <c r="V35" i="10"/>
  <c r="V43" i="10" s="1"/>
  <c r="T202" i="10" s="1"/>
  <c r="T203" i="10" s="1"/>
  <c r="V36" i="10"/>
  <c r="U234" i="11"/>
  <c r="U236" i="11"/>
  <c r="U240" i="11"/>
  <c r="T269" i="11"/>
  <c r="V36" i="12"/>
  <c r="V35" i="12"/>
  <c r="V43" i="12" s="1"/>
  <c r="T202" i="12" s="1"/>
  <c r="T203" i="12" s="1"/>
  <c r="U248" i="14"/>
  <c r="T270" i="14"/>
  <c r="U254" i="14"/>
  <c r="U247" i="14"/>
  <c r="U250" i="14"/>
  <c r="U252" i="14"/>
  <c r="U253" i="14"/>
  <c r="U251" i="14"/>
  <c r="V35" i="17"/>
  <c r="V43" i="17" s="1"/>
  <c r="T202" i="17" s="1"/>
  <c r="T203" i="17" s="1"/>
  <c r="R243" i="17"/>
  <c r="S241" i="17" s="1"/>
  <c r="U239" i="17"/>
  <c r="U236" i="17"/>
  <c r="U241" i="17"/>
  <c r="S246" i="18"/>
  <c r="S248" i="18"/>
  <c r="R281" i="18"/>
  <c r="S251" i="18"/>
  <c r="S252" i="18"/>
  <c r="S249" i="18"/>
  <c r="S247" i="18"/>
  <c r="S250" i="18"/>
  <c r="T243" i="18"/>
  <c r="V186" i="25"/>
  <c r="R71" i="25"/>
  <c r="V68" i="25"/>
  <c r="V71" i="25" s="1"/>
  <c r="V51" i="26"/>
  <c r="V189" i="35"/>
  <c r="S266" i="35"/>
  <c r="S265" i="35"/>
  <c r="S216" i="35"/>
  <c r="S264" i="35"/>
  <c r="S263" i="35"/>
  <c r="S260" i="35"/>
  <c r="R282" i="35"/>
  <c r="S261" i="35"/>
  <c r="S262" i="35"/>
  <c r="S259" i="35"/>
  <c r="U238" i="20"/>
  <c r="V35" i="7"/>
  <c r="V43" i="7" s="1"/>
  <c r="T202" i="7" s="1"/>
  <c r="T203" i="7" s="1"/>
  <c r="V188" i="20"/>
  <c r="V118" i="20"/>
  <c r="V131" i="20" s="1"/>
  <c r="V132" i="20" s="1"/>
  <c r="T204" i="12"/>
  <c r="V119" i="10"/>
  <c r="V132" i="10" s="1"/>
  <c r="V133" i="10" s="1"/>
  <c r="T204" i="7"/>
  <c r="V186" i="19"/>
  <c r="S237" i="12"/>
  <c r="S234" i="18"/>
  <c r="U241" i="20"/>
  <c r="V174" i="27"/>
  <c r="V84" i="27"/>
  <c r="V175" i="27" s="1"/>
  <c r="S236" i="16"/>
  <c r="V68" i="20"/>
  <c r="V71" i="20" s="1"/>
  <c r="S244" i="1"/>
  <c r="S246" i="1"/>
  <c r="S251" i="1"/>
  <c r="S250" i="1"/>
  <c r="R267" i="1"/>
  <c r="S247" i="1"/>
  <c r="S245" i="1"/>
  <c r="V51" i="1"/>
  <c r="V36" i="2"/>
  <c r="S235" i="3"/>
  <c r="R268" i="3"/>
  <c r="S236" i="3"/>
  <c r="S237" i="3"/>
  <c r="T132" i="3"/>
  <c r="U251" i="7"/>
  <c r="U249" i="7"/>
  <c r="T269" i="7"/>
  <c r="T215" i="7"/>
  <c r="U252" i="7"/>
  <c r="U253" i="7"/>
  <c r="U250" i="7"/>
  <c r="U246" i="7"/>
  <c r="T215" i="9"/>
  <c r="U253" i="9"/>
  <c r="U251" i="9"/>
  <c r="U250" i="9"/>
  <c r="U247" i="9"/>
  <c r="U252" i="9"/>
  <c r="U249" i="9"/>
  <c r="P72" i="12"/>
  <c r="V36" i="13"/>
  <c r="V35" i="13"/>
  <c r="V43" i="13" s="1"/>
  <c r="T202" i="13" s="1"/>
  <c r="T203" i="13" s="1"/>
  <c r="S239" i="14"/>
  <c r="S242" i="14"/>
  <c r="S240" i="14"/>
  <c r="S236" i="14"/>
  <c r="S237" i="14"/>
  <c r="S238" i="14"/>
  <c r="V35" i="19"/>
  <c r="V43" i="19" s="1"/>
  <c r="T202" i="19" s="1"/>
  <c r="T203" i="19" s="1"/>
  <c r="S216" i="20"/>
  <c r="R281" i="20"/>
  <c r="S217" i="33"/>
  <c r="R282" i="33"/>
  <c r="S179" i="34"/>
  <c r="V140" i="34"/>
  <c r="V52" i="34"/>
  <c r="T216" i="34"/>
  <c r="U259" i="34"/>
  <c r="U263" i="34"/>
  <c r="U260" i="34"/>
  <c r="U264" i="34"/>
  <c r="U261" i="34"/>
  <c r="U265" i="34"/>
  <c r="T211" i="34"/>
  <c r="V68" i="34"/>
  <c r="V71" i="34" s="1"/>
  <c r="P71" i="34"/>
  <c r="U265" i="25"/>
  <c r="U267" i="25" s="1"/>
  <c r="T215" i="25"/>
  <c r="S266" i="33"/>
  <c r="S261" i="33"/>
  <c r="S265" i="33"/>
  <c r="S216" i="33"/>
  <c r="S262" i="33"/>
  <c r="S259" i="33"/>
  <c r="S263" i="33"/>
  <c r="V51" i="35"/>
  <c r="S254" i="35"/>
  <c r="S248" i="35"/>
  <c r="S252" i="35"/>
  <c r="S249" i="35"/>
  <c r="S253" i="35"/>
  <c r="S250" i="35"/>
  <c r="T244" i="39"/>
  <c r="U238" i="39" s="1"/>
  <c r="T133" i="29"/>
  <c r="V167" i="25"/>
  <c r="T132" i="9"/>
  <c r="T133" i="9" s="1"/>
  <c r="S252" i="22"/>
  <c r="S250" i="22"/>
  <c r="S277" i="26"/>
  <c r="S279" i="26" s="1"/>
  <c r="S216" i="26"/>
  <c r="N84" i="32"/>
  <c r="T205" i="32"/>
  <c r="S240" i="33"/>
  <c r="S251" i="33"/>
  <c r="S253" i="33"/>
  <c r="S249" i="33"/>
  <c r="S254" i="33"/>
  <c r="S252" i="33"/>
  <c r="S248" i="33"/>
  <c r="S237" i="35"/>
  <c r="S235" i="35"/>
  <c r="S239" i="35"/>
  <c r="S236" i="35"/>
  <c r="S240" i="35"/>
  <c r="S242" i="35"/>
  <c r="S239" i="37"/>
  <c r="S248" i="37"/>
  <c r="S250" i="37"/>
  <c r="R282" i="37"/>
  <c r="S265" i="39"/>
  <c r="S264" i="39"/>
  <c r="S263" i="39"/>
  <c r="S266" i="39"/>
  <c r="S216" i="39"/>
  <c r="S262" i="39"/>
  <c r="S261" i="39"/>
  <c r="S259" i="39"/>
  <c r="R282" i="39"/>
  <c r="V97" i="2"/>
  <c r="V100" i="2" s="1"/>
  <c r="T131" i="5"/>
  <c r="T132" i="5" s="1"/>
  <c r="U252" i="13"/>
  <c r="S216" i="24"/>
  <c r="V84" i="32"/>
  <c r="V175" i="32" s="1"/>
  <c r="V51" i="32"/>
  <c r="S266" i="38"/>
  <c r="S259" i="38"/>
  <c r="S216" i="38"/>
  <c r="S260" i="38"/>
  <c r="S261" i="38"/>
  <c r="S262" i="38"/>
  <c r="S263" i="38"/>
  <c r="S265" i="38"/>
  <c r="V191" i="38"/>
  <c r="V189" i="38"/>
  <c r="V187" i="38"/>
  <c r="V51" i="39"/>
  <c r="V35" i="33"/>
  <c r="V43" i="33" s="1"/>
  <c r="T203" i="33" s="1"/>
  <c r="T204" i="33" s="1"/>
  <c r="V36" i="33"/>
  <c r="S217" i="35"/>
  <c r="U239" i="36"/>
  <c r="V140" i="37"/>
  <c r="V52" i="37"/>
  <c r="U236" i="38"/>
  <c r="S254" i="38"/>
  <c r="S251" i="38"/>
  <c r="S248" i="38"/>
  <c r="T211" i="38"/>
  <c r="P71" i="38"/>
  <c r="T244" i="41"/>
  <c r="U235" i="41" s="1"/>
  <c r="U254" i="41"/>
  <c r="U252" i="41"/>
  <c r="U250" i="41"/>
  <c r="U248" i="41"/>
  <c r="V35" i="43"/>
  <c r="V43" i="43" s="1"/>
  <c r="T203" i="43" s="1"/>
  <c r="T204" i="43" s="1"/>
  <c r="R244" i="45"/>
  <c r="S238" i="45" s="1"/>
  <c r="U236" i="48"/>
  <c r="T244" i="27"/>
  <c r="S261" i="30"/>
  <c r="S264" i="30"/>
  <c r="V36" i="32"/>
  <c r="T100" i="32"/>
  <c r="V35" i="34"/>
  <c r="V43" i="34" s="1"/>
  <c r="T203" i="34" s="1"/>
  <c r="T204" i="34" s="1"/>
  <c r="V36" i="34"/>
  <c r="U256" i="35"/>
  <c r="V35" i="36"/>
  <c r="V43" i="36" s="1"/>
  <c r="T203" i="36" s="1"/>
  <c r="T204" i="36" s="1"/>
  <c r="V35" i="37"/>
  <c r="V43" i="37" s="1"/>
  <c r="T203" i="37" s="1"/>
  <c r="T204" i="37" s="1"/>
  <c r="V36" i="37"/>
  <c r="U240" i="38"/>
  <c r="S250" i="38"/>
  <c r="U241" i="38"/>
  <c r="S251" i="39"/>
  <c r="S249" i="39"/>
  <c r="S250" i="39"/>
  <c r="S247" i="39"/>
  <c r="S253" i="39"/>
  <c r="S252" i="39"/>
  <c r="U248" i="40"/>
  <c r="U247" i="40"/>
  <c r="V119" i="41"/>
  <c r="T100" i="43"/>
  <c r="V35" i="45"/>
  <c r="V43" i="45" s="1"/>
  <c r="T203" i="45" s="1"/>
  <c r="T204" i="45" s="1"/>
  <c r="V174" i="48"/>
  <c r="V84" i="48"/>
  <c r="V175" i="48" s="1"/>
  <c r="S216" i="30"/>
  <c r="S262" i="30"/>
  <c r="V35" i="32"/>
  <c r="V43" i="32" s="1"/>
  <c r="T203" i="32" s="1"/>
  <c r="T204" i="32" s="1"/>
  <c r="V71" i="33"/>
  <c r="U238" i="33"/>
  <c r="T132" i="34"/>
  <c r="T133" i="34" s="1"/>
  <c r="U280" i="34"/>
  <c r="V96" i="34"/>
  <c r="V100" i="34" s="1"/>
  <c r="T205" i="34" s="1"/>
  <c r="T100" i="37"/>
  <c r="T133" i="37" s="1"/>
  <c r="V36" i="38"/>
  <c r="S278" i="38"/>
  <c r="R282" i="38"/>
  <c r="T100" i="39"/>
  <c r="V51" i="40"/>
  <c r="V140" i="40"/>
  <c r="S179" i="40"/>
  <c r="V52" i="40"/>
  <c r="U249" i="41"/>
  <c r="U253" i="41"/>
  <c r="R244" i="43"/>
  <c r="S235" i="43" s="1"/>
  <c r="S240" i="46"/>
  <c r="S236" i="46"/>
  <c r="S242" i="46"/>
  <c r="S237" i="46"/>
  <c r="S241" i="46"/>
  <c r="S254" i="47"/>
  <c r="S247" i="47"/>
  <c r="S251" i="47"/>
  <c r="S248" i="47"/>
  <c r="S250" i="47"/>
  <c r="S252" i="47"/>
  <c r="S249" i="47"/>
  <c r="V35" i="39"/>
  <c r="V43" i="39" s="1"/>
  <c r="T203" i="39" s="1"/>
  <c r="T204" i="39" s="1"/>
  <c r="V36" i="39"/>
  <c r="T282" i="39"/>
  <c r="V96" i="39"/>
  <c r="V100" i="39" s="1"/>
  <c r="S251" i="40"/>
  <c r="S235" i="41"/>
  <c r="S248" i="41"/>
  <c r="S250" i="41"/>
  <c r="S252" i="41"/>
  <c r="U249" i="43"/>
  <c r="V36" i="44"/>
  <c r="V51" i="44"/>
  <c r="U260" i="45"/>
  <c r="V51" i="47"/>
  <c r="T211" i="50"/>
  <c r="V68" i="50"/>
  <c r="V71" i="50" s="1"/>
  <c r="V84" i="50" s="1"/>
  <c r="V175" i="50" s="1"/>
  <c r="V36" i="40"/>
  <c r="S248" i="40"/>
  <c r="T132" i="41"/>
  <c r="V96" i="42"/>
  <c r="V100" i="42" s="1"/>
  <c r="V187" i="42" s="1"/>
  <c r="V168" i="43"/>
  <c r="S236" i="44"/>
  <c r="S238" i="44"/>
  <c r="S242" i="44"/>
  <c r="S237" i="44"/>
  <c r="S241" i="44"/>
  <c r="U259" i="44"/>
  <c r="U262" i="44"/>
  <c r="U260" i="44"/>
  <c r="T132" i="44"/>
  <c r="T282" i="45"/>
  <c r="V68" i="45"/>
  <c r="V71" i="45" s="1"/>
  <c r="R71" i="45"/>
  <c r="S235" i="46"/>
  <c r="S239" i="46"/>
  <c r="S254" i="46"/>
  <c r="S252" i="46"/>
  <c r="S250" i="46"/>
  <c r="S248" i="46"/>
  <c r="S259" i="46"/>
  <c r="S264" i="46"/>
  <c r="V96" i="46"/>
  <c r="V100" i="46" s="1"/>
  <c r="V191" i="46" s="1"/>
  <c r="S236" i="47"/>
  <c r="S235" i="47"/>
  <c r="S241" i="47"/>
  <c r="S264" i="47"/>
  <c r="S242" i="47"/>
  <c r="T221" i="45"/>
  <c r="V166" i="45"/>
  <c r="V168" i="45" s="1"/>
  <c r="V35" i="41"/>
  <c r="V43" i="41" s="1"/>
  <c r="T203" i="41" s="1"/>
  <c r="T204" i="41" s="1"/>
  <c r="V36" i="41"/>
  <c r="T133" i="42"/>
  <c r="U253" i="43"/>
  <c r="U251" i="43"/>
  <c r="V35" i="44"/>
  <c r="V43" i="44" s="1"/>
  <c r="T203" i="44" s="1"/>
  <c r="T204" i="44" s="1"/>
  <c r="V36" i="45"/>
  <c r="U265" i="45"/>
  <c r="T216" i="45"/>
  <c r="U265" i="46"/>
  <c r="T216" i="46"/>
  <c r="S266" i="47"/>
  <c r="S265" i="47"/>
  <c r="R282" i="47"/>
  <c r="S259" i="47"/>
  <c r="S260" i="47"/>
  <c r="S263" i="47"/>
  <c r="S262" i="47"/>
  <c r="U253" i="49"/>
  <c r="U248" i="49"/>
  <c r="U251" i="49"/>
  <c r="U249" i="49"/>
  <c r="U252" i="49"/>
  <c r="T282" i="49"/>
  <c r="S179" i="50"/>
  <c r="V52" i="50"/>
  <c r="V140" i="50"/>
  <c r="U266" i="50"/>
  <c r="U260" i="50"/>
  <c r="T216" i="50"/>
  <c r="U259" i="50"/>
  <c r="T221" i="48"/>
  <c r="V166" i="48"/>
  <c r="V168" i="48" s="1"/>
  <c r="S268" i="51"/>
  <c r="V168" i="46"/>
  <c r="T100" i="46"/>
  <c r="S248" i="48"/>
  <c r="S252" i="48"/>
  <c r="S260" i="48"/>
  <c r="S264" i="48"/>
  <c r="V71" i="49"/>
  <c r="V35" i="49"/>
  <c r="V43" i="49" s="1"/>
  <c r="T203" i="49" s="1"/>
  <c r="T204" i="49" s="1"/>
  <c r="V96" i="43"/>
  <c r="V100" i="43" s="1"/>
  <c r="T205" i="43" s="1"/>
  <c r="T100" i="44"/>
  <c r="V96" i="44"/>
  <c r="V100" i="44" s="1"/>
  <c r="V191" i="44" s="1"/>
  <c r="T244" i="45"/>
  <c r="U242" i="45" s="1"/>
  <c r="T282" i="47"/>
  <c r="S249" i="48"/>
  <c r="S261" i="48"/>
  <c r="T132" i="49"/>
  <c r="S260" i="49"/>
  <c r="S262" i="49"/>
  <c r="S264" i="49"/>
  <c r="V96" i="49"/>
  <c r="V100" i="49" s="1"/>
  <c r="T132" i="46"/>
  <c r="U238" i="51"/>
  <c r="U239" i="51"/>
  <c r="U240" i="51"/>
  <c r="U241" i="51"/>
  <c r="S239" i="51"/>
  <c r="S240" i="51"/>
  <c r="V174" i="51"/>
  <c r="V84" i="51"/>
  <c r="V175" i="51" s="1"/>
  <c r="V189" i="30"/>
  <c r="V119" i="30"/>
  <c r="V132" i="30" s="1"/>
  <c r="V133" i="30" s="1"/>
  <c r="T205" i="30"/>
  <c r="V191" i="30"/>
  <c r="V187" i="30"/>
  <c r="V186" i="24"/>
  <c r="V190" i="24"/>
  <c r="T204" i="24"/>
  <c r="V188" i="24"/>
  <c r="V118" i="24"/>
  <c r="V131" i="24" s="1"/>
  <c r="V132" i="24" s="1"/>
  <c r="V85" i="10"/>
  <c r="V174" i="10" s="1"/>
  <c r="V188" i="17"/>
  <c r="T204" i="17"/>
  <c r="V186" i="17"/>
  <c r="V118" i="17"/>
  <c r="V131" i="17" s="1"/>
  <c r="V132" i="17" s="1"/>
  <c r="V190" i="17"/>
  <c r="T204" i="18"/>
  <c r="V186" i="18"/>
  <c r="T204" i="11"/>
  <c r="V188" i="6"/>
  <c r="T204" i="6"/>
  <c r="V119" i="6"/>
  <c r="V132" i="6" s="1"/>
  <c r="V133" i="6" s="1"/>
  <c r="V190" i="6"/>
  <c r="V186" i="6"/>
  <c r="T205" i="27"/>
  <c r="V189" i="27"/>
  <c r="V191" i="27"/>
  <c r="V187" i="27"/>
  <c r="V119" i="27"/>
  <c r="V132" i="27" s="1"/>
  <c r="V133" i="27" s="1"/>
  <c r="V188" i="1"/>
  <c r="V186" i="1"/>
  <c r="V117" i="1"/>
  <c r="V130" i="1" s="1"/>
  <c r="V131" i="1" s="1"/>
  <c r="T202" i="1"/>
  <c r="V184" i="1"/>
  <c r="S235" i="28"/>
  <c r="S239" i="28"/>
  <c r="V189" i="37"/>
  <c r="V118" i="3"/>
  <c r="V131" i="3" s="1"/>
  <c r="V132" i="3" s="1"/>
  <c r="V187" i="3"/>
  <c r="S238" i="28"/>
  <c r="U235" i="30"/>
  <c r="U241" i="30"/>
  <c r="U239" i="30"/>
  <c r="U237" i="30"/>
  <c r="U256" i="29"/>
  <c r="U240" i="26"/>
  <c r="U238" i="26"/>
  <c r="U234" i="26"/>
  <c r="S236" i="25"/>
  <c r="S240" i="25"/>
  <c r="S235" i="25"/>
  <c r="S241" i="25"/>
  <c r="S235" i="24"/>
  <c r="V85" i="16"/>
  <c r="V175" i="16" s="1"/>
  <c r="V174" i="16"/>
  <c r="V188" i="13"/>
  <c r="V190" i="13"/>
  <c r="V189" i="34"/>
  <c r="S215" i="13"/>
  <c r="S252" i="13"/>
  <c r="S255" i="13" s="1"/>
  <c r="T215" i="22"/>
  <c r="U260" i="22"/>
  <c r="U263" i="22"/>
  <c r="S265" i="23"/>
  <c r="S267" i="23" s="1"/>
  <c r="S215" i="23"/>
  <c r="S258" i="26"/>
  <c r="S215" i="26"/>
  <c r="S247" i="27"/>
  <c r="S248" i="27"/>
  <c r="T100" i="30"/>
  <c r="T133" i="30" s="1"/>
  <c r="U265" i="31"/>
  <c r="U261" i="31"/>
  <c r="V191" i="32"/>
  <c r="V119" i="32"/>
  <c r="V132" i="32" s="1"/>
  <c r="V133" i="32" s="1"/>
  <c r="T244" i="32"/>
  <c r="U239" i="32" s="1"/>
  <c r="U253" i="32"/>
  <c r="U254" i="32"/>
  <c r="U250" i="32"/>
  <c r="U252" i="32"/>
  <c r="U249" i="32"/>
  <c r="T282" i="32"/>
  <c r="S217" i="32"/>
  <c r="R282" i="32"/>
  <c r="S179" i="33"/>
  <c r="V52" i="33"/>
  <c r="V51" i="33"/>
  <c r="V191" i="33"/>
  <c r="V119" i="33"/>
  <c r="V132" i="33" s="1"/>
  <c r="V133" i="33" s="1"/>
  <c r="U235" i="33"/>
  <c r="U237" i="33"/>
  <c r="U239" i="33"/>
  <c r="U241" i="33"/>
  <c r="U242" i="33"/>
  <c r="V84" i="34"/>
  <c r="V175" i="34" s="1"/>
  <c r="V174" i="34"/>
  <c r="S179" i="35"/>
  <c r="V140" i="35"/>
  <c r="T217" i="35"/>
  <c r="U278" i="35"/>
  <c r="V51" i="36"/>
  <c r="S253" i="36"/>
  <c r="S250" i="36"/>
  <c r="S251" i="36"/>
  <c r="S248" i="36"/>
  <c r="S254" i="36"/>
  <c r="S264" i="36"/>
  <c r="S261" i="36"/>
  <c r="S216" i="36"/>
  <c r="S262" i="36"/>
  <c r="S259" i="36"/>
  <c r="S277" i="36"/>
  <c r="S217" i="36"/>
  <c r="R282" i="36"/>
  <c r="S278" i="36"/>
  <c r="S237" i="37"/>
  <c r="S235" i="37"/>
  <c r="S236" i="37"/>
  <c r="V51" i="37"/>
  <c r="S254" i="37"/>
  <c r="S251" i="37"/>
  <c r="S252" i="37"/>
  <c r="S253" i="37"/>
  <c r="S266" i="37"/>
  <c r="S263" i="37"/>
  <c r="S260" i="37"/>
  <c r="S265" i="37"/>
  <c r="S216" i="37"/>
  <c r="S277" i="37"/>
  <c r="S217" i="37"/>
  <c r="S278" i="37"/>
  <c r="R244" i="38"/>
  <c r="S239" i="38" s="1"/>
  <c r="U239" i="40"/>
  <c r="S239" i="42"/>
  <c r="S238" i="42"/>
  <c r="T244" i="42"/>
  <c r="U240" i="42" s="1"/>
  <c r="U254" i="42"/>
  <c r="U247" i="42"/>
  <c r="U249" i="42"/>
  <c r="U251" i="42"/>
  <c r="U253" i="42"/>
  <c r="U250" i="42"/>
  <c r="V51" i="42"/>
  <c r="V36" i="42"/>
  <c r="V140" i="43"/>
  <c r="V52" i="43"/>
  <c r="V189" i="43"/>
  <c r="T244" i="44"/>
  <c r="U240" i="44" s="1"/>
  <c r="S254" i="44"/>
  <c r="S247" i="44"/>
  <c r="S249" i="44"/>
  <c r="S251" i="44"/>
  <c r="S253" i="44"/>
  <c r="S250" i="44"/>
  <c r="R282" i="44"/>
  <c r="V191" i="45"/>
  <c r="V189" i="45"/>
  <c r="T205" i="45"/>
  <c r="V119" i="45"/>
  <c r="V132" i="45" s="1"/>
  <c r="V133" i="45" s="1"/>
  <c r="S266" i="45"/>
  <c r="S265" i="45"/>
  <c r="S262" i="45"/>
  <c r="S261" i="45"/>
  <c r="S216" i="45"/>
  <c r="R282" i="45"/>
  <c r="S263" i="45"/>
  <c r="S260" i="45"/>
  <c r="V140" i="46"/>
  <c r="V52" i="46"/>
  <c r="T244" i="46"/>
  <c r="U237" i="46" s="1"/>
  <c r="U240" i="47"/>
  <c r="U238" i="47"/>
  <c r="U239" i="47"/>
  <c r="U242" i="47"/>
  <c r="U237" i="47"/>
  <c r="T205" i="50"/>
  <c r="V189" i="50"/>
  <c r="V119" i="50"/>
  <c r="V132" i="50" s="1"/>
  <c r="V133" i="50" s="1"/>
  <c r="S260" i="50"/>
  <c r="S264" i="50"/>
  <c r="V181" i="40"/>
  <c r="T123" i="40"/>
  <c r="V181" i="38"/>
  <c r="T123" i="38"/>
  <c r="T132" i="38" s="1"/>
  <c r="T221" i="49"/>
  <c r="V166" i="49"/>
  <c r="V168" i="49" s="1"/>
  <c r="T221" i="41"/>
  <c r="V166" i="41"/>
  <c r="V168" i="41" s="1"/>
  <c r="U237" i="17"/>
  <c r="U238" i="17"/>
  <c r="U238" i="19"/>
  <c r="U234" i="17"/>
  <c r="U235" i="17"/>
  <c r="S240" i="5"/>
  <c r="S214" i="3"/>
  <c r="S247" i="3"/>
  <c r="S238" i="2"/>
  <c r="S245" i="2"/>
  <c r="U245" i="2"/>
  <c r="U252" i="3"/>
  <c r="U245" i="3"/>
  <c r="U250" i="3"/>
  <c r="U249" i="3"/>
  <c r="S252" i="2"/>
  <c r="S250" i="2"/>
  <c r="S246" i="2"/>
  <c r="S234" i="3"/>
  <c r="S233" i="3"/>
  <c r="S240" i="3"/>
  <c r="S177" i="2"/>
  <c r="S181" i="2" s="1"/>
  <c r="U249" i="2"/>
  <c r="U247" i="2"/>
  <c r="S248" i="5"/>
  <c r="S246" i="5"/>
  <c r="R268" i="5"/>
  <c r="S249" i="5"/>
  <c r="S247" i="5"/>
  <c r="S234" i="19"/>
  <c r="S241" i="19"/>
  <c r="S240" i="19"/>
  <c r="V140" i="10"/>
  <c r="S238" i="12"/>
  <c r="U237" i="6"/>
  <c r="S235" i="5"/>
  <c r="S250" i="3"/>
  <c r="U234" i="3"/>
  <c r="U238" i="5"/>
  <c r="U241" i="9"/>
  <c r="S234" i="2"/>
  <c r="S237" i="5"/>
  <c r="S236" i="2"/>
  <c r="U237" i="5"/>
  <c r="U239" i="9"/>
  <c r="U239" i="5"/>
  <c r="U239" i="3"/>
  <c r="S235" i="12"/>
  <c r="V52" i="14"/>
  <c r="S239" i="3"/>
  <c r="R270" i="14"/>
  <c r="S252" i="7"/>
  <c r="S255" i="7" s="1"/>
  <c r="U252" i="2"/>
  <c r="U235" i="11"/>
  <c r="U237" i="11"/>
  <c r="U239" i="11"/>
  <c r="U241" i="11"/>
  <c r="U237" i="15"/>
  <c r="U239" i="15"/>
  <c r="U241" i="15"/>
  <c r="T270" i="15"/>
  <c r="V139" i="3"/>
  <c r="S248" i="6"/>
  <c r="T132" i="10"/>
  <c r="S235" i="14"/>
  <c r="T215" i="19"/>
  <c r="U259" i="19"/>
  <c r="U267" i="19" s="1"/>
  <c r="U253" i="21"/>
  <c r="U265" i="22"/>
  <c r="U259" i="22"/>
  <c r="U264" i="23"/>
  <c r="U261" i="23"/>
  <c r="S261" i="26"/>
  <c r="S250" i="31"/>
  <c r="U249" i="31"/>
  <c r="U247" i="31"/>
  <c r="V140" i="32"/>
  <c r="V52" i="32"/>
  <c r="V189" i="32"/>
  <c r="V187" i="32"/>
  <c r="S237" i="32"/>
  <c r="S240" i="32"/>
  <c r="S238" i="32"/>
  <c r="U247" i="32"/>
  <c r="S235" i="32"/>
  <c r="S254" i="32"/>
  <c r="S248" i="32"/>
  <c r="S250" i="32"/>
  <c r="S252" i="32"/>
  <c r="V140" i="33"/>
  <c r="V189" i="33"/>
  <c r="V187" i="33"/>
  <c r="V168" i="33"/>
  <c r="T217" i="34"/>
  <c r="R282" i="34"/>
  <c r="T282" i="34"/>
  <c r="V51" i="34"/>
  <c r="V52" i="35"/>
  <c r="T282" i="35"/>
  <c r="U277" i="35"/>
  <c r="U242" i="35"/>
  <c r="P71" i="35"/>
  <c r="V68" i="35"/>
  <c r="V71" i="35" s="1"/>
  <c r="U241" i="36"/>
  <c r="U238" i="36"/>
  <c r="U240" i="36"/>
  <c r="U236" i="36"/>
  <c r="U242" i="36"/>
  <c r="S265" i="36"/>
  <c r="S260" i="36"/>
  <c r="S252" i="36"/>
  <c r="S247" i="36"/>
  <c r="V191" i="36"/>
  <c r="V187" i="36"/>
  <c r="S237" i="36"/>
  <c r="S249" i="36"/>
  <c r="U251" i="36"/>
  <c r="U253" i="36"/>
  <c r="U248" i="36"/>
  <c r="U249" i="36"/>
  <c r="U266" i="36"/>
  <c r="T282" i="36"/>
  <c r="U263" i="36"/>
  <c r="U261" i="36"/>
  <c r="T216" i="36"/>
  <c r="S238" i="37"/>
  <c r="R71" i="36"/>
  <c r="V68" i="36"/>
  <c r="V71" i="36" s="1"/>
  <c r="V68" i="37"/>
  <c r="V71" i="37" s="1"/>
  <c r="S262" i="37"/>
  <c r="S261" i="37"/>
  <c r="S264" i="37"/>
  <c r="S249" i="37"/>
  <c r="S247" i="37"/>
  <c r="V166" i="37"/>
  <c r="V168" i="37" s="1"/>
  <c r="U237" i="37"/>
  <c r="U253" i="37"/>
  <c r="U248" i="37"/>
  <c r="U252" i="37"/>
  <c r="U247" i="37"/>
  <c r="U251" i="37"/>
  <c r="U265" i="37"/>
  <c r="T282" i="37"/>
  <c r="U260" i="37"/>
  <c r="U264" i="37"/>
  <c r="U261" i="37"/>
  <c r="V68" i="38"/>
  <c r="V71" i="38" s="1"/>
  <c r="U268" i="38"/>
  <c r="V51" i="38"/>
  <c r="V119" i="38"/>
  <c r="V132" i="38" s="1"/>
  <c r="V133" i="38" s="1"/>
  <c r="T205" i="38"/>
  <c r="V84" i="39"/>
  <c r="V175" i="39" s="1"/>
  <c r="V174" i="39"/>
  <c r="V189" i="39"/>
  <c r="T205" i="39"/>
  <c r="V187" i="39"/>
  <c r="R244" i="39"/>
  <c r="S239" i="39" s="1"/>
  <c r="T205" i="40"/>
  <c r="V187" i="40"/>
  <c r="V119" i="40"/>
  <c r="V132" i="40" s="1"/>
  <c r="V133" i="40"/>
  <c r="T132" i="40"/>
  <c r="R244" i="40"/>
  <c r="S235" i="40" s="1"/>
  <c r="S254" i="40"/>
  <c r="S252" i="40"/>
  <c r="S250" i="40"/>
  <c r="S247" i="40"/>
  <c r="U236" i="41"/>
  <c r="U252" i="42"/>
  <c r="T282" i="42"/>
  <c r="S216" i="42"/>
  <c r="S266" i="42"/>
  <c r="S265" i="42"/>
  <c r="S264" i="42"/>
  <c r="S263" i="42"/>
  <c r="S262" i="42"/>
  <c r="S261" i="42"/>
  <c r="S260" i="42"/>
  <c r="R282" i="42"/>
  <c r="S259" i="42"/>
  <c r="V189" i="42"/>
  <c r="S179" i="43"/>
  <c r="U236" i="43"/>
  <c r="U238" i="43"/>
  <c r="U240" i="43"/>
  <c r="U242" i="43"/>
  <c r="U239" i="43"/>
  <c r="S236" i="43"/>
  <c r="S237" i="43"/>
  <c r="S238" i="43"/>
  <c r="S240" i="43"/>
  <c r="S241" i="43"/>
  <c r="S242" i="43"/>
  <c r="S254" i="43"/>
  <c r="S253" i="43"/>
  <c r="S250" i="43"/>
  <c r="S249" i="43"/>
  <c r="S248" i="43"/>
  <c r="S252" i="43"/>
  <c r="R282" i="43"/>
  <c r="S251" i="43"/>
  <c r="S252" i="44"/>
  <c r="V187" i="45"/>
  <c r="S179" i="46"/>
  <c r="U262" i="46"/>
  <c r="U263" i="46"/>
  <c r="U259" i="46"/>
  <c r="T282" i="46"/>
  <c r="U264" i="46"/>
  <c r="U261" i="46"/>
  <c r="U260" i="46"/>
  <c r="U241" i="47"/>
  <c r="T211" i="47"/>
  <c r="V68" i="47"/>
  <c r="V71" i="47" s="1"/>
  <c r="P71" i="47"/>
  <c r="V189" i="47"/>
  <c r="V191" i="47"/>
  <c r="V51" i="48"/>
  <c r="V119" i="48"/>
  <c r="V132" i="48" s="1"/>
  <c r="V133" i="48" s="1"/>
  <c r="V191" i="48"/>
  <c r="V187" i="48"/>
  <c r="T205" i="48"/>
  <c r="S237" i="49"/>
  <c r="U237" i="49"/>
  <c r="U238" i="49"/>
  <c r="U239" i="49"/>
  <c r="U241" i="49"/>
  <c r="U242" i="49"/>
  <c r="V36" i="49"/>
  <c r="U254" i="40"/>
  <c r="U253" i="40"/>
  <c r="U252" i="40"/>
  <c r="U251" i="40"/>
  <c r="U250" i="40"/>
  <c r="U249" i="40"/>
  <c r="T282" i="40"/>
  <c r="T205" i="41"/>
  <c r="V187" i="41"/>
  <c r="V140" i="41"/>
  <c r="S179" i="41"/>
  <c r="S242" i="41"/>
  <c r="S240" i="41"/>
  <c r="S238" i="41"/>
  <c r="S236" i="41"/>
  <c r="T217" i="41"/>
  <c r="T282" i="41"/>
  <c r="R71" i="41"/>
  <c r="V68" i="41"/>
  <c r="V71" i="41" s="1"/>
  <c r="V132" i="41"/>
  <c r="V133" i="41" s="1"/>
  <c r="S179" i="42"/>
  <c r="V140" i="42"/>
  <c r="S254" i="42"/>
  <c r="S247" i="42"/>
  <c r="S251" i="42"/>
  <c r="S248" i="42"/>
  <c r="S252" i="42"/>
  <c r="P71" i="42"/>
  <c r="V68" i="42"/>
  <c r="V71" i="42" s="1"/>
  <c r="U254" i="43"/>
  <c r="U250" i="43"/>
  <c r="T216" i="43"/>
  <c r="T282" i="43"/>
  <c r="V36" i="43"/>
  <c r="V68" i="43"/>
  <c r="V71" i="43" s="1"/>
  <c r="P71" i="43"/>
  <c r="U253" i="44"/>
  <c r="U247" i="44"/>
  <c r="U248" i="44"/>
  <c r="U252" i="44"/>
  <c r="V68" i="44"/>
  <c r="V71" i="44" s="1"/>
  <c r="P71" i="44"/>
  <c r="V51" i="45"/>
  <c r="T100" i="45"/>
  <c r="U236" i="45"/>
  <c r="U266" i="45"/>
  <c r="U263" i="45"/>
  <c r="U259" i="45"/>
  <c r="U262" i="45"/>
  <c r="S266" i="46"/>
  <c r="S265" i="46"/>
  <c r="S262" i="46"/>
  <c r="S261" i="46"/>
  <c r="S216" i="46"/>
  <c r="R282" i="46"/>
  <c r="U256" i="47"/>
  <c r="U235" i="47"/>
  <c r="R244" i="48"/>
  <c r="S239" i="48" s="1"/>
  <c r="V191" i="49"/>
  <c r="V189" i="49"/>
  <c r="S259" i="49"/>
  <c r="S216" i="49"/>
  <c r="S217" i="49"/>
  <c r="R282" i="49"/>
  <c r="V51" i="50"/>
  <c r="V35" i="50"/>
  <c r="V43" i="50" s="1"/>
  <c r="T203" i="50" s="1"/>
  <c r="T204" i="50" s="1"/>
  <c r="V36" i="50"/>
  <c r="U262" i="50"/>
  <c r="U264" i="50"/>
  <c r="U263" i="50"/>
  <c r="U265" i="50"/>
  <c r="T282" i="50"/>
  <c r="T244" i="50"/>
  <c r="U241" i="50" s="1"/>
  <c r="S266" i="50"/>
  <c r="S262" i="50"/>
  <c r="S216" i="50"/>
  <c r="S265" i="50"/>
  <c r="S263" i="50"/>
  <c r="S261" i="50"/>
  <c r="R282" i="50"/>
  <c r="U250" i="50"/>
  <c r="U252" i="50"/>
  <c r="U254" i="50"/>
  <c r="U247" i="50"/>
  <c r="U249" i="50"/>
  <c r="U251" i="50"/>
  <c r="U253" i="50"/>
  <c r="S249" i="50"/>
  <c r="S251" i="50"/>
  <c r="S247" i="50"/>
  <c r="S242" i="50"/>
  <c r="S240" i="50"/>
  <c r="S238" i="50"/>
  <c r="S236" i="50"/>
  <c r="S241" i="50"/>
  <c r="S239" i="50"/>
  <c r="S237" i="50"/>
  <c r="S235" i="50"/>
  <c r="S254" i="50"/>
  <c r="S252" i="50"/>
  <c r="S250" i="50"/>
  <c r="S248" i="50"/>
  <c r="U239" i="38" l="1"/>
  <c r="U238" i="48"/>
  <c r="S242" i="34"/>
  <c r="S238" i="33"/>
  <c r="S241" i="33"/>
  <c r="U242" i="38"/>
  <c r="S242" i="31"/>
  <c r="S236" i="31"/>
  <c r="S255" i="25"/>
  <c r="V185" i="4"/>
  <c r="U243" i="10"/>
  <c r="S238" i="49"/>
  <c r="S237" i="34"/>
  <c r="S256" i="31"/>
  <c r="V119" i="43"/>
  <c r="V132" i="43" s="1"/>
  <c r="V133" i="43" s="1"/>
  <c r="T205" i="37"/>
  <c r="U239" i="48"/>
  <c r="S236" i="49"/>
  <c r="S236" i="34"/>
  <c r="U240" i="34"/>
  <c r="V191" i="43"/>
  <c r="V119" i="16"/>
  <c r="V132" i="16" s="1"/>
  <c r="V133" i="16" s="1"/>
  <c r="U237" i="38"/>
  <c r="U244" i="38" s="1"/>
  <c r="S242" i="33"/>
  <c r="S237" i="33"/>
  <c r="V191" i="28"/>
  <c r="U238" i="34"/>
  <c r="S237" i="31"/>
  <c r="S240" i="31"/>
  <c r="S235" i="31"/>
  <c r="S241" i="1"/>
  <c r="S243" i="9"/>
  <c r="S256" i="30"/>
  <c r="S237" i="25"/>
  <c r="S239" i="25"/>
  <c r="S243" i="25" s="1"/>
  <c r="S241" i="24"/>
  <c r="U241" i="48"/>
  <c r="S242" i="49"/>
  <c r="U235" i="34"/>
  <c r="V191" i="16"/>
  <c r="S280" i="38"/>
  <c r="U238" i="38"/>
  <c r="S235" i="33"/>
  <c r="V119" i="28"/>
  <c r="V132" i="28" s="1"/>
  <c r="V133" i="28" s="1"/>
  <c r="S182" i="7"/>
  <c r="V189" i="28"/>
  <c r="S181" i="9"/>
  <c r="S182" i="9" s="1"/>
  <c r="S238" i="34"/>
  <c r="V189" i="4"/>
  <c r="T133" i="15"/>
  <c r="S237" i="24"/>
  <c r="S243" i="24" s="1"/>
  <c r="V84" i="29"/>
  <c r="V175" i="29" s="1"/>
  <c r="T205" i="28"/>
  <c r="S268" i="43"/>
  <c r="V189" i="46"/>
  <c r="U240" i="45"/>
  <c r="S239" i="26"/>
  <c r="T204" i="9"/>
  <c r="V181" i="7"/>
  <c r="S239" i="31"/>
  <c r="U237" i="45"/>
  <c r="S240" i="26"/>
  <c r="V190" i="9"/>
  <c r="U268" i="28"/>
  <c r="S239" i="30"/>
  <c r="U240" i="32"/>
  <c r="U236" i="32"/>
  <c r="S268" i="33"/>
  <c r="U241" i="34"/>
  <c r="U243" i="23"/>
  <c r="S235" i="26"/>
  <c r="S242" i="39"/>
  <c r="U242" i="42"/>
  <c r="S238" i="39"/>
  <c r="U235" i="44"/>
  <c r="U241" i="42"/>
  <c r="T133" i="46"/>
  <c r="S256" i="41"/>
  <c r="S240" i="45"/>
  <c r="T133" i="33"/>
  <c r="S256" i="14"/>
  <c r="S255" i="19"/>
  <c r="U267" i="24"/>
  <c r="U256" i="34"/>
  <c r="S255" i="17"/>
  <c r="U280" i="38"/>
  <c r="U237" i="34"/>
  <c r="S267" i="21"/>
  <c r="S254" i="4"/>
  <c r="U255" i="11"/>
  <c r="S256" i="34"/>
  <c r="U268" i="43"/>
  <c r="S235" i="30"/>
  <c r="S235" i="48"/>
  <c r="T205" i="44"/>
  <c r="S235" i="39"/>
  <c r="U237" i="42"/>
  <c r="V119" i="34"/>
  <c r="V132" i="34" s="1"/>
  <c r="V133" i="34" s="1"/>
  <c r="T133" i="50"/>
  <c r="S268" i="44"/>
  <c r="U256" i="33"/>
  <c r="T133" i="36"/>
  <c r="U243" i="12"/>
  <c r="S267" i="19"/>
  <c r="S243" i="7"/>
  <c r="V174" i="28"/>
  <c r="V186" i="22"/>
  <c r="V118" i="22"/>
  <c r="V131" i="22" s="1"/>
  <c r="V132" i="22" s="1"/>
  <c r="T204" i="22"/>
  <c r="S255" i="20"/>
  <c r="U280" i="36"/>
  <c r="U256" i="30"/>
  <c r="S256" i="29"/>
  <c r="U256" i="46"/>
  <c r="S267" i="22"/>
  <c r="S255" i="11"/>
  <c r="S236" i="30"/>
  <c r="S240" i="30"/>
  <c r="S241" i="30"/>
  <c r="U254" i="5"/>
  <c r="S244" i="41"/>
  <c r="T133" i="40"/>
  <c r="S236" i="36"/>
  <c r="U237" i="35"/>
  <c r="V191" i="34"/>
  <c r="V119" i="11"/>
  <c r="V132" i="11" s="1"/>
  <c r="V133" i="11" s="1"/>
  <c r="U268" i="44"/>
  <c r="S268" i="38"/>
  <c r="V188" i="25"/>
  <c r="S235" i="29"/>
  <c r="S268" i="34"/>
  <c r="U244" i="28"/>
  <c r="S255" i="24"/>
  <c r="U241" i="1"/>
  <c r="S268" i="41"/>
  <c r="V173" i="11"/>
  <c r="V85" i="11"/>
  <c r="V174" i="11" s="1"/>
  <c r="S267" i="17"/>
  <c r="S241" i="48"/>
  <c r="S239" i="36"/>
  <c r="S241" i="34"/>
  <c r="U239" i="34"/>
  <c r="S240" i="20"/>
  <c r="U238" i="40"/>
  <c r="V119" i="37"/>
  <c r="V132" i="37" s="1"/>
  <c r="V133" i="37" s="1"/>
  <c r="V188" i="11"/>
  <c r="V186" i="11"/>
  <c r="V188" i="18"/>
  <c r="T133" i="41"/>
  <c r="U240" i="48"/>
  <c r="S236" i="26"/>
  <c r="U240" i="22"/>
  <c r="S241" i="36"/>
  <c r="V119" i="47"/>
  <c r="V132" i="47" s="1"/>
  <c r="V133" i="47" s="1"/>
  <c r="U242" i="40"/>
  <c r="S280" i="35"/>
  <c r="U235" i="48"/>
  <c r="S239" i="49"/>
  <c r="S241" i="49"/>
  <c r="V187" i="47"/>
  <c r="S241" i="40"/>
  <c r="U237" i="40"/>
  <c r="S235" i="34"/>
  <c r="T133" i="10"/>
  <c r="V187" i="34"/>
  <c r="V191" i="37"/>
  <c r="V173" i="22"/>
  <c r="U240" i="40"/>
  <c r="U242" i="39"/>
  <c r="V190" i="25"/>
  <c r="S239" i="29"/>
  <c r="U268" i="42"/>
  <c r="S268" i="40"/>
  <c r="U256" i="39"/>
  <c r="U268" i="33"/>
  <c r="U268" i="49"/>
  <c r="U268" i="47"/>
  <c r="U268" i="41"/>
  <c r="U268" i="35"/>
  <c r="U256" i="45"/>
  <c r="U255" i="23"/>
  <c r="S256" i="16"/>
  <c r="U242" i="2"/>
  <c r="U243" i="7"/>
  <c r="U243" i="24"/>
  <c r="V173" i="7"/>
  <c r="S237" i="48"/>
  <c r="U237" i="48"/>
  <c r="T133" i="45"/>
  <c r="U240" i="49"/>
  <c r="U235" i="49"/>
  <c r="S240" i="49"/>
  <c r="S237" i="40"/>
  <c r="U236" i="40"/>
  <c r="S242" i="37"/>
  <c r="S238" i="36"/>
  <c r="V189" i="36"/>
  <c r="S240" i="34"/>
  <c r="U242" i="34"/>
  <c r="S255" i="6"/>
  <c r="T133" i="38"/>
  <c r="V187" i="50"/>
  <c r="V187" i="43"/>
  <c r="U235" i="40"/>
  <c r="S240" i="37"/>
  <c r="V190" i="18"/>
  <c r="T222" i="38"/>
  <c r="T222" i="39" s="1"/>
  <c r="T222" i="40" s="1"/>
  <c r="T222" i="41" s="1"/>
  <c r="T222" i="42" s="1"/>
  <c r="T222" i="43" s="1"/>
  <c r="T222" i="44" s="1"/>
  <c r="T222" i="45" s="1"/>
  <c r="T222" i="46" s="1"/>
  <c r="T222" i="47" s="1"/>
  <c r="T222" i="48" s="1"/>
  <c r="T222" i="49" s="1"/>
  <c r="T222" i="50" s="1"/>
  <c r="T222" i="51" s="1"/>
  <c r="T222" i="52" s="1"/>
  <c r="T227" i="53" s="1"/>
  <c r="T228" i="54" s="1"/>
  <c r="T228" i="55" s="1"/>
  <c r="T228" i="56" s="1"/>
  <c r="T228" i="57" s="1"/>
  <c r="T133" i="39"/>
  <c r="T133" i="32"/>
  <c r="U255" i="13"/>
  <c r="S255" i="22"/>
  <c r="S241" i="26"/>
  <c r="V118" i="25"/>
  <c r="V131" i="25" s="1"/>
  <c r="V132" i="25" s="1"/>
  <c r="S241" i="18"/>
  <c r="S238" i="18"/>
  <c r="S238" i="29"/>
  <c r="S237" i="29"/>
  <c r="S256" i="49"/>
  <c r="T133" i="35"/>
  <c r="U268" i="32"/>
  <c r="U255" i="17"/>
  <c r="U268" i="40"/>
  <c r="S244" i="15"/>
  <c r="S240" i="44"/>
  <c r="S235" i="44"/>
  <c r="S244" i="44" s="1"/>
  <c r="U237" i="36"/>
  <c r="U235" i="36"/>
  <c r="T205" i="31"/>
  <c r="V119" i="31"/>
  <c r="V132" i="31" s="1"/>
  <c r="V133" i="31" s="1"/>
  <c r="V189" i="31"/>
  <c r="V191" i="31"/>
  <c r="V187" i="31"/>
  <c r="U255" i="10"/>
  <c r="S256" i="38"/>
  <c r="U239" i="37"/>
  <c r="U240" i="37"/>
  <c r="T205" i="42"/>
  <c r="U242" i="37"/>
  <c r="S242" i="42"/>
  <c r="S241" i="42"/>
  <c r="T133" i="49"/>
  <c r="S256" i="46"/>
  <c r="V174" i="46"/>
  <c r="S268" i="30"/>
  <c r="T205" i="35"/>
  <c r="S239" i="20"/>
  <c r="S244" i="16"/>
  <c r="T197" i="1"/>
  <c r="T200" i="1"/>
  <c r="T201" i="1" s="1"/>
  <c r="U238" i="35"/>
  <c r="U239" i="35"/>
  <c r="U235" i="35"/>
  <c r="U241" i="35"/>
  <c r="V186" i="13"/>
  <c r="T204" i="13"/>
  <c r="V119" i="13"/>
  <c r="V132" i="13" s="1"/>
  <c r="V133" i="13" s="1"/>
  <c r="V186" i="9"/>
  <c r="V119" i="9"/>
  <c r="V132" i="9" s="1"/>
  <c r="V133" i="9" s="1"/>
  <c r="U243" i="13"/>
  <c r="U240" i="35"/>
  <c r="S238" i="26"/>
  <c r="S234" i="26"/>
  <c r="U255" i="6"/>
  <c r="U256" i="41"/>
  <c r="U256" i="43"/>
  <c r="V119" i="42"/>
  <c r="V132" i="42" s="1"/>
  <c r="V133" i="42" s="1"/>
  <c r="S236" i="42"/>
  <c r="U241" i="37"/>
  <c r="U235" i="37"/>
  <c r="S256" i="32"/>
  <c r="U256" i="32"/>
  <c r="U255" i="21"/>
  <c r="U241" i="19"/>
  <c r="U241" i="44"/>
  <c r="S235" i="42"/>
  <c r="V119" i="35"/>
  <c r="V132" i="35" s="1"/>
  <c r="V133" i="35" s="1"/>
  <c r="S240" i="42"/>
  <c r="T133" i="43"/>
  <c r="S256" i="39"/>
  <c r="U255" i="9"/>
  <c r="U236" i="19"/>
  <c r="U267" i="18"/>
  <c r="S239" i="43"/>
  <c r="S242" i="36"/>
  <c r="S240" i="36"/>
  <c r="U239" i="22"/>
  <c r="U238" i="22"/>
  <c r="U234" i="22"/>
  <c r="U241" i="22"/>
  <c r="U244" i="29"/>
  <c r="V85" i="9"/>
  <c r="V174" i="9" s="1"/>
  <c r="V173" i="9"/>
  <c r="S255" i="9"/>
  <c r="S243" i="23"/>
  <c r="V191" i="42"/>
  <c r="U236" i="37"/>
  <c r="V187" i="35"/>
  <c r="S268" i="49"/>
  <c r="U241" i="41"/>
  <c r="V174" i="40"/>
  <c r="U238" i="37"/>
  <c r="U280" i="35"/>
  <c r="S243" i="12"/>
  <c r="U242" i="5"/>
  <c r="S238" i="20"/>
  <c r="U239" i="44"/>
  <c r="S256" i="35"/>
  <c r="U255" i="7"/>
  <c r="V85" i="1"/>
  <c r="V172" i="1" s="1"/>
  <c r="V187" i="16"/>
  <c r="T205" i="16"/>
  <c r="U280" i="37"/>
  <c r="V119" i="7"/>
  <c r="V132" i="7" s="1"/>
  <c r="V133" i="7" s="1"/>
  <c r="V188" i="7"/>
  <c r="V186" i="7"/>
  <c r="U256" i="15"/>
  <c r="U244" i="14"/>
  <c r="S267" i="25"/>
  <c r="U244" i="31"/>
  <c r="U239" i="46"/>
  <c r="U235" i="27"/>
  <c r="U237" i="27"/>
  <c r="U239" i="27"/>
  <c r="U242" i="27"/>
  <c r="U241" i="27"/>
  <c r="V85" i="3"/>
  <c r="V173" i="3" s="1"/>
  <c r="V172" i="3"/>
  <c r="U243" i="20"/>
  <c r="S244" i="43"/>
  <c r="U242" i="46"/>
  <c r="U238" i="46"/>
  <c r="U244" i="51"/>
  <c r="T133" i="44"/>
  <c r="V174" i="49"/>
  <c r="V84" i="49"/>
  <c r="V175" i="49" s="1"/>
  <c r="S256" i="48"/>
  <c r="S268" i="47"/>
  <c r="S244" i="47"/>
  <c r="S244" i="46"/>
  <c r="V174" i="33"/>
  <c r="V84" i="33"/>
  <c r="V175" i="33" s="1"/>
  <c r="V187" i="2"/>
  <c r="T203" i="2"/>
  <c r="V185" i="2"/>
  <c r="V189" i="2"/>
  <c r="V118" i="2"/>
  <c r="V131" i="2" s="1"/>
  <c r="V132" i="2" s="1"/>
  <c r="S268" i="39"/>
  <c r="V84" i="20"/>
  <c r="V174" i="20" s="1"/>
  <c r="V173" i="20"/>
  <c r="U234" i="18"/>
  <c r="U235" i="18"/>
  <c r="U237" i="18"/>
  <c r="U240" i="18"/>
  <c r="U239" i="18"/>
  <c r="U241" i="18"/>
  <c r="U236" i="18"/>
  <c r="U238" i="27"/>
  <c r="S255" i="10"/>
  <c r="S235" i="19"/>
  <c r="S238" i="19"/>
  <c r="S239" i="19"/>
  <c r="S236" i="19"/>
  <c r="U243" i="25"/>
  <c r="S268" i="37"/>
  <c r="S256" i="47"/>
  <c r="S236" i="21"/>
  <c r="S234" i="21"/>
  <c r="S237" i="21"/>
  <c r="S238" i="21"/>
  <c r="S240" i="21"/>
  <c r="S241" i="21"/>
  <c r="S268" i="46"/>
  <c r="U244" i="43"/>
  <c r="S256" i="40"/>
  <c r="S268" i="50"/>
  <c r="V174" i="50"/>
  <c r="U244" i="47"/>
  <c r="U256" i="44"/>
  <c r="U238" i="41"/>
  <c r="U268" i="37"/>
  <c r="U256" i="37"/>
  <c r="U256" i="36"/>
  <c r="U243" i="6"/>
  <c r="U241" i="46"/>
  <c r="U236" i="46"/>
  <c r="U238" i="44"/>
  <c r="U239" i="42"/>
  <c r="U235" i="42"/>
  <c r="S240" i="38"/>
  <c r="T205" i="49"/>
  <c r="V187" i="49"/>
  <c r="V119" i="49"/>
  <c r="V132" i="49" s="1"/>
  <c r="V133" i="49" s="1"/>
  <c r="V174" i="45"/>
  <c r="V84" i="45"/>
  <c r="V175" i="45" s="1"/>
  <c r="S239" i="45"/>
  <c r="S235" i="45"/>
  <c r="S241" i="45"/>
  <c r="S237" i="45"/>
  <c r="U239" i="41"/>
  <c r="S244" i="35"/>
  <c r="V172" i="2"/>
  <c r="V85" i="2"/>
  <c r="V173" i="2" s="1"/>
  <c r="U235" i="39"/>
  <c r="U241" i="39"/>
  <c r="U237" i="39"/>
  <c r="U239" i="39"/>
  <c r="U240" i="39"/>
  <c r="S244" i="33"/>
  <c r="U268" i="34"/>
  <c r="S253" i="1"/>
  <c r="U238" i="18"/>
  <c r="S255" i="18"/>
  <c r="U256" i="14"/>
  <c r="S243" i="22"/>
  <c r="U240" i="21"/>
  <c r="U236" i="21"/>
  <c r="U237" i="21"/>
  <c r="U234" i="21"/>
  <c r="U238" i="21"/>
  <c r="U241" i="21"/>
  <c r="U235" i="21"/>
  <c r="U236" i="27"/>
  <c r="S244" i="27"/>
  <c r="U240" i="19"/>
  <c r="U234" i="19"/>
  <c r="U235" i="19"/>
  <c r="U237" i="19"/>
  <c r="S239" i="21"/>
  <c r="U240" i="27"/>
  <c r="U268" i="45"/>
  <c r="V189" i="44"/>
  <c r="V119" i="44"/>
  <c r="V132" i="44" s="1"/>
  <c r="V133" i="44" s="1"/>
  <c r="U240" i="41"/>
  <c r="U268" i="36"/>
  <c r="V187" i="44"/>
  <c r="U242" i="41"/>
  <c r="U237" i="41"/>
  <c r="S244" i="14"/>
  <c r="U242" i="3"/>
  <c r="S254" i="3"/>
  <c r="U243" i="17"/>
  <c r="U240" i="46"/>
  <c r="U235" i="46"/>
  <c r="S268" i="45"/>
  <c r="U242" i="44"/>
  <c r="U237" i="44"/>
  <c r="U238" i="42"/>
  <c r="S237" i="38"/>
  <c r="S280" i="36"/>
  <c r="S244" i="51"/>
  <c r="U241" i="45"/>
  <c r="U238" i="45"/>
  <c r="U235" i="45"/>
  <c r="U239" i="45"/>
  <c r="S268" i="48"/>
  <c r="U256" i="49"/>
  <c r="T205" i="46"/>
  <c r="V187" i="46"/>
  <c r="V119" i="46"/>
  <c r="V132" i="46" s="1"/>
  <c r="V133" i="46" s="1"/>
  <c r="V119" i="39"/>
  <c r="V132" i="39" s="1"/>
  <c r="V133" i="39" s="1"/>
  <c r="V191" i="39"/>
  <c r="S242" i="45"/>
  <c r="S236" i="45"/>
  <c r="S256" i="33"/>
  <c r="V172" i="5"/>
  <c r="V85" i="5"/>
  <c r="V173" i="5" s="1"/>
  <c r="U236" i="39"/>
  <c r="S268" i="35"/>
  <c r="V173" i="25"/>
  <c r="V84" i="25"/>
  <c r="V174" i="25" s="1"/>
  <c r="S239" i="17"/>
  <c r="S235" i="17"/>
  <c r="S238" i="17"/>
  <c r="S236" i="17"/>
  <c r="S234" i="17"/>
  <c r="S240" i="17"/>
  <c r="S237" i="17"/>
  <c r="S234" i="20"/>
  <c r="S237" i="20"/>
  <c r="S236" i="20"/>
  <c r="S241" i="20"/>
  <c r="U255" i="20"/>
  <c r="V173" i="12"/>
  <c r="V85" i="12"/>
  <c r="V174" i="12" s="1"/>
  <c r="S255" i="12"/>
  <c r="V85" i="4"/>
  <c r="V173" i="4" s="1"/>
  <c r="V172" i="4"/>
  <c r="U239" i="21"/>
  <c r="U239" i="50"/>
  <c r="S242" i="48"/>
  <c r="S238" i="48"/>
  <c r="S240" i="48"/>
  <c r="S236" i="48"/>
  <c r="V84" i="44"/>
  <c r="V175" i="44" s="1"/>
  <c r="V174" i="44"/>
  <c r="S256" i="42"/>
  <c r="U256" i="40"/>
  <c r="V174" i="47"/>
  <c r="V84" i="47"/>
  <c r="V175" i="47" s="1"/>
  <c r="S256" i="43"/>
  <c r="S268" i="42"/>
  <c r="S239" i="40"/>
  <c r="S237" i="39"/>
  <c r="S236" i="39"/>
  <c r="S241" i="39"/>
  <c r="S240" i="39"/>
  <c r="V84" i="38"/>
  <c r="V175" i="38" s="1"/>
  <c r="V174" i="38"/>
  <c r="S256" i="37"/>
  <c r="S256" i="36"/>
  <c r="V84" i="35"/>
  <c r="V175" i="35" s="1"/>
  <c r="V174" i="35"/>
  <c r="S244" i="32"/>
  <c r="U256" i="31"/>
  <c r="U267" i="23"/>
  <c r="U267" i="22"/>
  <c r="V85" i="13"/>
  <c r="V174" i="13" s="1"/>
  <c r="V173" i="13"/>
  <c r="U243" i="9"/>
  <c r="S242" i="2"/>
  <c r="U254" i="3"/>
  <c r="U254" i="2"/>
  <c r="S256" i="44"/>
  <c r="S244" i="42"/>
  <c r="S238" i="38"/>
  <c r="S235" i="38"/>
  <c r="S280" i="37"/>
  <c r="S268" i="36"/>
  <c r="U242" i="32"/>
  <c r="U238" i="32"/>
  <c r="U235" i="32"/>
  <c r="U268" i="31"/>
  <c r="S256" i="27"/>
  <c r="S267" i="26"/>
  <c r="U236" i="44"/>
  <c r="U243" i="26"/>
  <c r="S244" i="28"/>
  <c r="V84" i="43"/>
  <c r="V175" i="43" s="1"/>
  <c r="V174" i="43"/>
  <c r="V84" i="42"/>
  <c r="V175" i="42" s="1"/>
  <c r="V174" i="42"/>
  <c r="V174" i="41"/>
  <c r="V84" i="41"/>
  <c r="V175" i="41" s="1"/>
  <c r="U268" i="46"/>
  <c r="S240" i="40"/>
  <c r="S236" i="40"/>
  <c r="S242" i="40"/>
  <c r="S238" i="40"/>
  <c r="V84" i="37"/>
  <c r="V175" i="37" s="1"/>
  <c r="V174" i="37"/>
  <c r="V84" i="36"/>
  <c r="V175" i="36" s="1"/>
  <c r="V174" i="36"/>
  <c r="U244" i="15"/>
  <c r="U243" i="11"/>
  <c r="S242" i="5"/>
  <c r="S254" i="5"/>
  <c r="S242" i="3"/>
  <c r="S254" i="2"/>
  <c r="U256" i="42"/>
  <c r="S241" i="38"/>
  <c r="S242" i="38"/>
  <c r="U244" i="33"/>
  <c r="U237" i="32"/>
  <c r="U241" i="32"/>
  <c r="U236" i="42"/>
  <c r="U244" i="30"/>
  <c r="S236" i="38"/>
  <c r="U268" i="50"/>
  <c r="U235" i="50"/>
  <c r="U240" i="50"/>
  <c r="U242" i="50"/>
  <c r="U237" i="50"/>
  <c r="U236" i="50"/>
  <c r="U238" i="50"/>
  <c r="U256" i="50"/>
  <c r="S256" i="50"/>
  <c r="S244" i="50"/>
  <c r="T205" i="53" l="1"/>
  <c r="T206" i="53" s="1"/>
  <c r="T206" i="57"/>
  <c r="T207" i="57" s="1"/>
  <c r="T206" i="56"/>
  <c r="T207" i="56" s="1"/>
  <c r="T206" i="55"/>
  <c r="T207" i="55" s="1"/>
  <c r="T206" i="54"/>
  <c r="T207" i="54" s="1"/>
  <c r="U244" i="34"/>
  <c r="V181" i="9"/>
  <c r="S179" i="10"/>
  <c r="U244" i="36"/>
  <c r="S244" i="31"/>
  <c r="S244" i="37"/>
  <c r="U244" i="48"/>
  <c r="S244" i="34"/>
  <c r="U244" i="49"/>
  <c r="S244" i="29"/>
  <c r="S244" i="30"/>
  <c r="U243" i="19"/>
  <c r="U244" i="44"/>
  <c r="S243" i="26"/>
  <c r="S243" i="18"/>
  <c r="U244" i="40"/>
  <c r="S244" i="49"/>
  <c r="U244" i="37"/>
  <c r="U243" i="22"/>
  <c r="S244" i="36"/>
  <c r="U244" i="35"/>
  <c r="T200" i="52"/>
  <c r="T201" i="52" s="1"/>
  <c r="T200" i="46"/>
  <c r="T201" i="46" s="1"/>
  <c r="T200" i="42"/>
  <c r="T201" i="42" s="1"/>
  <c r="T198" i="4"/>
  <c r="T199" i="4" s="1"/>
  <c r="T198" i="1"/>
  <c r="T199" i="21"/>
  <c r="T200" i="21" s="1"/>
  <c r="T199" i="17"/>
  <c r="T200" i="17" s="1"/>
  <c r="T200" i="15"/>
  <c r="T201" i="15" s="1"/>
  <c r="T200" i="31"/>
  <c r="T201" i="31" s="1"/>
  <c r="T199" i="23"/>
  <c r="T200" i="23" s="1"/>
  <c r="T199" i="6"/>
  <c r="T200" i="6" s="1"/>
  <c r="T199" i="24"/>
  <c r="T200" i="24" s="1"/>
  <c r="T200" i="40"/>
  <c r="T201" i="40" s="1"/>
  <c r="T199" i="18"/>
  <c r="T200" i="18" s="1"/>
  <c r="T199" i="19"/>
  <c r="T200" i="19" s="1"/>
  <c r="T199" i="10"/>
  <c r="T200" i="10" s="1"/>
  <c r="T200" i="28"/>
  <c r="T201" i="28" s="1"/>
  <c r="T200" i="29"/>
  <c r="T201" i="29" s="1"/>
  <c r="T200" i="27"/>
  <c r="T201" i="27" s="1"/>
  <c r="T200" i="39"/>
  <c r="T201" i="39" s="1"/>
  <c r="T198" i="2"/>
  <c r="T199" i="2" s="1"/>
  <c r="T199" i="7"/>
  <c r="T200" i="7" s="1"/>
  <c r="T199" i="13"/>
  <c r="T200" i="13" s="1"/>
  <c r="T200" i="16"/>
  <c r="T201" i="16" s="1"/>
  <c r="T200" i="30"/>
  <c r="T201" i="30" s="1"/>
  <c r="T199" i="25"/>
  <c r="T200" i="25" s="1"/>
  <c r="T199" i="9"/>
  <c r="T200" i="9" s="1"/>
  <c r="T198" i="5"/>
  <c r="T199" i="5" s="1"/>
  <c r="T200" i="32"/>
  <c r="T201" i="32" s="1"/>
  <c r="T200" i="37"/>
  <c r="T201" i="37" s="1"/>
  <c r="T200" i="35"/>
  <c r="T201" i="35" s="1"/>
  <c r="T200" i="38"/>
  <c r="T201" i="38" s="1"/>
  <c r="T199" i="11"/>
  <c r="T200" i="11" s="1"/>
  <c r="T199" i="22"/>
  <c r="T200" i="22" s="1"/>
  <c r="T199" i="20"/>
  <c r="T200" i="20" s="1"/>
  <c r="T200" i="36"/>
  <c r="T201" i="36" s="1"/>
  <c r="T200" i="41"/>
  <c r="T201" i="41" s="1"/>
  <c r="T200" i="14"/>
  <c r="T201" i="14" s="1"/>
  <c r="T200" i="33"/>
  <c r="T201" i="33" s="1"/>
  <c r="T198" i="3"/>
  <c r="T199" i="3" s="1"/>
  <c r="T199" i="12"/>
  <c r="T200" i="12" s="1"/>
  <c r="T200" i="34"/>
  <c r="T201" i="34" s="1"/>
  <c r="T199" i="26"/>
  <c r="T200" i="26" s="1"/>
  <c r="T200" i="48"/>
  <c r="T201" i="48" s="1"/>
  <c r="T200" i="43"/>
  <c r="T201" i="43" s="1"/>
  <c r="T200" i="51"/>
  <c r="T201" i="51" s="1"/>
  <c r="T200" i="47"/>
  <c r="T201" i="47" s="1"/>
  <c r="T200" i="44"/>
  <c r="T201" i="44" s="1"/>
  <c r="T200" i="49"/>
  <c r="T201" i="49" s="1"/>
  <c r="T200" i="45"/>
  <c r="T201" i="45" s="1"/>
  <c r="T200" i="50"/>
  <c r="T201" i="50" s="1"/>
  <c r="U244" i="42"/>
  <c r="S244" i="39"/>
  <c r="S244" i="48"/>
  <c r="S243" i="20"/>
  <c r="S243" i="17"/>
  <c r="U244" i="46"/>
  <c r="S243" i="19"/>
  <c r="S181" i="10"/>
  <c r="V179" i="10"/>
  <c r="U244" i="45"/>
  <c r="U243" i="21"/>
  <c r="U244" i="39"/>
  <c r="S243" i="21"/>
  <c r="S244" i="45"/>
  <c r="U244" i="41"/>
  <c r="U243" i="18"/>
  <c r="U244" i="27"/>
  <c r="S244" i="40"/>
  <c r="U244" i="32"/>
  <c r="S244" i="38"/>
  <c r="U244" i="50"/>
  <c r="S179" i="11" l="1"/>
  <c r="V181" i="10"/>
  <c r="S182" i="10"/>
  <c r="V179" i="11" l="1"/>
  <c r="S181" i="11"/>
  <c r="S182" i="11" l="1"/>
  <c r="V181" i="11"/>
  <c r="S179" i="12"/>
  <c r="V179" i="12" l="1"/>
  <c r="S181" i="12"/>
  <c r="V181" i="12" l="1"/>
  <c r="S182" i="12"/>
  <c r="S179" i="13"/>
  <c r="S181" i="13" l="1"/>
  <c r="V179" i="13"/>
  <c r="V181" i="13" l="1"/>
  <c r="S182" i="13"/>
  <c r="S180" i="14"/>
  <c r="S182" i="14" l="1"/>
  <c r="V180" i="14"/>
  <c r="S183" i="14" l="1"/>
  <c r="S180" i="15"/>
  <c r="V182" i="14"/>
  <c r="S182" i="15" l="1"/>
  <c r="V180" i="15"/>
  <c r="S183" i="15" l="1"/>
  <c r="V182" i="15"/>
  <c r="S180" i="16"/>
  <c r="V180" i="16" l="1"/>
  <c r="S182" i="16"/>
  <c r="S183" i="16" l="1"/>
  <c r="V182" i="16"/>
  <c r="S179" i="17"/>
  <c r="S181" i="17" l="1"/>
  <c r="V179" i="17"/>
  <c r="V181" i="17" l="1"/>
  <c r="S182" i="17"/>
  <c r="S179" i="18"/>
  <c r="S181" i="18" l="1"/>
  <c r="V179" i="18"/>
  <c r="V181" i="18" l="1"/>
  <c r="S182" i="18"/>
  <c r="S179" i="19"/>
  <c r="S181" i="19" l="1"/>
  <c r="V179" i="19"/>
  <c r="V181" i="19" l="1"/>
  <c r="S182" i="19"/>
  <c r="S179" i="20"/>
  <c r="S181" i="20" l="1"/>
  <c r="V179" i="20"/>
  <c r="V181" i="20" l="1"/>
  <c r="S182" i="20"/>
  <c r="S179" i="21"/>
  <c r="S181" i="21" l="1"/>
  <c r="V179" i="21"/>
  <c r="V181" i="21" l="1"/>
  <c r="S182" i="21"/>
  <c r="S179" i="22"/>
  <c r="V179" i="22" l="1"/>
  <c r="S181" i="22"/>
  <c r="S182" i="22" l="1"/>
  <c r="V181" i="22"/>
  <c r="S179" i="23"/>
  <c r="V179" i="23" l="1"/>
  <c r="S181" i="23"/>
  <c r="S182" i="23" l="1"/>
  <c r="V181" i="23"/>
  <c r="S179" i="24"/>
  <c r="S181" i="24" l="1"/>
  <c r="V179" i="24"/>
  <c r="S182" i="24" l="1"/>
  <c r="V181" i="24"/>
  <c r="S179" i="25"/>
  <c r="S181" i="25" l="1"/>
  <c r="V179" i="25"/>
  <c r="V181" i="25" l="1"/>
  <c r="S182" i="25"/>
  <c r="S179" i="26"/>
  <c r="S181" i="26" l="1"/>
  <c r="V179" i="26"/>
  <c r="V181" i="26" l="1"/>
  <c r="S182" i="26"/>
  <c r="S180" i="27"/>
  <c r="S182" i="27" l="1"/>
  <c r="V180" i="27"/>
  <c r="V182" i="27" l="1"/>
  <c r="S183" i="27"/>
  <c r="S180" i="28"/>
  <c r="S182" i="28" l="1"/>
  <c r="V180" i="28"/>
  <c r="S183" i="28" l="1"/>
  <c r="V182" i="28"/>
  <c r="S180" i="29"/>
  <c r="S182" i="29" l="1"/>
  <c r="V180" i="29"/>
  <c r="S183" i="29" l="1"/>
  <c r="V182" i="29"/>
  <c r="S180" i="30"/>
  <c r="S182" i="30" l="1"/>
  <c r="V180" i="30"/>
  <c r="S183" i="30" l="1"/>
  <c r="V182" i="30"/>
  <c r="S180" i="31"/>
  <c r="S182" i="31" l="1"/>
  <c r="V180" i="31"/>
  <c r="S183" i="31" l="1"/>
  <c r="V182" i="31"/>
  <c r="S180" i="32"/>
  <c r="V180" i="32" l="1"/>
  <c r="S182" i="32"/>
  <c r="V182" i="32" l="1"/>
  <c r="S183" i="32"/>
  <c r="S180" i="33"/>
  <c r="S182" i="33" l="1"/>
  <c r="V180" i="33"/>
  <c r="V182" i="33" l="1"/>
  <c r="S183" i="33"/>
  <c r="S180" i="34"/>
  <c r="S182" i="34" l="1"/>
  <c r="V180" i="34"/>
  <c r="V182" i="34" l="1"/>
  <c r="S183" i="34"/>
  <c r="S180" i="35"/>
  <c r="S182" i="35" l="1"/>
  <c r="V180" i="35"/>
  <c r="V182" i="35" l="1"/>
  <c r="S183" i="35"/>
  <c r="S180" i="36"/>
  <c r="V180" i="36" l="1"/>
  <c r="S182" i="36"/>
  <c r="V182" i="36" l="1"/>
  <c r="S183" i="36"/>
  <c r="S180" i="37"/>
  <c r="S182" i="37" l="1"/>
  <c r="V180" i="37"/>
  <c r="V182" i="37" l="1"/>
  <c r="S183" i="37"/>
  <c r="S180" i="38"/>
  <c r="V180" i="38" l="1"/>
  <c r="S182" i="38"/>
  <c r="V182" i="38" l="1"/>
  <c r="S183" i="38"/>
  <c r="S180" i="39"/>
  <c r="V180" i="39" l="1"/>
  <c r="S182" i="39"/>
  <c r="S183" i="39" l="1"/>
  <c r="S180" i="40"/>
  <c r="V182" i="39"/>
  <c r="V180" i="40" l="1"/>
  <c r="S182" i="40"/>
  <c r="V182" i="40" l="1"/>
  <c r="S180" i="41"/>
  <c r="S183" i="40"/>
  <c r="S182" i="41" l="1"/>
  <c r="V180" i="41"/>
  <c r="S183" i="41" l="1"/>
  <c r="S180" i="42"/>
  <c r="V182" i="41"/>
  <c r="S182" i="42" l="1"/>
  <c r="V180" i="42"/>
  <c r="S183" i="42" l="1"/>
  <c r="S180" i="43"/>
  <c r="V182" i="42"/>
  <c r="S182" i="43" l="1"/>
  <c r="V180" i="43"/>
  <c r="S183" i="43" l="1"/>
  <c r="S180" i="44"/>
  <c r="V182" i="43"/>
  <c r="V180" i="44" l="1"/>
  <c r="S182" i="44"/>
  <c r="S183" i="44" l="1"/>
  <c r="S180" i="45"/>
  <c r="V182" i="44"/>
  <c r="S182" i="45" l="1"/>
  <c r="V180" i="45"/>
  <c r="S183" i="45" l="1"/>
  <c r="S180" i="46"/>
  <c r="V182" i="45"/>
  <c r="V180" i="46" l="1"/>
  <c r="S182" i="46"/>
  <c r="S183" i="46" l="1"/>
  <c r="S180" i="47"/>
  <c r="V182" i="46"/>
  <c r="V180" i="47" l="1"/>
  <c r="S182" i="47"/>
  <c r="S183" i="47" l="1"/>
  <c r="V182" i="47"/>
  <c r="S180" i="48"/>
  <c r="S182" i="48" l="1"/>
  <c r="V180" i="48"/>
  <c r="S183" i="48" l="1"/>
  <c r="S180" i="49"/>
  <c r="V182" i="48"/>
  <c r="S182" i="49" l="1"/>
  <c r="V180" i="49"/>
  <c r="S183" i="49" l="1"/>
  <c r="S180" i="50"/>
  <c r="V182" i="49"/>
  <c r="S182" i="50" l="1"/>
  <c r="V180" i="50"/>
  <c r="S183" i="50" l="1"/>
  <c r="V182" i="50"/>
  <c r="S180" i="51"/>
  <c r="S182" i="51" l="1"/>
  <c r="V180" i="51"/>
  <c r="S180" i="52" l="1"/>
  <c r="V182" i="51"/>
  <c r="S183" i="51"/>
  <c r="V180" i="52" l="1"/>
  <c r="S182" i="52"/>
  <c r="S185" i="53" s="1"/>
  <c r="S187" i="53" l="1"/>
  <c r="S186" i="54" s="1"/>
  <c r="V185" i="53"/>
  <c r="V182" i="52"/>
  <c r="S183" i="52"/>
  <c r="V186" i="54" l="1"/>
  <c r="S188" i="54"/>
  <c r="V187" i="53"/>
  <c r="S188" i="53"/>
  <c r="V188" i="54" l="1"/>
  <c r="S186" i="55"/>
  <c r="S189" i="54"/>
  <c r="V186" i="55" l="1"/>
  <c r="S188" i="55"/>
  <c r="V188" i="55" l="1"/>
  <c r="S186" i="56"/>
  <c r="S189" i="55"/>
  <c r="S188" i="56" l="1"/>
  <c r="V186" i="56"/>
  <c r="V188" i="56" l="1"/>
  <c r="S186" i="57"/>
  <c r="S189" i="56"/>
  <c r="S188" i="57" l="1"/>
  <c r="V186" i="57"/>
  <c r="S189" i="57" l="1"/>
  <c r="V188" i="57"/>
</calcChain>
</file>

<file path=xl/sharedStrings.xml><?xml version="1.0" encoding="utf-8"?>
<sst xmlns="http://schemas.openxmlformats.org/spreadsheetml/2006/main" count="29097" uniqueCount="467">
  <si>
    <t>Summary Transaction  Features</t>
  </si>
  <si>
    <t>Name of Issuer</t>
  </si>
  <si>
    <t>Originator % at Closing</t>
  </si>
  <si>
    <t xml:space="preserve">Originator % at the Quarter End </t>
  </si>
  <si>
    <t>Date of Issue</t>
  </si>
  <si>
    <t>Date of Production</t>
  </si>
  <si>
    <t>Security Level Data</t>
  </si>
  <si>
    <t>Moody's Rating at Closing</t>
  </si>
  <si>
    <t>Standard &amp; Poor's Rating at Closing</t>
  </si>
  <si>
    <t>Current Moody's Rating</t>
  </si>
  <si>
    <t>ISIN</t>
  </si>
  <si>
    <t xml:space="preserve">Note Interest Margins: </t>
  </si>
  <si>
    <t>Current Note Interest Rates:</t>
  </si>
  <si>
    <t>Previous Note Interest Rates:</t>
  </si>
  <si>
    <t>Optional Redemption (Call) Dates</t>
  </si>
  <si>
    <t>Step-up Dates</t>
  </si>
  <si>
    <t>Record Date</t>
  </si>
  <si>
    <t>Asset Movements</t>
  </si>
  <si>
    <t>Mortgages</t>
  </si>
  <si>
    <t>Current Principal Balance (£'000)</t>
  </si>
  <si>
    <t>Accrued Arrears and Interest Sold to Issuer (£'000)</t>
  </si>
  <si>
    <t>Total (£'000)</t>
  </si>
  <si>
    <t>Consumer Loans</t>
  </si>
  <si>
    <t>Credit Enhancement</t>
  </si>
  <si>
    <t>Spread Trap</t>
  </si>
  <si>
    <t>Unreplenished Losses on Mortgages</t>
  </si>
  <si>
    <t>Outstanding Note Principal</t>
  </si>
  <si>
    <t>Principal/Revenue Analysis</t>
  </si>
  <si>
    <t>Opening cash balance</t>
  </si>
  <si>
    <t xml:space="preserve">Total principal cash received this period from assets </t>
  </si>
  <si>
    <t>Initial income for distribution this period</t>
  </si>
  <si>
    <t>Revenue adjustment for payment of Accrued Arrears and Interest Sold at closing</t>
  </si>
  <si>
    <t>Final income for distribution this period</t>
  </si>
  <si>
    <t>Revenue payments made or accrued from Revenue Income:</t>
  </si>
  <si>
    <t>Accrued Arrears and Interest not Sold to Issuer</t>
  </si>
  <si>
    <t>Third Party payments for Corporation Tax and VAT</t>
  </si>
  <si>
    <t>Termination Fees to Swap Provider</t>
  </si>
  <si>
    <t>Cap/Swap Retention fund</t>
  </si>
  <si>
    <t>Principal payments made from Principal Income:</t>
  </si>
  <si>
    <t>Discretionary Further Advances</t>
  </si>
  <si>
    <t>Total payments to be made this quarter</t>
  </si>
  <si>
    <t>Total closing cash balance</t>
  </si>
  <si>
    <t>Available Credit Enhancement</t>
  </si>
  <si>
    <t>First Loss Fund Analysis</t>
  </si>
  <si>
    <t>First Loss Fund at Closing</t>
  </si>
  <si>
    <t>Last Quarter closing First Loss Fund balance</t>
  </si>
  <si>
    <t>PDL Replenishment</t>
  </si>
  <si>
    <t>Closing First Loss Fund Balance</t>
  </si>
  <si>
    <t>Requirement</t>
  </si>
  <si>
    <t>Build up - prior periods</t>
  </si>
  <si>
    <t>Build up - this period</t>
  </si>
  <si>
    <t>Requirement Outstanding</t>
  </si>
  <si>
    <t>Principal Deficiency Ledger (PDL)</t>
  </si>
  <si>
    <t>Opening PDL Balance</t>
  </si>
  <si>
    <t>Losses this quarter</t>
  </si>
  <si>
    <t>Total PDL balance</t>
  </si>
  <si>
    <t>Closing PDL Balance</t>
  </si>
  <si>
    <t>Over Collateralisation</t>
  </si>
  <si>
    <t>Current Principal Balance Outstanding and Accrued Arrears (£'000)</t>
  </si>
  <si>
    <t>Outstanding Note Principal (£'000)</t>
  </si>
  <si>
    <t>Mandatory and Discretionary Further Advances (FA's)</t>
  </si>
  <si>
    <t>Total FA's permitted</t>
  </si>
  <si>
    <t>FA's made to last quarter</t>
  </si>
  <si>
    <t>FA's made this quarter</t>
  </si>
  <si>
    <t>Total FA's made to date</t>
  </si>
  <si>
    <t>Remaining permitted FA's</t>
  </si>
  <si>
    <t xml:space="preserve">Cash Flow Interest Coverage </t>
  </si>
  <si>
    <t>Cover Ratio for Class A Notes (at last Interest Payment Date)</t>
  </si>
  <si>
    <t xml:space="preserve">Cover Ratio for Class A Notes (cumulative) </t>
  </si>
  <si>
    <t>Cover Ratio for Class B Notes (at last Interest Payment Date)</t>
  </si>
  <si>
    <t xml:space="preserve">Cover Ratio for Class B Notes (cumulative) </t>
  </si>
  <si>
    <t>Collateral Level Data</t>
  </si>
  <si>
    <t>Original Weighted Average Yield</t>
  </si>
  <si>
    <t>Original Spread</t>
  </si>
  <si>
    <t>Current Weighted Average Yield</t>
  </si>
  <si>
    <t>Current Spread</t>
  </si>
  <si>
    <t>Original Weighted Average Maturity</t>
  </si>
  <si>
    <t>Current Weighted Average Maturity</t>
  </si>
  <si>
    <t>Quarterly Prepayment Rate</t>
  </si>
  <si>
    <t>Life Time Prepayment Rate</t>
  </si>
  <si>
    <t>Delinquency Status</t>
  </si>
  <si>
    <t>Enforcements in Progress</t>
  </si>
  <si>
    <t>Enforcements Completed</t>
  </si>
  <si>
    <t>Aggregate Principal Balance of Repurchased Loans</t>
  </si>
  <si>
    <t>Aggregate Balance of Substituted Loans</t>
  </si>
  <si>
    <t>Principal Losses</t>
  </si>
  <si>
    <t>Agg Loan Principal Losses (during related Collection Period)</t>
  </si>
  <si>
    <t>Cumulative Principal Losses (since closing date)</t>
  </si>
  <si>
    <t>Average Number of months in Arrears @ Redemption date</t>
  </si>
  <si>
    <t>Average months between Possession &amp; Redemption</t>
  </si>
  <si>
    <t>Performing</t>
  </si>
  <si>
    <t>&gt;1&lt;=2 Months</t>
  </si>
  <si>
    <t>&gt;2&lt;=3 Months</t>
  </si>
  <si>
    <t>Contact Name/Address</t>
  </si>
  <si>
    <t>John Harvey, St. Catherines Court, Herbert Road, Solihull, West Midlands, B91 3QE</t>
  </si>
  <si>
    <t>Jimmy Giles, St. Catherines Court, Herbert Road, Solihull, West Midlands, B91 3QE</t>
  </si>
  <si>
    <t>As at Closing</t>
  </si>
  <si>
    <t>PDD =</t>
  </si>
  <si>
    <t>Last Quarter Balance</t>
  </si>
  <si>
    <t>Tel.</t>
  </si>
  <si>
    <t>This Quarter Redemptions and Repayments</t>
  </si>
  <si>
    <t>E-mail</t>
  </si>
  <si>
    <t>Additions this quarter</t>
  </si>
  <si>
    <t>DFA's</t>
  </si>
  <si>
    <t>No.</t>
  </si>
  <si>
    <t>%</t>
  </si>
  <si>
    <t>PML</t>
  </si>
  <si>
    <t>Senior/Subordinate</t>
  </si>
  <si>
    <t>Class A Notes</t>
  </si>
  <si>
    <t>Repurchases this quarter</t>
  </si>
  <si>
    <t>Principal (£'000)</t>
  </si>
  <si>
    <t>£'000 Value</t>
  </si>
  <si>
    <t>n/a</t>
  </si>
  <si>
    <t>£'000 Principal</t>
  </si>
  <si>
    <t>=</t>
  </si>
  <si>
    <t>years</t>
  </si>
  <si>
    <t>Quarterly</t>
  </si>
  <si>
    <t>Current Principal Outstanding</t>
  </si>
  <si>
    <t>Revenue (£'000)</t>
  </si>
  <si>
    <t>Total</t>
  </si>
  <si>
    <t>x</t>
  </si>
  <si>
    <t>Payments to Swap Counterparty</t>
  </si>
  <si>
    <t>Pre Funding Reserve</t>
  </si>
  <si>
    <t>N/A</t>
  </si>
  <si>
    <t>Note Step-Up Margins</t>
  </si>
  <si>
    <t>ACTUAL/360</t>
  </si>
  <si>
    <t>Previous Quarterly Interest Period (No. of Days)</t>
  </si>
  <si>
    <t>Current Quarterly Interest Period (No. of Days)</t>
  </si>
  <si>
    <t>A Note Interest / Currency Swap Interest</t>
  </si>
  <si>
    <t>B Note Interest / Currency Swap Interest</t>
  </si>
  <si>
    <t>First Loss Fund Replenishment</t>
  </si>
  <si>
    <t>Surplus income to the Issuer</t>
  </si>
  <si>
    <t>4 (a)</t>
  </si>
  <si>
    <t>4 (b)</t>
  </si>
  <si>
    <t>Replenishments from excess Revenue cash</t>
  </si>
  <si>
    <t>Current Pool Factor</t>
  </si>
  <si>
    <t>Previous Pool Factor</t>
  </si>
  <si>
    <t xml:space="preserve">Previous Outstanding Note Principal </t>
  </si>
  <si>
    <t>Original Issue Amount ('000)</t>
  </si>
  <si>
    <t xml:space="preserve">Current Outstanding Note Principal </t>
  </si>
  <si>
    <t>First Loss Fund Drawings</t>
  </si>
  <si>
    <t>Drawings this quarter to fund</t>
  </si>
  <si>
    <t>N.B. This data fact sheet and its notes can only be a summary of certain features of the bonds and their structure. No representation can be made that the information herein is accurate or complete and no liability is accepted therefor. Reference should be made to the issued</t>
  </si>
  <si>
    <t xml:space="preserve">information herein when making any decision whether to buy, hold or sell bonds (or other securities) or for any other purpose. </t>
  </si>
  <si>
    <t>documentation for a full description of the bonds and their structure. This data fact sheet and its notes are for information purposes only and are not intended as an offer or invitation with respect to the purchase or sale of any security. Reliance should not be placed on the</t>
  </si>
  <si>
    <t>MTL</t>
  </si>
  <si>
    <t>Aaa</t>
  </si>
  <si>
    <t>A2</t>
  </si>
  <si>
    <t>AAA</t>
  </si>
  <si>
    <t>A</t>
  </si>
  <si>
    <t>Appointment of a Receiver of Rent</t>
  </si>
  <si>
    <t>Available Redemption Funds</t>
  </si>
  <si>
    <t>+44 (0) 121 712 2315</t>
  </si>
  <si>
    <t>+44 (0) 121 712 3894</t>
  </si>
  <si>
    <t xml:space="preserve">Junior Administration Fee to PFPLC and MTS </t>
  </si>
  <si>
    <t>4 (c)</t>
  </si>
  <si>
    <t>Original Weighted Average Note Coupon and Currency Swap Rate</t>
  </si>
  <si>
    <t>john.harvey@paragon-group.co.uk</t>
  </si>
  <si>
    <t>jimmy.giles@paragon-group.co.uk</t>
  </si>
  <si>
    <t>ACTUAL/365</t>
  </si>
  <si>
    <t>Facility at Closing</t>
  </si>
  <si>
    <t>&gt;3&lt;=4 Months</t>
  </si>
  <si>
    <t>&gt;4&lt;=5 Months</t>
  </si>
  <si>
    <t>&gt;5&lt;=6 Months</t>
  </si>
  <si>
    <t>&gt;6&lt;=12 Months</t>
  </si>
  <si>
    <t>&gt;12 Months</t>
  </si>
  <si>
    <t>Funding of MTL payment holidays</t>
  </si>
  <si>
    <t>Delinquency Summary (Excluding Receiver of Rent and Possession Cases)</t>
  </si>
  <si>
    <t>Delinquency Summary (For Receiver of Rent and Possession Cases)</t>
  </si>
  <si>
    <t>Delinquency Summary (For Possession Cases)</t>
  </si>
  <si>
    <t>Total Assets</t>
  </si>
  <si>
    <t>AA</t>
  </si>
  <si>
    <t xml:space="preserve">FOR FURTHER ASSISTANCE ON THE INVESTOR REPORTS, PLEASE REFER TO THE "INVESTOR TERMS" POSTED ON THE PARAGON WEBSITE   </t>
  </si>
  <si>
    <t>http://www.paragon-group.co.uk</t>
  </si>
  <si>
    <t xml:space="preserve">FOR ADDITIONAL INFORMATION ON THE UNDERLYING ASSETS, PLEASE REFER TO THE "POOL TABLES" AND "SUMMARY" SECTIONS POSTED ON THE PARAGON WEBSITE  </t>
  </si>
  <si>
    <t>Class B and C Notes as a percentage Class A Notes at issue</t>
  </si>
  <si>
    <t>Outstanding Class B and C Notes as a percentage of Outstanding Class A Notes</t>
  </si>
  <si>
    <t>Determination Event for Paying Class B and C Notes</t>
  </si>
  <si>
    <t>Drawings used to fund Mandatory Further Advances during the period</t>
  </si>
  <si>
    <t>PML Mandatory Further Advances</t>
  </si>
  <si>
    <t>MTL Mandatory Further Advances</t>
  </si>
  <si>
    <t>C Note Interest / Currency Swap Interest</t>
  </si>
  <si>
    <t>MFA's (PML)</t>
  </si>
  <si>
    <t>Class A1 Notes</t>
  </si>
  <si>
    <t>Class A2a Notes</t>
  </si>
  <si>
    <t>Class A2b Notes</t>
  </si>
  <si>
    <t>Class B1a Notes</t>
  </si>
  <si>
    <t>Class B1b Notes</t>
  </si>
  <si>
    <t>Class C1b Notes</t>
  </si>
  <si>
    <t>Aa2</t>
  </si>
  <si>
    <t>A2a Note Interest</t>
  </si>
  <si>
    <t>B1b Swap Currency Interest</t>
  </si>
  <si>
    <t>B1a Note Interest</t>
  </si>
  <si>
    <t>C1b Swap Currency repayment</t>
  </si>
  <si>
    <t>B1b Swap Currency repayment</t>
  </si>
  <si>
    <t>B1a Note repayment</t>
  </si>
  <si>
    <t>Fitch Rating at Closing</t>
  </si>
  <si>
    <t>Current Standard &amp; Poor's Rating</t>
  </si>
  <si>
    <t>Current Fitch Rating</t>
  </si>
  <si>
    <t xml:space="preserve"> </t>
  </si>
  <si>
    <t>A2b Swap Currency repayment</t>
  </si>
  <si>
    <t>A2a Note repayment</t>
  </si>
  <si>
    <t>C1b Swap Currency Interest</t>
  </si>
  <si>
    <t>A1 Swap Currency repayment</t>
  </si>
  <si>
    <t>Cover Ratio for Class C Notes (at last Interest Payment Date)</t>
  </si>
  <si>
    <t xml:space="preserve">Cover Ratio for Class C Notes (cumulative) </t>
  </si>
  <si>
    <t>TBA</t>
  </si>
  <si>
    <t>Quarterly Interest Payment Date</t>
  </si>
  <si>
    <t>Class A1 Interest Payment Cycle</t>
  </si>
  <si>
    <t>Monthly</t>
  </si>
  <si>
    <t>Senior Administration Fee to PFPLC and MTS/ Out of pocket expenses/ Substitute Administrators Commitment Fee</t>
  </si>
  <si>
    <t>5 (a)</t>
  </si>
  <si>
    <t>5 (b)</t>
  </si>
  <si>
    <t>6 (a)</t>
  </si>
  <si>
    <t>Stated Maturity - Class A Notes</t>
  </si>
  <si>
    <t>Stated Maturity - Class B Notes</t>
  </si>
  <si>
    <t>Stated Maturity - Class C Notes</t>
  </si>
  <si>
    <t>Redemption Income</t>
  </si>
  <si>
    <t>Investment Income</t>
  </si>
  <si>
    <t>P-1/Aaa</t>
  </si>
  <si>
    <t>A-1+/AAA</t>
  </si>
  <si>
    <t>F1+/AAA</t>
  </si>
  <si>
    <t>Quarterly Interest Income</t>
  </si>
  <si>
    <t>Receiver of Rent Properties Sold</t>
  </si>
  <si>
    <t>Average Number of months in Arrears @ Sale date</t>
  </si>
  <si>
    <t>Current Weighted Average Note Coupon and Currency Swap Rate</t>
  </si>
  <si>
    <t>Paragon Mortgages (No.12) PLC</t>
  </si>
  <si>
    <t>This performance report is issued by Paragon Finance PLC for and on behalf of Paragon Mortgages (No.12) PLC</t>
  </si>
  <si>
    <t>PM12 PLC</t>
  </si>
  <si>
    <t>PM12 INVESTOR REPORT QUARTER ENDING OCTOBER 2006</t>
  </si>
  <si>
    <t>Replenishments from drawings on the PM12/PFPLC/MTS Subordinated Loan</t>
  </si>
  <si>
    <t>Class A2c Notes</t>
  </si>
  <si>
    <t>Class C1a Notes</t>
  </si>
  <si>
    <t>Drawing on the PFPLC/MTS/PM12 Subordinated Loan for Interest Shortfalls</t>
  </si>
  <si>
    <t>Minus 2 bp</t>
  </si>
  <si>
    <t>12 bp</t>
  </si>
  <si>
    <t>11 bp</t>
  </si>
  <si>
    <t>24 bp</t>
  </si>
  <si>
    <t>46 bp</t>
  </si>
  <si>
    <t>22 bp</t>
  </si>
  <si>
    <t>48 bp</t>
  </si>
  <si>
    <t>92 bp</t>
  </si>
  <si>
    <t>23 bp</t>
  </si>
  <si>
    <t>26 bp</t>
  </si>
  <si>
    <t>50 bp</t>
  </si>
  <si>
    <t>97 bp</t>
  </si>
  <si>
    <t>XS0261644941</t>
  </si>
  <si>
    <t>US69913BAA44</t>
  </si>
  <si>
    <t>XS0261646136</t>
  </si>
  <si>
    <t>XS0261646565</t>
  </si>
  <si>
    <t>XS0261647027</t>
  </si>
  <si>
    <t>US69913BAB27</t>
  </si>
  <si>
    <t>XS0261647886</t>
  </si>
  <si>
    <t>XS0261648850</t>
  </si>
  <si>
    <t>XS0261650161</t>
  </si>
  <si>
    <t>XS0261650674</t>
  </si>
  <si>
    <t>A1, A2b and A2c Swap Currency Interest</t>
  </si>
  <si>
    <t>C1a Note Interest</t>
  </si>
  <si>
    <t>6 (b)</t>
  </si>
  <si>
    <t>Trustee Fee/Tender Agent Fees/ Costs and Expenses claimed by the Remarketing Agent and the A1 Conditional Purchaser</t>
  </si>
  <si>
    <t>A2c Swap Currency repayment</t>
  </si>
  <si>
    <t>C1a Note repayment</t>
  </si>
  <si>
    <t>Class A2a, B1a and C1a Interest Calculated on</t>
  </si>
  <si>
    <t>Class A1, A2b, A2c, B1b and C1b Interest Calculated on</t>
  </si>
  <si>
    <t>Class A2a, A2b, A2c B1a, B1b, C1a and C1b Interest Payment Cycle</t>
  </si>
  <si>
    <t>25 bp</t>
  </si>
  <si>
    <t>13.bp</t>
  </si>
  <si>
    <t>12.bp</t>
  </si>
  <si>
    <t xml:space="preserve"> 0 bp</t>
  </si>
  <si>
    <t>Flexile Drawing Facilty (Not Applicable to PM12)</t>
  </si>
  <si>
    <t>Closing Flexible Drawing Facility Balance</t>
  </si>
  <si>
    <t>Total Income as a % of the Total Assets</t>
  </si>
  <si>
    <t>PM12 INVESTOR REPORT QUARTER ENDING JANUARY 2007</t>
  </si>
  <si>
    <t>Swap receipts</t>
  </si>
  <si>
    <t>PM12 INVESTOR REPORT QUARTER ENDING APRIL 2007</t>
  </si>
  <si>
    <t>PM12 INVESTOR REPORT QUARTER ENDING JULY 2007</t>
  </si>
  <si>
    <t>Minus 1 bp</t>
  </si>
  <si>
    <t>Andrew Kitching, St. Catherines Court, Herbert Road, Solihull, West Midlands, B91 3QE</t>
  </si>
  <si>
    <t>+44 (0) 121 712 3896</t>
  </si>
  <si>
    <t>andrew.kitching@paragon-group.co.uk</t>
  </si>
  <si>
    <t>PM12 INVESTOR REPORT QUARTER ENDING OCTOBER 2007</t>
  </si>
  <si>
    <t>PM12 INVESTOR REPORT QUARTER ENDING JANUARY 2008</t>
  </si>
  <si>
    <t>Accrual from Revenue for potential Losses</t>
  </si>
  <si>
    <t>Delinquency Summary (For Receiver of Rent Cases)</t>
  </si>
  <si>
    <t>PM12 INVESTOR REPORT QUARTER ENDING APRIL 2008</t>
  </si>
  <si>
    <t>PM12 INVESTOR REPORT QUARTER ENDING JULY 2008</t>
  </si>
  <si>
    <t>14 bp</t>
  </si>
  <si>
    <t>PM12 INVESTOR REPORT QUARTER ENDING OCTOBER 2008</t>
  </si>
  <si>
    <t>PM12 INVESTOR REPORT QUARTER ENDING JANUARY 2009</t>
  </si>
  <si>
    <t>PM12 INVESTOR REPORT QUARTER ENDING APRIL 2009</t>
  </si>
  <si>
    <t>Properties Sold by Mortgagee - Outstanding Principal Balance</t>
  </si>
  <si>
    <t>PM12 INVESTOR REPORT QUARTER ENDING JULY 2009</t>
  </si>
  <si>
    <t>Possession Properties Sold</t>
  </si>
  <si>
    <t>Original GBP Equivalent Note Principal</t>
  </si>
  <si>
    <t>Previous GBP Equivalent Note Principal</t>
  </si>
  <si>
    <t>Current GBP Equivalent Note Principal</t>
  </si>
  <si>
    <t>GBP Note Margin</t>
  </si>
  <si>
    <t>Current GBP Interest Rates</t>
  </si>
  <si>
    <t>Previous GBP Interest Rates</t>
  </si>
  <si>
    <t>GBP Step -Up Margins</t>
  </si>
  <si>
    <t>PM12 INVESTOR REPORT QUARTER ENDING OCTOBER 2009</t>
  </si>
  <si>
    <t>PM12 INVESTOR REPORT QUARTER ENDING JANUARY 2010</t>
  </si>
  <si>
    <t>PM12 INVESTOR REPORT QUARTER ENDING APRIL 2010</t>
  </si>
  <si>
    <t>PM12 INVESTOR REPORT QUARTER ENDING JULY 2010</t>
  </si>
  <si>
    <t xml:space="preserve">Delinquency Summary </t>
  </si>
  <si>
    <t>PM12 INVESTOR REPORT QUARTER ENDING OCTOBER 2010</t>
  </si>
  <si>
    <t>PM12 INVESTOR REPORT QUARTER ENDING JANUARY 2011</t>
  </si>
  <si>
    <t>PM12 INVESTOR REPORT QUARTER ENDING APRIL 2011</t>
  </si>
  <si>
    <t>PM12 INVESTOR REPORT QUARTER ENDING JULY 2011</t>
  </si>
  <si>
    <t>PM12 INVESTOR REPORT QUARTER ENDING OCTOBER 2011</t>
  </si>
  <si>
    <t>PDL replenishment (-) from Revenue income / Recovery (+) to Revenue income</t>
  </si>
  <si>
    <t>PM12 INVESTOR REPORT QUARTER ENDING JANUARY 2012</t>
  </si>
  <si>
    <t>F1/AAA</t>
  </si>
  <si>
    <t>PM12 INVESTOR REPORT QUARTER ENDING APRIL 2012</t>
  </si>
  <si>
    <t>A-1/AAA</t>
  </si>
  <si>
    <t>PM12 INVESTOR REPORT QUARTER ENDING JULY 2012</t>
  </si>
  <si>
    <t>A-1/AA+</t>
  </si>
  <si>
    <t>AA+</t>
  </si>
  <si>
    <t>BBB</t>
  </si>
  <si>
    <t>PM12 INVESTOR REPORT QUARTER ENDING OCTOBER 2012</t>
  </si>
  <si>
    <t>PM12 INVESTOR REPORT QUARTER ENDING JANUARY 2013</t>
  </si>
  <si>
    <t>Trustee Fee/Tender Agent Fees/ Costs and Expenses claimed by the Substitute Administrator, the Remarketing Agent and the A1 Conditional Purchaser</t>
  </si>
  <si>
    <t>Unsecured claimants in an amount not exceeding the "Prescribed Part" in The Insolvency Act (Prescribed Part) Order 2003 (as amended from time to time)</t>
  </si>
  <si>
    <t>Senior Administration Fee to PFPLC and MTS/ Out of pocket expenses/ Substitute Administrator Commitment Fee/ Substitute Administrator Facilitator Fee/ Surveillance Fees to Rating Agencies</t>
  </si>
  <si>
    <t>PM12 INVESTOR REPORT QUARTER ENDING APRIL 2013</t>
  </si>
  <si>
    <t>PM12 INVESTOR REPORT QUARTER ENDING JULY 2013</t>
  </si>
  <si>
    <t>John Harvey, 51 Homer Road, Solihull, West Midlands, B91 3QJ</t>
  </si>
  <si>
    <t>Andrew Kitching, 51 Homer Road, Solihull, West Midlands, B91 3QJ</t>
  </si>
  <si>
    <t>Jimmy Giles, 51 Homer Road, Solihull, West Midlands, B91 3QJ</t>
  </si>
  <si>
    <t>PM12 INVESTOR REPORT QUARTER ENDING OCTOBER 2013</t>
  </si>
  <si>
    <t>PM12 INVESTOR REPORT QUARTER ENDING JANUARY 2014</t>
  </si>
  <si>
    <t>PM12 INVESTOR REPORT QUARTER ENDING APRIL 2014</t>
  </si>
  <si>
    <t>PM12 INVESTOR REPORT QUARTER ENDING JULY 2014</t>
  </si>
  <si>
    <t>PM12 INVESTOR REPORT QUARTER ENDING OCTOBER 2014</t>
  </si>
  <si>
    <t>PM12 INVESTOR REPORT QUARTER ENDING JANUARY 2015</t>
  </si>
  <si>
    <t>PM12 INVESTOR REPORT QUARTER ENDING APRIL 2015</t>
  </si>
  <si>
    <t>PM12 INVESTOR REPORT QUARTER ENDING JULY 2015</t>
  </si>
  <si>
    <t>A-</t>
  </si>
  <si>
    <t>A-2/AA+</t>
  </si>
  <si>
    <t>PM12 INVESTOR REPORT QUARTER ENDING OCTOBER 2015</t>
  </si>
  <si>
    <t>PM12 INVESTOR REPORT QUARTER ENDING JANUARY 2016</t>
  </si>
  <si>
    <t>PM12 INVESTOR REPORT QUARTER ENDING APRIL 2016</t>
  </si>
  <si>
    <t>PM12 INVESTOR REPORT QUARTER ENDING JULY 2016</t>
  </si>
  <si>
    <t>PM12 INVESTOR REPORT QUARTER ENDING OCTOBER 2016</t>
  </si>
  <si>
    <t>A-2/AAA</t>
  </si>
  <si>
    <t>PM12 INVESTOR REPORT QUARTER ENDING JANUARY 2017</t>
  </si>
  <si>
    <t>PM12 INVESTOR REPORT QUARTER ENDING APRIL 2017</t>
  </si>
  <si>
    <t>Aa1</t>
  </si>
  <si>
    <t>PM12 INVESTOR REPORT QUARTER ENDING JULY 2017</t>
  </si>
  <si>
    <t>http://www.paragonbankinggroup.co.uk</t>
  </si>
  <si>
    <t>andrew.kitching@paragonbank.co.uk</t>
  </si>
  <si>
    <t>jimmy.giles@paragonbank.co.uk</t>
  </si>
  <si>
    <t>PM12 INVESTOR REPORT QUARTER ENDING OCTOBER 2017</t>
  </si>
  <si>
    <t>PM12 INVESTOR REPORT QUARTER ENDING JANUARY 2018</t>
  </si>
  <si>
    <t>PM12 INVESTOR REPORT QUARTER ENDING APRIL 2018</t>
  </si>
  <si>
    <t>PM12 INVESTOR REPORT QUARTER ENDING JULY 2018</t>
  </si>
  <si>
    <t>PM12 INVESTOR REPORT QUARTER ENDING OCTOBER 2018</t>
  </si>
  <si>
    <t>PM12 INVESTOR REPORT QUARTER ENDING JANUARY 2019</t>
  </si>
  <si>
    <t>PM12 INVESTOR REPORT QUARTER ENDING APRIL 2019</t>
  </si>
  <si>
    <t>The customer has since rectified the arrears position. As a result, all of the loans from this particular landlord are now classed as fully performing mortgages.</t>
  </si>
  <si>
    <t>Flexile Drawing Facility (Not Applicable to PM12)</t>
  </si>
  <si>
    <t>Delinquency Summary *</t>
  </si>
  <si>
    <t>Delinquency Summary (Excluding Receiver of Rent and Possession Cases) *</t>
  </si>
  <si>
    <t xml:space="preserve">* A portfolio landlord failed to make the required direct debit payments during the quarter, which resulted in loans from this portfolio landlord falling into arrears. The missed payments from this landlord have been reported as arrears in the PM12 April 2019 quarter end investor report and pool tables. </t>
  </si>
  <si>
    <t>PM12 INVESTOR REPORT QUARTER ENDING JULY 2019</t>
  </si>
  <si>
    <t xml:space="preserve">Interest on the Reserve Tranche of the Subordinated Loan (First Loss Fund) </t>
  </si>
  <si>
    <t>Interest on the Additional Tranche of the Subordinated Loan (Minimum Mortgage Rate Drawings)</t>
  </si>
  <si>
    <t>Repayment of the Additional Tranche of the Subordinated Loan (Repayment of the Minimum Mortgage Rate Drawings)</t>
  </si>
  <si>
    <t>Management Charge to PFPLC (£12,000  per annum)</t>
  </si>
  <si>
    <t>18(I)</t>
  </si>
  <si>
    <t>18(ii)</t>
  </si>
  <si>
    <t xml:space="preserve">Deferred Consideration Retention </t>
  </si>
  <si>
    <t xml:space="preserve">Deferred Consideration </t>
  </si>
  <si>
    <t>A1 Note repayment</t>
  </si>
  <si>
    <t>PM12 INVESTOR REPORT QUARTER ENDING OCTOBER 2019</t>
  </si>
  <si>
    <t>A+</t>
  </si>
  <si>
    <t>Class A1, A2a, B1a and C1a Interest Calculated on</t>
  </si>
  <si>
    <t>Class A2b, A2c, B1b and C1b Interest Calculated on</t>
  </si>
  <si>
    <t>https://otp.tools.investis.com/clients/uk/paragon_group/rns1/regulatory-story.aspx?cid=1285&amp;newsid=1345190</t>
  </si>
  <si>
    <t>PM12 INVESTOR REPORT QUARTER ENDING JANUARY 2020</t>
  </si>
  <si>
    <t>PM12 INVESTOR REPORT QUARTER ENDING APRIL 2020</t>
  </si>
  <si>
    <t>**</t>
  </si>
  <si>
    <t>Delinquency Summary (For COVID19 Payment Holiday Cases)</t>
  </si>
  <si>
    <t>First Loss Fund Reduction and partial repayment of the PM12/PFPLC/MTS Subordinated Loan on 15th November 2019*</t>
  </si>
  <si>
    <t>* Please refer to the below link for the Paragon RNS dated 15th November 2019 in respect of the PM12 First Loss Fund reduction.</t>
  </si>
  <si>
    <t>Payment Holidays</t>
  </si>
  <si>
    <t>On 18th March 2020, the UK Government instructed Lenders to grant a three-month mortgage payment holiday to Buy to Let landlords who may be experiencing difficulties in meeting their buy to let mortgage payments caused by the impact of the COVID19 virus.</t>
  </si>
  <si>
    <t>Following this guidance and where appropriate, Paragon have agreed a mortgage payment holiday with customers, ranging between one and three months. Paragon have emphasised to the customers (a) this is only a temporary arrangement and that the position</t>
  </si>
  <si>
    <t xml:space="preserve">will be reviewed after the payment holiday period and (b) interest will continue to be charged on the payment holiday amount that forms part of the customers' outstanding mortgage balance. Following the expiry of the relevant payment holiday arrangement, </t>
  </si>
  <si>
    <t xml:space="preserve">Paragon will contact the customer with a range of available options, including an overpayment on the customers' monthly payment to clear the payment holiday amount. In accordance with the practices of a reasonable prudent administrator, each case will be </t>
  </si>
  <si>
    <t>Paragon have also made the necessary system changes to accommodate payment holidays. For reporting purposes, and in line with the UK Finance's expectations, customers that have been granted a payment holiday will not be categorised nor reported as an arrears</t>
  </si>
  <si>
    <t>** For transparency, a table has been included where customers have elected to take a payment holiday, caused by COVID19. Rows 290 - 300 Delinquency Summary (For COVID19 Payment Holiday Cases) are included in the Overall Delinquency Summary in rows 240 - 250.</t>
  </si>
  <si>
    <t>assessed individually and on its own merits.</t>
  </si>
  <si>
    <t>LIBOR transition</t>
  </si>
  <si>
    <t>Paragon are proactively working with other banks, industry bodies, our regulators and trade associations to define the next steps to consider alternatives to LIBOR and explore all reasonable alternatives. The decision regarding the replacement will be based on a variety of factors,</t>
  </si>
  <si>
    <t>including taking into account the interests of our customers, market consultations and the expectations of our regulators (the PRA and FCA).</t>
  </si>
  <si>
    <t>% by Number of Accounts/Balance</t>
  </si>
  <si>
    <t>Rented</t>
  </si>
  <si>
    <t>Vacant - to be let</t>
  </si>
  <si>
    <t>Vacant - to be sold</t>
  </si>
  <si>
    <t>Property Rented/For Sale</t>
  </si>
  <si>
    <t>Receiver of Rent Cases by Current Status, as at the PDD</t>
  </si>
  <si>
    <t xml:space="preserve">Strategic review </t>
  </si>
  <si>
    <t xml:space="preserve">loan. It is expected that Paragon will be in a position to identify and report on the payment holiday customers for investor reporting and loan by loan disclosure requirements. </t>
  </si>
  <si>
    <t>Offer Issued/Offer Accepted/Contracts Issued/Contracts Exchanged</t>
  </si>
  <si>
    <t>PM12 INVESTOR REPORT QUARTER ENDING JULY 2020</t>
  </si>
  <si>
    <t>Original Payment Holiday Borrowers</t>
  </si>
  <si>
    <t>Extended Payment Holiday Borrowers</t>
  </si>
  <si>
    <t>Payment Holiday Extensions</t>
  </si>
  <si>
    <t xml:space="preserve">On 22nd May 2020, the UK Government announced that payment holidays would be extended for a further three months for Buy to Let landlords who may be experiencing, or continue to experience, difficulties in meeting their buy to let mortgage payments caused </t>
  </si>
  <si>
    <t xml:space="preserve">by the impact of the COVID19 virus. There is a deadline of 31st October 2020 for customers who have yet to apply for a payment holiday with their lenders. The same principles as outlined above for the "original" payment holiday customers will also apply to the </t>
  </si>
  <si>
    <t>"extended" payment holiday customers.</t>
  </si>
  <si>
    <t>WA PH Remaining Term (months)</t>
  </si>
  <si>
    <t>Property Rented:  For Sale</t>
  </si>
  <si>
    <t>PM12 INVESTOR REPORT QUARTER ENDING OCTOBER 2020</t>
  </si>
  <si>
    <t>Payment holidays were extended in June 2020 and November 2020 for Buy to Let landlords who may be experiencing, or continue to experience, difficulties in meeting their buy to let mortgage payments caused by the impact of the COVID19 virus.</t>
  </si>
  <si>
    <t xml:space="preserve">There is a deadline of 31st January 2021 for customers who have yet to apply for a payment holiday with their lenders. The same principles as outlined above for the "original" payment holiday customers will also apply to the"extended" payment holiday customers. </t>
  </si>
  <si>
    <t>PM12 INVESTOR REPORT QUARTER ENDING JANUARY 2021</t>
  </si>
  <si>
    <t>PM12 INVESTOR REPORT QUARTER ENDING APRIL 2021</t>
  </si>
  <si>
    <t>The deadline for customers to apply for a payment holiday with their lenders was 31st March 2021 and all payment holidays must end by 31st July 2021. The same principles as outlined above for the "original" payment holiday customers also applies to the "extended" payment holiday customers.</t>
  </si>
  <si>
    <t>PM12 INVESTOR REPORT QUARTER ENDING JULY 2021</t>
  </si>
  <si>
    <t>LIBOR transition on the PM12 Libor Linked Assets</t>
  </si>
  <si>
    <t>libor-mortgages-transition-july-19 (paragonbankinggroup.co.uk)</t>
  </si>
  <si>
    <t xml:space="preserve">The Mortgage Trust Limited (MTL) and the Paragon Mortgages Limited (PML) originated mortgages transitioned to a term SONIA basis on 1st June 2021 and 1st July 2021 respectively. For further details, please use the below link.  </t>
  </si>
  <si>
    <t xml:space="preserve">The same principles as outlined above for the "original" payment holiday customers also applies to the "extended" payment holiday customers. </t>
  </si>
  <si>
    <t>All payment holidays expired on 31st July 2021.</t>
  </si>
  <si>
    <t>PM12 INVESTOR REPORT QUARTER ENDING OCTOBER 2021</t>
  </si>
  <si>
    <t>PM12 INVESTOR REPORT QUARTER ENDING JANUARY 2022</t>
  </si>
  <si>
    <t>An RNS was released with the results of the PM12 Class A1 adjourned meeting, and to advise the PM12 Noteholders that the Libor transition proposal has been accepted by all classes of the PM12 Notes</t>
  </si>
  <si>
    <t>Notice of Result of Adjourned Meeting - 11:37:27 14 Feb 2022 - 40XV News article | London Stock Exchange</t>
  </si>
  <si>
    <t>Consent Solicitation - Launch Announcement - 10:20:37 07 Jan 2022 - 40XV News article | London Stock Exchange</t>
  </si>
  <si>
    <t xml:space="preserve">(and the cross-currency swaps) falling on the PM12 May 2022 Interest Payment Date. For further details,please see the below RNS link. </t>
  </si>
  <si>
    <t>LIBOR transition on the PM12 GBP Notes and cross currency swaps</t>
  </si>
  <si>
    <t xml:space="preserve">A consent solicitation RNS was released to the PM12 Noteholders on 7th January 2022 in respect of the Libor transition proposal.  </t>
  </si>
  <si>
    <t>The PM12 amended documents have been executed by the PM12 secured crditors, such that the PM12 Libor transition became effective from 15th February 2022, with the first SONIA reference rate for the PM12 GBP Notes</t>
  </si>
  <si>
    <t>PM12 INVESTOR REPORT QUARTER ENDING APRIL 2022</t>
  </si>
  <si>
    <t>The PM12 amended documents were executed by the PM12 secured crditors, such that the PM12 Libor transition became effective from 15th February 2022, with the first SONIA reference rate for the PM12 GBP Notes</t>
  </si>
  <si>
    <t>PM12 INVESTOR REPORT QUARTER ENDING JULY 2022</t>
  </si>
  <si>
    <t>A1 Note Interest, A2b and A2c Swap Currency Interest</t>
  </si>
  <si>
    <t>Strategic Review / Rented**</t>
  </si>
  <si>
    <t xml:space="preserve">Strategic Review </t>
  </si>
  <si>
    <t xml:space="preserve">** This is in relation to a portfolio landlord in a receiver of rent status where a strategic review to potentially sell the whole porfolio, and the portfolio landlord's busIness, was undertaken in the period.   </t>
  </si>
  <si>
    <t>36 bp</t>
  </si>
  <si>
    <t>60 bp</t>
  </si>
  <si>
    <t>104 bp</t>
  </si>
  <si>
    <t>35 bp</t>
  </si>
  <si>
    <t>38 bp</t>
  </si>
  <si>
    <t>109 bp</t>
  </si>
  <si>
    <t>62 bp</t>
  </si>
  <si>
    <t>GBP Note Margin (Amended, with effect from the May 2022 Interest Payment Date) :</t>
  </si>
  <si>
    <t>Note Step-Up Margins (Amended, with effect from the May 2022 Interest Payment Date):</t>
  </si>
  <si>
    <t xml:space="preserve">Note Interest Margins (Amended, with effect from the May 2022 Interest Payment Date) : </t>
  </si>
  <si>
    <t xml:space="preserve">GBP Step -Up Margins (Amended, with effect from the May 2022 Interest Payment Date): </t>
  </si>
  <si>
    <t xml:space="preserve">The first SONIA reference rate applied to the PM12 GBP Notes and the PM12 Cross Currency Swaps fell on the May 2022 Interest Payment Date. </t>
  </si>
  <si>
    <t>PM12 INVESTOR REPORT QUARTER ENDING OCTOBER 2022</t>
  </si>
  <si>
    <t xml:space="preserve">** This was in relation to a portfolio landlord in a receiver of rent status where a strategic review to potentially sell the whole porfolio, and the portfolio landlord's busIness, was undertaken and advised in the previous PM12 Investor Report. The properties, in a receiver of rent staus, were sold during the period (forming part of the Available Redemption Funds) with no recorded losses booked to the Principal Deficiency Ledger.    </t>
  </si>
  <si>
    <t>PM12 INVESTOR REPORT QUARTER ENDING JANUARY 2023</t>
  </si>
  <si>
    <t>PM12 INVESTOR REPORT QUARTER ENDING APRIL 2023</t>
  </si>
  <si>
    <t>PM12 INVESTOR REPORT QUARTER ENDING JULY 2023</t>
  </si>
  <si>
    <t>PM12 INVESTOR REPORT QUARTER ENDING OCTOBER 2023</t>
  </si>
  <si>
    <t>First Loss Fund Replenishment **</t>
  </si>
  <si>
    <t>First Loss Fund Reduction and partial repayment of the PM12/PFPLC/MTS Subordinated Loan</t>
  </si>
  <si>
    <t xml:space="preserve">**The PM12 arrears trigger was breached on 31st October 2023. As a result, all excess Revenue wil be trapped in the PM12 Revenue Priority of Payments and diverted into the PM12 First Loss Fund until it is at the Required Amount. </t>
  </si>
  <si>
    <t>Replenishments from excess Revenue cash in the period</t>
  </si>
  <si>
    <t>Please refer to the PM12 Deed of Charge and the defintion of "Required Amount" and Clause 6.1.2 "Payments out of the Transaction Account Prior to Enforcement" in respect of the PM12 Revenue Priority of Payments and the PM12 First Loss Fund replenishment.</t>
  </si>
  <si>
    <t>PM12 INVESTOR REPORT QUARTER ENDING JANUARY 2024</t>
  </si>
  <si>
    <t>Enforcements Completed/Posession Cases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</si>
</sst>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809]#,##0"/>
    <numFmt numFmtId="165" formatCode="0.00000%"/>
    <numFmt numFmtId="166" formatCode="0.0%"/>
    <numFmt numFmtId="167" formatCode="d\-mmm\-yy"/>
    <numFmt numFmtId="168" formatCode="[$€-2]\ #,##0"/>
    <numFmt numFmtId="169" formatCode="[$$-409]#,##0"/>
    <numFmt numFmtId="170" formatCode="0.000000"/>
    <numFmt numFmtId="171" formatCode="0.0000000"/>
    <numFmt numFmtId="172" formatCode="&quot;£&quot;#,##0"/>
    <numFmt numFmtId="173" formatCode="&quot;£&quot;#,##0.00"/>
  </numFmts>
  <fonts count="74" x14ac:knownFonts="1">
    <font>
      <sz val="12"/>
      <name val="Arial"/>
    </font>
    <font>
      <sz val="12"/>
      <name val="Arial"/>
      <family val="2"/>
    </font>
    <font>
      <sz val="12"/>
      <name val="Times New Roman"/>
      <family val="1"/>
    </font>
    <font>
      <b/>
      <u/>
      <sz val="16"/>
      <color indexed="12"/>
      <name val="Times New Roman"/>
      <family val="1"/>
    </font>
    <font>
      <b/>
      <u/>
      <sz val="12"/>
      <name val="Times New Roman"/>
      <family val="1"/>
    </font>
    <font>
      <u/>
      <sz val="12"/>
      <name val="Times New Roman"/>
      <family val="1"/>
    </font>
    <font>
      <b/>
      <sz val="12"/>
      <color indexed="29"/>
      <name val="Times New Roman"/>
      <family val="1"/>
    </font>
    <font>
      <b/>
      <i/>
      <sz val="10"/>
      <name val="Times New Roman"/>
      <family val="1"/>
    </font>
    <font>
      <sz val="12"/>
      <name val="Arial"/>
      <family val="2"/>
    </font>
    <font>
      <b/>
      <sz val="12"/>
      <name val="Times New Roman"/>
      <family val="1"/>
    </font>
    <font>
      <b/>
      <sz val="12"/>
      <color indexed="12"/>
      <name val="Times New Roman"/>
      <family val="1"/>
    </font>
    <font>
      <sz val="12"/>
      <color indexed="12"/>
      <name val="Times New Roman"/>
      <family val="1"/>
    </font>
    <font>
      <b/>
      <u/>
      <sz val="12"/>
      <color indexed="12"/>
      <name val="Times New Roman"/>
      <family val="1"/>
    </font>
    <font>
      <sz val="12"/>
      <color indexed="8"/>
      <name val="Times New Roman"/>
      <family val="1"/>
    </font>
    <font>
      <b/>
      <sz val="12"/>
      <color indexed="12"/>
      <name val="Arial"/>
      <family val="2"/>
    </font>
    <font>
      <b/>
      <sz val="14"/>
      <name val="Times New Roman"/>
      <family val="1"/>
    </font>
    <font>
      <b/>
      <sz val="12"/>
      <color indexed="8"/>
      <name val="Times New Roman"/>
      <family val="1"/>
    </font>
    <font>
      <b/>
      <u/>
      <sz val="12"/>
      <color indexed="8"/>
      <name val="Times New Roman"/>
      <family val="1"/>
    </font>
    <font>
      <b/>
      <sz val="12"/>
      <name val="Arial"/>
      <family val="2"/>
    </font>
    <font>
      <b/>
      <sz val="12"/>
      <color indexed="53"/>
      <name val="Times New Roman"/>
      <family val="1"/>
    </font>
    <font>
      <sz val="12"/>
      <color indexed="53"/>
      <name val="Times New Roman"/>
      <family val="1"/>
    </font>
    <font>
      <b/>
      <u/>
      <sz val="12"/>
      <color indexed="53"/>
      <name val="Times New Roman"/>
      <family val="1"/>
    </font>
    <font>
      <b/>
      <sz val="12"/>
      <color indexed="12"/>
      <name val="Times New Roman"/>
      <family val="1"/>
    </font>
    <font>
      <u/>
      <sz val="8.4"/>
      <color indexed="12"/>
      <name val="Arial"/>
      <family val="2"/>
    </font>
    <font>
      <sz val="12"/>
      <name val="Times New Roman"/>
      <family val="1"/>
    </font>
    <font>
      <b/>
      <sz val="12"/>
      <color indexed="39"/>
      <name val="Times New Roman"/>
      <family val="1"/>
    </font>
    <font>
      <b/>
      <sz val="12"/>
      <color indexed="39"/>
      <name val="Times New Roman"/>
      <family val="1"/>
    </font>
    <font>
      <b/>
      <sz val="14"/>
      <color indexed="53"/>
      <name val="Times New Roman"/>
      <family val="1"/>
    </font>
    <font>
      <b/>
      <u/>
      <sz val="14"/>
      <color indexed="53"/>
      <name val="Times New Roman"/>
      <family val="1"/>
    </font>
    <font>
      <sz val="12"/>
      <color indexed="9"/>
      <name val="Times New Roman"/>
      <family val="1"/>
    </font>
    <font>
      <b/>
      <sz val="12"/>
      <color indexed="9"/>
      <name val="Times New Roman"/>
      <family val="1"/>
    </font>
    <font>
      <sz val="12"/>
      <color indexed="9"/>
      <name val="Times New Roman"/>
      <family val="1"/>
    </font>
    <font>
      <sz val="12"/>
      <color indexed="9"/>
      <name val="Arial"/>
      <family val="2"/>
    </font>
    <font>
      <b/>
      <u/>
      <sz val="12"/>
      <color indexed="9"/>
      <name val="Times New Roman"/>
      <family val="1"/>
    </font>
    <font>
      <b/>
      <sz val="12"/>
      <color indexed="9"/>
      <name val="Times New Roman"/>
      <family val="1"/>
    </font>
    <font>
      <sz val="12"/>
      <color indexed="18"/>
      <name val="Times New Roman"/>
      <family val="1"/>
    </font>
    <font>
      <b/>
      <sz val="12"/>
      <color indexed="18"/>
      <name val="Times New Roman"/>
      <family val="1"/>
    </font>
    <font>
      <b/>
      <sz val="12"/>
      <color indexed="18"/>
      <name val="Times New Roman"/>
      <family val="1"/>
    </font>
    <font>
      <sz val="12"/>
      <color indexed="18"/>
      <name val="Arial"/>
      <family val="2"/>
    </font>
    <font>
      <b/>
      <sz val="12"/>
      <color indexed="18"/>
      <name val="Arial"/>
      <family val="2"/>
    </font>
    <font>
      <b/>
      <sz val="14"/>
      <color indexed="18"/>
      <name val="Times New Roman"/>
      <family val="1"/>
    </font>
    <font>
      <sz val="12"/>
      <color indexed="18"/>
      <name val="Times New Roman"/>
      <family val="1"/>
    </font>
    <font>
      <b/>
      <u/>
      <sz val="12"/>
      <color indexed="18"/>
      <name val="Times New Roman"/>
      <family val="1"/>
    </font>
    <font>
      <b/>
      <i/>
      <sz val="10"/>
      <color indexed="18"/>
      <name val="Times New Roman"/>
      <family val="1"/>
    </font>
    <font>
      <b/>
      <u/>
      <sz val="16"/>
      <color indexed="18"/>
      <name val="Times New Roman"/>
      <family val="1"/>
    </font>
    <font>
      <b/>
      <u/>
      <sz val="12"/>
      <color rgb="FF89CB31"/>
      <name val="Calibri"/>
      <family val="2"/>
      <scheme val="minor"/>
    </font>
    <font>
      <b/>
      <sz val="12"/>
      <color rgb="FF2D2926"/>
      <name val="Calibri"/>
      <family val="2"/>
      <scheme val="minor"/>
    </font>
    <font>
      <sz val="12"/>
      <name val="Calibri"/>
      <family val="2"/>
      <scheme val="minor"/>
    </font>
    <font>
      <u/>
      <sz val="12"/>
      <name val="Calibri"/>
      <family val="2"/>
      <scheme val="minor"/>
    </font>
    <font>
      <b/>
      <sz val="12"/>
      <color rgb="FF89CB31"/>
      <name val="Calibri"/>
      <family val="2"/>
      <scheme val="minor"/>
    </font>
    <font>
      <b/>
      <i/>
      <sz val="10"/>
      <color indexed="18"/>
      <name val="Calibri"/>
      <family val="2"/>
      <scheme val="minor"/>
    </font>
    <font>
      <b/>
      <i/>
      <sz val="10"/>
      <name val="Calibri"/>
      <family val="2"/>
      <scheme val="minor"/>
    </font>
    <font>
      <b/>
      <sz val="14"/>
      <color rgb="FF89CB31"/>
      <name val="Calibri"/>
      <family val="2"/>
      <scheme val="minor"/>
    </font>
    <font>
      <b/>
      <u/>
      <sz val="14"/>
      <color indexed="53"/>
      <name val="Calibri"/>
      <family val="2"/>
      <scheme val="minor"/>
    </font>
    <font>
      <b/>
      <sz val="12"/>
      <name val="Calibri"/>
      <family val="2"/>
      <scheme val="minor"/>
    </font>
    <font>
      <sz val="12"/>
      <color indexed="18"/>
      <name val="Calibri"/>
      <family val="2"/>
      <scheme val="minor"/>
    </font>
    <font>
      <sz val="12"/>
      <color indexed="9"/>
      <name val="Calibri"/>
      <family val="2"/>
      <scheme val="minor"/>
    </font>
    <font>
      <b/>
      <sz val="12"/>
      <color indexed="9"/>
      <name val="Calibri"/>
      <family val="2"/>
      <scheme val="minor"/>
    </font>
    <font>
      <b/>
      <sz val="12"/>
      <color indexed="53"/>
      <name val="Calibri"/>
      <family val="2"/>
      <scheme val="minor"/>
    </font>
    <font>
      <sz val="12"/>
      <color indexed="8"/>
      <name val="Calibri"/>
      <family val="2"/>
      <scheme val="minor"/>
    </font>
    <font>
      <b/>
      <u/>
      <sz val="12"/>
      <color indexed="9"/>
      <name val="Calibri"/>
      <family val="2"/>
      <scheme val="minor"/>
    </font>
    <font>
      <sz val="12"/>
      <color indexed="53"/>
      <name val="Calibri"/>
      <family val="2"/>
      <scheme val="minor"/>
    </font>
    <font>
      <b/>
      <u/>
      <sz val="12"/>
      <name val="Calibri"/>
      <family val="2"/>
      <scheme val="minor"/>
    </font>
    <font>
      <b/>
      <sz val="12"/>
      <color indexed="29"/>
      <name val="Calibri"/>
      <family val="2"/>
      <scheme val="minor"/>
    </font>
    <font>
      <b/>
      <u/>
      <sz val="12"/>
      <color indexed="8"/>
      <name val="Calibri"/>
      <family val="2"/>
      <scheme val="minor"/>
    </font>
    <font>
      <b/>
      <sz val="12"/>
      <color indexed="8"/>
      <name val="Calibri"/>
      <family val="2"/>
      <scheme val="minor"/>
    </font>
    <font>
      <sz val="12"/>
      <color rgb="FF89CB31"/>
      <name val="Calibri"/>
      <family val="2"/>
      <scheme val="minor"/>
    </font>
    <font>
      <b/>
      <u/>
      <sz val="16"/>
      <color rgb="FF2D2926"/>
      <name val="Calibri"/>
      <family val="2"/>
      <scheme val="minor"/>
    </font>
    <font>
      <b/>
      <i/>
      <sz val="10"/>
      <color rgb="FF2D2926"/>
      <name val="Calibri"/>
      <family val="2"/>
      <scheme val="minor"/>
    </font>
    <font>
      <sz val="12"/>
      <color rgb="FF2D2926"/>
      <name val="Calibri"/>
      <family val="2"/>
      <scheme val="minor"/>
    </font>
    <font>
      <b/>
      <u/>
      <sz val="12"/>
      <color rgb="FF2D2926"/>
      <name val="Calibri"/>
      <family val="2"/>
      <scheme val="minor"/>
    </font>
    <font>
      <b/>
      <sz val="14"/>
      <color rgb="FF2D2926"/>
      <name val="Calibri"/>
      <family val="2"/>
      <scheme val="minor"/>
    </font>
    <font>
      <sz val="12"/>
      <color rgb="FFFF0000"/>
      <name val="Calibri"/>
      <family val="2"/>
      <scheme val="minor"/>
    </font>
    <font>
      <u/>
      <sz val="12"/>
      <color indexed="12"/>
      <name val="Calibri"/>
      <family val="2"/>
      <scheme val="minor"/>
    </font>
  </fonts>
  <fills count="7">
    <fill>
      <patternFill patternType="none"/>
    </fill>
    <fill>
      <patternFill patternType="gray125"/>
    </fill>
    <fill>
      <patternFill patternType="solid">
        <fgColor indexed="26"/>
        <bgColor indexed="64"/>
      </patternFill>
    </fill>
    <fill>
      <patternFill patternType="solid">
        <fgColor indexed="38"/>
        <bgColor indexed="64"/>
      </patternFill>
    </fill>
    <fill>
      <patternFill patternType="solid">
        <fgColor indexed="18"/>
        <bgColor indexed="64"/>
      </patternFill>
    </fill>
    <fill>
      <patternFill patternType="solid">
        <fgColor rgb="FF89CB31"/>
        <bgColor indexed="64"/>
      </patternFill>
    </fill>
    <fill>
      <patternFill patternType="solid">
        <fgColor rgb="FFF4F4F4"/>
        <bgColor indexed="64"/>
      </patternFill>
    </fill>
  </fills>
  <borders count="35">
    <border>
      <left/>
      <right/>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thin">
        <color indexed="8"/>
      </top>
      <bottom/>
      <diagonal/>
    </border>
    <border>
      <left/>
      <right/>
      <top style="thin">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top style="thin">
        <color indexed="8"/>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bottom style="thin">
        <color indexed="8"/>
      </bottom>
      <diagonal/>
    </border>
    <border>
      <left style="medium">
        <color indexed="8"/>
      </left>
      <right/>
      <top style="thin">
        <color indexed="23"/>
      </top>
      <bottom style="thin">
        <color indexed="23"/>
      </bottom>
      <diagonal/>
    </border>
    <border>
      <left/>
      <right/>
      <top style="thin">
        <color indexed="23"/>
      </top>
      <bottom style="thin">
        <color indexed="23"/>
      </bottom>
      <diagonal/>
    </border>
    <border>
      <left/>
      <right style="medium">
        <color indexed="8"/>
      </right>
      <top style="thin">
        <color indexed="23"/>
      </top>
      <bottom style="thin">
        <color indexed="23"/>
      </bottom>
      <diagonal/>
    </border>
    <border>
      <left/>
      <right/>
      <top style="thin">
        <color indexed="55"/>
      </top>
      <bottom style="thin">
        <color indexed="55"/>
      </bottom>
      <diagonal/>
    </border>
    <border>
      <left style="thick">
        <color indexed="64"/>
      </left>
      <right/>
      <top style="thin">
        <color indexed="23"/>
      </top>
      <bottom style="thin">
        <color indexed="23"/>
      </bottom>
      <diagonal/>
    </border>
    <border>
      <left/>
      <right style="medium">
        <color indexed="8"/>
      </right>
      <top/>
      <bottom/>
      <diagonal/>
    </border>
    <border>
      <left/>
      <right/>
      <top/>
      <bottom style="thin">
        <color indexed="23"/>
      </bottom>
      <diagonal/>
    </border>
    <border>
      <left style="medium">
        <color indexed="8"/>
      </left>
      <right/>
      <top/>
      <bottom style="thin">
        <color indexed="23"/>
      </bottom>
      <diagonal/>
    </border>
    <border>
      <left/>
      <right style="medium">
        <color indexed="8"/>
      </right>
      <top/>
      <bottom style="thin">
        <color indexed="23"/>
      </bottom>
      <diagonal/>
    </border>
    <border>
      <left style="medium">
        <color indexed="8"/>
      </left>
      <right/>
      <top style="thin">
        <color indexed="55"/>
      </top>
      <bottom style="thin">
        <color indexed="55"/>
      </bottom>
      <diagonal/>
    </border>
    <border>
      <left/>
      <right style="medium">
        <color indexed="8"/>
      </right>
      <top style="thin">
        <color indexed="23"/>
      </top>
      <bottom/>
      <diagonal/>
    </border>
    <border>
      <left/>
      <right/>
      <top style="thin">
        <color theme="0" tint="-0.499984740745262"/>
      </top>
      <bottom style="thin">
        <color theme="0" tint="-0.499984740745262"/>
      </bottom>
      <diagonal/>
    </border>
    <border>
      <left/>
      <right/>
      <top style="thin">
        <color indexed="55"/>
      </top>
      <bottom/>
      <diagonal/>
    </border>
    <border>
      <left/>
      <right/>
      <top style="thin">
        <color indexed="23"/>
      </top>
      <bottom/>
      <diagonal/>
    </border>
    <border>
      <left style="thick">
        <color rgb="FFFF0000"/>
      </left>
      <right/>
      <top style="thick">
        <color rgb="FFFF0000"/>
      </top>
      <bottom style="thin">
        <color indexed="55"/>
      </bottom>
      <diagonal/>
    </border>
    <border>
      <left/>
      <right/>
      <top style="thick">
        <color rgb="FFFF0000"/>
      </top>
      <bottom style="thin">
        <color indexed="55"/>
      </bottom>
      <diagonal/>
    </border>
    <border>
      <left style="thick">
        <color rgb="FFFF0000"/>
      </left>
      <right/>
      <top style="thin">
        <color indexed="55"/>
      </top>
      <bottom style="thick">
        <color rgb="FFFF0000"/>
      </bottom>
      <diagonal/>
    </border>
    <border>
      <left/>
      <right/>
      <top style="thin">
        <color indexed="55"/>
      </top>
      <bottom style="thick">
        <color rgb="FFFF0000"/>
      </bottom>
      <diagonal/>
    </border>
    <border>
      <left/>
      <right style="thick">
        <color rgb="FFFF0000"/>
      </right>
      <top style="thin">
        <color indexed="55"/>
      </top>
      <bottom style="thick">
        <color rgb="FFFF0000"/>
      </bottom>
      <diagonal/>
    </border>
    <border>
      <left/>
      <right style="thick">
        <color rgb="FFFF0000"/>
      </right>
      <top style="thick">
        <color rgb="FFFF0000"/>
      </top>
      <bottom style="thin">
        <color indexed="55"/>
      </bottom>
      <diagonal/>
    </border>
    <border>
      <left/>
      <right/>
      <top style="thin">
        <color rgb="FF969696"/>
      </top>
      <bottom style="thin">
        <color rgb="FF969696"/>
      </bottom>
      <diagonal/>
    </border>
    <border>
      <left/>
      <right/>
      <top/>
      <bottom style="thin">
        <color indexed="55"/>
      </bottom>
      <diagonal/>
    </border>
  </borders>
  <cellStyleXfs count="2">
    <xf numFmtId="0" fontId="0" fillId="0" borderId="0"/>
    <xf numFmtId="0" fontId="23" fillId="0" borderId="0" applyNumberFormat="0" applyFill="0" applyBorder="0" applyAlignment="0" applyProtection="0">
      <alignment vertical="top"/>
      <protection locked="0"/>
    </xf>
  </cellStyleXfs>
  <cellXfs count="684">
    <xf numFmtId="0" fontId="0" fillId="0" borderId="0" xfId="0"/>
    <xf numFmtId="0" fontId="1" fillId="0" borderId="0" xfId="0" applyNumberFormat="1" applyFont="1" applyAlignment="1"/>
    <xf numFmtId="0" fontId="2" fillId="2" borderId="1" xfId="0" applyNumberFormat="1" applyFont="1" applyFill="1" applyBorder="1" applyAlignment="1"/>
    <xf numFmtId="0" fontId="3" fillId="2" borderId="2" xfId="0" applyNumberFormat="1" applyFont="1" applyFill="1" applyBorder="1" applyAlignment="1"/>
    <xf numFmtId="0" fontId="2" fillId="2" borderId="2" xfId="0" applyNumberFormat="1" applyFont="1" applyFill="1" applyBorder="1" applyAlignment="1"/>
    <xf numFmtId="0" fontId="0" fillId="0" borderId="3" xfId="0" applyNumberFormat="1" applyBorder="1"/>
    <xf numFmtId="0" fontId="2" fillId="2" borderId="3" xfId="0" applyNumberFormat="1" applyFont="1" applyFill="1" applyBorder="1" applyAlignment="1"/>
    <xf numFmtId="0" fontId="5" fillId="2" borderId="0" xfId="0" applyNumberFormat="1" applyFont="1" applyFill="1" applyAlignment="1"/>
    <xf numFmtId="0" fontId="2" fillId="2" borderId="0" xfId="0" applyNumberFormat="1" applyFont="1" applyFill="1" applyAlignment="1"/>
    <xf numFmtId="0" fontId="2" fillId="2" borderId="3" xfId="0" applyNumberFormat="1" applyFont="1" applyFill="1" applyBorder="1" applyAlignment="1">
      <alignment horizontal="center"/>
    </xf>
    <xf numFmtId="0" fontId="6" fillId="2" borderId="0" xfId="0" applyNumberFormat="1" applyFont="1" applyFill="1" applyAlignment="1"/>
    <xf numFmtId="0" fontId="7" fillId="2" borderId="0" xfId="0" applyNumberFormat="1" applyFont="1" applyFill="1" applyAlignment="1"/>
    <xf numFmtId="0" fontId="8" fillId="2" borderId="0" xfId="0" applyNumberFormat="1" applyFont="1" applyFill="1" applyAlignment="1"/>
    <xf numFmtId="0" fontId="9" fillId="2" borderId="0" xfId="0" applyNumberFormat="1" applyFont="1" applyFill="1" applyAlignment="1"/>
    <xf numFmtId="0" fontId="10" fillId="2" borderId="0" xfId="0" applyNumberFormat="1" applyFont="1" applyFill="1" applyAlignment="1"/>
    <xf numFmtId="0" fontId="11" fillId="2" borderId="0" xfId="0" applyNumberFormat="1" applyFont="1" applyFill="1" applyAlignment="1"/>
    <xf numFmtId="0" fontId="12" fillId="2" borderId="0" xfId="0" applyNumberFormat="1" applyFont="1" applyFill="1" applyAlignment="1">
      <alignment horizontal="center" wrapText="1"/>
    </xf>
    <xf numFmtId="0" fontId="10" fillId="2" borderId="0" xfId="0" applyNumberFormat="1" applyFont="1" applyFill="1" applyAlignment="1">
      <alignment horizontal="center"/>
    </xf>
    <xf numFmtId="9" fontId="10" fillId="2" borderId="0" xfId="0" applyNumberFormat="1" applyFont="1" applyFill="1" applyAlignment="1">
      <alignment horizontal="center"/>
    </xf>
    <xf numFmtId="15" fontId="10" fillId="2" borderId="0" xfId="0" applyNumberFormat="1" applyFont="1" applyFill="1" applyAlignment="1">
      <alignment horizontal="center"/>
    </xf>
    <xf numFmtId="0" fontId="2" fillId="2" borderId="0" xfId="0" applyNumberFormat="1" applyFont="1" applyFill="1" applyAlignment="1">
      <alignment horizontal="center"/>
    </xf>
    <xf numFmtId="0" fontId="4" fillId="2" borderId="0" xfId="0" applyNumberFormat="1" applyFont="1" applyFill="1" applyAlignment="1"/>
    <xf numFmtId="0" fontId="2" fillId="2" borderId="0" xfId="0" applyNumberFormat="1" applyFont="1" applyFill="1" applyAlignment="1">
      <alignment horizontal="right"/>
    </xf>
    <xf numFmtId="0" fontId="2" fillId="2" borderId="0" xfId="0" applyNumberFormat="1" applyFont="1" applyFill="1" applyAlignment="1">
      <alignment horizontal="center" wrapText="1"/>
    </xf>
    <xf numFmtId="0" fontId="2" fillId="2" borderId="4" xfId="0" applyNumberFormat="1" applyFont="1" applyFill="1" applyBorder="1" applyAlignment="1"/>
    <xf numFmtId="0" fontId="2" fillId="2" borderId="5" xfId="0" applyNumberFormat="1" applyFont="1" applyFill="1" applyBorder="1" applyAlignment="1"/>
    <xf numFmtId="0" fontId="2" fillId="2" borderId="5" xfId="0" applyNumberFormat="1" applyFont="1" applyFill="1" applyBorder="1" applyAlignment="1">
      <alignment horizontal="center" wrapText="1"/>
    </xf>
    <xf numFmtId="0" fontId="8" fillId="2" borderId="5" xfId="0" applyNumberFormat="1" applyFont="1" applyFill="1" applyBorder="1" applyAlignment="1"/>
    <xf numFmtId="0" fontId="10" fillId="2" borderId="4" xfId="0" applyNumberFormat="1" applyFont="1" applyFill="1" applyBorder="1" applyAlignment="1"/>
    <xf numFmtId="0" fontId="10" fillId="2" borderId="5" xfId="0" applyNumberFormat="1" applyFont="1" applyFill="1" applyBorder="1" applyAlignment="1"/>
    <xf numFmtId="0" fontId="2" fillId="2" borderId="5" xfId="0" applyNumberFormat="1" applyFont="1" applyFill="1" applyBorder="1" applyAlignment="1">
      <alignment horizontal="center"/>
    </xf>
    <xf numFmtId="164" fontId="2" fillId="2" borderId="5" xfId="0" applyNumberFormat="1" applyFont="1" applyFill="1" applyBorder="1" applyAlignment="1">
      <alignment horizontal="center"/>
    </xf>
    <xf numFmtId="164" fontId="2" fillId="2" borderId="5" xfId="0" applyNumberFormat="1" applyFont="1" applyFill="1" applyBorder="1" applyAlignment="1"/>
    <xf numFmtId="164" fontId="8" fillId="2" borderId="5" xfId="0" applyNumberFormat="1" applyFont="1" applyFill="1" applyBorder="1" applyAlignment="1"/>
    <xf numFmtId="3" fontId="2" fillId="2" borderId="5" xfId="0" applyNumberFormat="1" applyFont="1" applyFill="1" applyBorder="1" applyAlignment="1"/>
    <xf numFmtId="164" fontId="10" fillId="2" borderId="5" xfId="0" applyNumberFormat="1" applyFont="1" applyFill="1" applyBorder="1" applyAlignment="1">
      <alignment horizontal="center"/>
    </xf>
    <xf numFmtId="164" fontId="10" fillId="2" borderId="5" xfId="0" applyNumberFormat="1" applyFont="1" applyFill="1" applyBorder="1" applyAlignment="1"/>
    <xf numFmtId="164" fontId="14" fillId="2" borderId="5" xfId="0" applyNumberFormat="1" applyFont="1" applyFill="1" applyBorder="1" applyAlignment="1"/>
    <xf numFmtId="165" fontId="2" fillId="2" borderId="5" xfId="0" applyNumberFormat="1" applyFont="1" applyFill="1" applyBorder="1" applyAlignment="1">
      <alignment horizontal="center"/>
    </xf>
    <xf numFmtId="10" fontId="2" fillId="2" borderId="5" xfId="0" applyNumberFormat="1" applyFont="1" applyFill="1" applyBorder="1" applyAlignment="1">
      <alignment horizontal="center"/>
    </xf>
    <xf numFmtId="0" fontId="2" fillId="2" borderId="5" xfId="0" applyNumberFormat="1" applyFont="1" applyFill="1" applyBorder="1" applyAlignment="1">
      <alignment horizontal="right"/>
    </xf>
    <xf numFmtId="165" fontId="2" fillId="2" borderId="5" xfId="0" applyNumberFormat="1" applyFont="1" applyFill="1" applyBorder="1" applyAlignment="1"/>
    <xf numFmtId="4" fontId="2" fillId="2" borderId="5" xfId="0" applyNumberFormat="1" applyFont="1" applyFill="1" applyBorder="1" applyAlignment="1">
      <alignment horizontal="center"/>
    </xf>
    <xf numFmtId="15" fontId="10" fillId="2" borderId="5" xfId="0" applyNumberFormat="1" applyFont="1" applyFill="1" applyBorder="1" applyAlignment="1">
      <alignment horizontal="center"/>
    </xf>
    <xf numFmtId="15" fontId="10" fillId="2" borderId="5" xfId="0" applyNumberFormat="1" applyFont="1" applyFill="1" applyBorder="1" applyAlignment="1" applyProtection="1">
      <alignment horizontal="center"/>
      <protection locked="0"/>
    </xf>
    <xf numFmtId="15" fontId="13" fillId="2" borderId="5" xfId="0" applyNumberFormat="1" applyFont="1" applyFill="1" applyBorder="1" applyAlignment="1" applyProtection="1">
      <alignment horizontal="center"/>
      <protection locked="0"/>
    </xf>
    <xf numFmtId="15" fontId="13" fillId="2" borderId="5" xfId="0" applyNumberFormat="1" applyFont="1" applyFill="1" applyBorder="1" applyAlignment="1">
      <alignment horizontal="center"/>
    </xf>
    <xf numFmtId="15" fontId="13" fillId="2" borderId="0" xfId="0" applyNumberFormat="1" applyFont="1" applyFill="1" applyAlignment="1" applyProtection="1">
      <alignment horizontal="center"/>
      <protection locked="0"/>
    </xf>
    <xf numFmtId="15" fontId="13" fillId="2" borderId="0" xfId="0" applyNumberFormat="1" applyFont="1" applyFill="1" applyAlignment="1">
      <alignment horizontal="center"/>
    </xf>
    <xf numFmtId="0" fontId="15" fillId="2" borderId="0" xfId="0" applyNumberFormat="1" applyFont="1" applyFill="1" applyAlignment="1"/>
    <xf numFmtId="4" fontId="2" fillId="2" borderId="2" xfId="0" applyNumberFormat="1" applyFont="1" applyFill="1" applyBorder="1" applyAlignment="1" applyProtection="1">
      <alignment horizontal="right"/>
      <protection locked="0"/>
    </xf>
    <xf numFmtId="0" fontId="12" fillId="2" borderId="0" xfId="0" applyNumberFormat="1" applyFont="1" applyFill="1" applyAlignment="1"/>
    <xf numFmtId="4" fontId="2" fillId="2" borderId="0" xfId="0" applyNumberFormat="1" applyFont="1" applyFill="1" applyAlignment="1" applyProtection="1">
      <alignment horizontal="right"/>
      <protection locked="0"/>
    </xf>
    <xf numFmtId="3" fontId="13" fillId="2" borderId="5" xfId="0" applyNumberFormat="1" applyFont="1" applyFill="1" applyBorder="1" applyAlignment="1" applyProtection="1">
      <alignment horizontal="right"/>
      <protection locked="0"/>
    </xf>
    <xf numFmtId="3" fontId="13" fillId="2" borderId="5" xfId="0" applyNumberFormat="1" applyFont="1" applyFill="1" applyBorder="1" applyAlignment="1"/>
    <xf numFmtId="3" fontId="2" fillId="2" borderId="0" xfId="0" applyNumberFormat="1" applyFont="1" applyFill="1" applyAlignment="1"/>
    <xf numFmtId="3" fontId="13" fillId="2" borderId="0" xfId="0" applyNumberFormat="1" applyFont="1" applyFill="1" applyAlignment="1"/>
    <xf numFmtId="14" fontId="2" fillId="2" borderId="5" xfId="0" applyNumberFormat="1" applyFont="1" applyFill="1" applyBorder="1" applyAlignment="1">
      <alignment horizontal="right"/>
    </xf>
    <xf numFmtId="15" fontId="2" fillId="2" borderId="5" xfId="0" applyNumberFormat="1" applyFont="1" applyFill="1" applyBorder="1" applyAlignment="1"/>
    <xf numFmtId="4" fontId="13" fillId="2" borderId="5" xfId="0" applyNumberFormat="1" applyFont="1" applyFill="1" applyBorder="1" applyAlignment="1" applyProtection="1">
      <alignment horizontal="right"/>
      <protection locked="0"/>
    </xf>
    <xf numFmtId="0" fontId="12" fillId="2" borderId="2" xfId="0" applyNumberFormat="1" applyFont="1" applyFill="1" applyBorder="1" applyAlignment="1"/>
    <xf numFmtId="4" fontId="2" fillId="2" borderId="5" xfId="0" applyNumberFormat="1" applyFont="1" applyFill="1" applyBorder="1" applyAlignment="1" applyProtection="1">
      <alignment horizontal="right"/>
      <protection locked="0"/>
    </xf>
    <xf numFmtId="4" fontId="13" fillId="2" borderId="5" xfId="0" applyNumberFormat="1" applyFont="1" applyFill="1" applyBorder="1" applyAlignment="1" applyProtection="1">
      <alignment horizontal="center"/>
      <protection locked="0"/>
    </xf>
    <xf numFmtId="4" fontId="13" fillId="2" borderId="0" xfId="0" applyNumberFormat="1" applyFont="1" applyFill="1" applyAlignment="1" applyProtection="1">
      <alignment horizontal="right"/>
      <protection locked="0"/>
    </xf>
    <xf numFmtId="15" fontId="16" fillId="2" borderId="5" xfId="0" applyNumberFormat="1" applyFont="1" applyFill="1" applyBorder="1" applyAlignment="1">
      <alignment horizontal="center"/>
    </xf>
    <xf numFmtId="0" fontId="2" fillId="2" borderId="0" xfId="0" applyNumberFormat="1" applyFont="1" applyFill="1" applyAlignment="1" applyProtection="1">
      <protection locked="0"/>
    </xf>
    <xf numFmtId="2" fontId="13" fillId="2" borderId="5" xfId="0" applyNumberFormat="1" applyFont="1" applyFill="1" applyBorder="1" applyAlignment="1" applyProtection="1">
      <alignment horizontal="right"/>
      <protection locked="0"/>
    </xf>
    <xf numFmtId="0" fontId="13" fillId="2" borderId="1" xfId="0" applyNumberFormat="1" applyFont="1" applyFill="1" applyBorder="1" applyAlignment="1"/>
    <xf numFmtId="15" fontId="16" fillId="2" borderId="2" xfId="0" applyNumberFormat="1" applyFont="1" applyFill="1" applyBorder="1" applyAlignment="1">
      <alignment horizontal="centerContinuous"/>
    </xf>
    <xf numFmtId="15" fontId="16" fillId="2" borderId="2" xfId="0" applyNumberFormat="1" applyFont="1" applyFill="1" applyBorder="1" applyAlignment="1">
      <alignment horizontal="center"/>
    </xf>
    <xf numFmtId="15" fontId="10" fillId="2" borderId="2" xfId="0" applyNumberFormat="1" applyFont="1" applyFill="1" applyBorder="1" applyAlignment="1">
      <alignment horizontal="center"/>
    </xf>
    <xf numFmtId="0" fontId="13" fillId="2" borderId="3" xfId="0" applyNumberFormat="1" applyFont="1" applyFill="1" applyBorder="1" applyAlignment="1"/>
    <xf numFmtId="0" fontId="17" fillId="2" borderId="0" xfId="0" applyNumberFormat="1" applyFont="1" applyFill="1" applyAlignment="1"/>
    <xf numFmtId="15" fontId="16" fillId="2" borderId="0" xfId="0" applyNumberFormat="1" applyFont="1" applyFill="1" applyAlignment="1">
      <alignment horizontal="centerContinuous"/>
    </xf>
    <xf numFmtId="15" fontId="16" fillId="2" borderId="0" xfId="0" applyNumberFormat="1" applyFont="1" applyFill="1" applyAlignment="1">
      <alignment horizontal="center"/>
    </xf>
    <xf numFmtId="0" fontId="13" fillId="2" borderId="4" xfId="0" applyNumberFormat="1" applyFont="1" applyFill="1" applyBorder="1" applyAlignment="1"/>
    <xf numFmtId="0" fontId="13" fillId="2" borderId="5" xfId="0" applyNumberFormat="1" applyFont="1" applyFill="1" applyBorder="1" applyAlignment="1"/>
    <xf numFmtId="15" fontId="16" fillId="2" borderId="5" xfId="0" applyNumberFormat="1" applyFont="1" applyFill="1" applyBorder="1" applyAlignment="1">
      <alignment horizontal="centerContinuous"/>
    </xf>
    <xf numFmtId="10" fontId="13" fillId="2" borderId="5" xfId="0" applyNumberFormat="1" applyFont="1" applyFill="1" applyBorder="1" applyAlignment="1">
      <alignment horizontal="center"/>
    </xf>
    <xf numFmtId="0" fontId="2" fillId="2" borderId="5" xfId="0" applyNumberFormat="1" applyFont="1" applyFill="1" applyBorder="1" applyAlignment="1" applyProtection="1">
      <protection locked="0"/>
    </xf>
    <xf numFmtId="0" fontId="13" fillId="2" borderId="3" xfId="0" applyNumberFormat="1" applyFont="1" applyFill="1" applyBorder="1" applyAlignment="1">
      <alignment horizontal="right"/>
    </xf>
    <xf numFmtId="0" fontId="16" fillId="2" borderId="0" xfId="0" applyNumberFormat="1" applyFont="1" applyFill="1" applyAlignment="1">
      <alignment horizontal="center"/>
    </xf>
    <xf numFmtId="3" fontId="16" fillId="2" borderId="0" xfId="0" applyNumberFormat="1" applyFont="1" applyFill="1" applyAlignment="1">
      <alignment horizontal="center"/>
    </xf>
    <xf numFmtId="3" fontId="10" fillId="2" borderId="0" xfId="0" applyNumberFormat="1" applyFont="1" applyFill="1" applyAlignment="1">
      <alignment horizontal="center"/>
    </xf>
    <xf numFmtId="0" fontId="13" fillId="2" borderId="4" xfId="0" applyNumberFormat="1" applyFont="1" applyFill="1" applyBorder="1" applyAlignment="1">
      <alignment horizontal="right"/>
    </xf>
    <xf numFmtId="3" fontId="13" fillId="2" borderId="5" xfId="0" applyNumberFormat="1" applyFont="1" applyFill="1" applyBorder="1" applyAlignment="1" applyProtection="1">
      <alignment horizontal="center"/>
      <protection locked="0"/>
    </xf>
    <xf numFmtId="3" fontId="16" fillId="2" borderId="5" xfId="0" applyNumberFormat="1" applyFont="1" applyFill="1" applyBorder="1" applyAlignment="1"/>
    <xf numFmtId="0" fontId="13" fillId="2" borderId="4" xfId="0" applyNumberFormat="1" applyFont="1" applyFill="1" applyBorder="1" applyAlignment="1">
      <alignment horizontal="center"/>
    </xf>
    <xf numFmtId="0" fontId="16" fillId="2" borderId="5" xfId="0" applyNumberFormat="1" applyFont="1" applyFill="1" applyBorder="1" applyAlignment="1"/>
    <xf numFmtId="0" fontId="13" fillId="2" borderId="5" xfId="0" applyNumberFormat="1" applyFont="1" applyFill="1" applyBorder="1" applyAlignment="1">
      <alignment horizontal="right"/>
    </xf>
    <xf numFmtId="4" fontId="13" fillId="2" borderId="5" xfId="0" applyNumberFormat="1" applyFont="1" applyFill="1" applyBorder="1" applyAlignment="1">
      <alignment horizontal="right"/>
    </xf>
    <xf numFmtId="10" fontId="13" fillId="2" borderId="5" xfId="0" applyNumberFormat="1" applyFont="1" applyFill="1" applyBorder="1" applyAlignment="1" applyProtection="1">
      <alignment horizontal="center"/>
      <protection locked="0"/>
    </xf>
    <xf numFmtId="0" fontId="16" fillId="2" borderId="0" xfId="0" applyNumberFormat="1" applyFont="1" applyFill="1" applyAlignment="1"/>
    <xf numFmtId="166" fontId="13" fillId="2" borderId="5" xfId="0" applyNumberFormat="1" applyFont="1" applyFill="1" applyBorder="1" applyAlignment="1"/>
    <xf numFmtId="10" fontId="13" fillId="2" borderId="5" xfId="0" applyNumberFormat="1" applyFont="1" applyFill="1" applyBorder="1" applyAlignment="1"/>
    <xf numFmtId="9" fontId="2" fillId="2" borderId="5" xfId="0" applyNumberFormat="1" applyFont="1" applyFill="1" applyBorder="1" applyAlignment="1"/>
    <xf numFmtId="9" fontId="2" fillId="2" borderId="0" xfId="0" applyNumberFormat="1" applyFont="1" applyFill="1" applyAlignment="1"/>
    <xf numFmtId="3" fontId="13" fillId="2" borderId="0" xfId="0" applyNumberFormat="1" applyFont="1" applyFill="1" applyAlignment="1" applyProtection="1">
      <alignment horizontal="right"/>
      <protection locked="0"/>
    </xf>
    <xf numFmtId="0" fontId="8" fillId="2" borderId="3" xfId="0" applyNumberFormat="1" applyFont="1" applyFill="1" applyBorder="1" applyAlignment="1"/>
    <xf numFmtId="0" fontId="18" fillId="2" borderId="0" xfId="0" applyNumberFormat="1" applyFont="1" applyFill="1" applyAlignment="1"/>
    <xf numFmtId="0" fontId="0" fillId="0" borderId="2" xfId="0" applyNumberFormat="1" applyBorder="1"/>
    <xf numFmtId="0" fontId="2" fillId="2" borderId="6" xfId="0" applyNumberFormat="1" applyFont="1" applyFill="1" applyBorder="1" applyAlignment="1"/>
    <xf numFmtId="0" fontId="15" fillId="2" borderId="7" xfId="0" applyNumberFormat="1" applyFont="1" applyFill="1" applyBorder="1" applyAlignment="1"/>
    <xf numFmtId="0" fontId="2" fillId="2" borderId="7" xfId="0" applyNumberFormat="1" applyFont="1" applyFill="1" applyBorder="1" applyAlignment="1"/>
    <xf numFmtId="0" fontId="2" fillId="2" borderId="7" xfId="0" applyNumberFormat="1" applyFont="1" applyFill="1" applyBorder="1" applyAlignment="1" applyProtection="1">
      <alignment horizontal="right"/>
      <protection locked="0"/>
    </xf>
    <xf numFmtId="0" fontId="2" fillId="2" borderId="8" xfId="0" applyNumberFormat="1" applyFont="1" applyFill="1" applyBorder="1" applyAlignment="1"/>
    <xf numFmtId="4" fontId="2" fillId="2" borderId="7" xfId="0" applyNumberFormat="1" applyFont="1" applyFill="1" applyBorder="1" applyAlignment="1" applyProtection="1">
      <alignment horizontal="right"/>
      <protection locked="0"/>
    </xf>
    <xf numFmtId="0" fontId="8" fillId="2" borderId="7" xfId="0" applyNumberFormat="1" applyFont="1" applyFill="1" applyBorder="1" applyAlignment="1"/>
    <xf numFmtId="0" fontId="8" fillId="2" borderId="8" xfId="0" applyNumberFormat="1" applyFont="1" applyFill="1" applyBorder="1" applyAlignment="1"/>
    <xf numFmtId="3" fontId="1" fillId="0" borderId="0" xfId="0" applyNumberFormat="1" applyFont="1" applyAlignment="1"/>
    <xf numFmtId="167" fontId="2" fillId="2" borderId="5" xfId="0" applyNumberFormat="1" applyFont="1" applyFill="1" applyBorder="1" applyAlignment="1">
      <alignment horizontal="center"/>
    </xf>
    <xf numFmtId="0" fontId="19" fillId="2" borderId="0" xfId="0" applyNumberFormat="1" applyFont="1" applyFill="1" applyAlignment="1"/>
    <xf numFmtId="0" fontId="19" fillId="2" borderId="0" xfId="0" applyNumberFormat="1" applyFont="1" applyFill="1" applyAlignment="1">
      <alignment horizontal="center" wrapText="1"/>
    </xf>
    <xf numFmtId="0" fontId="20" fillId="2" borderId="0" xfId="0" applyNumberFormat="1" applyFont="1" applyFill="1" applyAlignment="1">
      <alignment horizontal="center" wrapText="1"/>
    </xf>
    <xf numFmtId="0" fontId="19" fillId="2" borderId="0" xfId="0" applyNumberFormat="1" applyFont="1" applyFill="1" applyAlignment="1">
      <alignment horizontal="left" vertical="top" wrapText="1"/>
    </xf>
    <xf numFmtId="0" fontId="19" fillId="2" borderId="0" xfId="0" applyNumberFormat="1" applyFont="1" applyFill="1" applyAlignment="1">
      <alignment horizontal="center" vertical="top" wrapText="1"/>
    </xf>
    <xf numFmtId="4" fontId="19" fillId="2" borderId="0" xfId="0" applyNumberFormat="1" applyFont="1" applyFill="1" applyAlignment="1" applyProtection="1">
      <alignment horizontal="center" vertical="top" wrapText="1"/>
      <protection locked="0"/>
    </xf>
    <xf numFmtId="0" fontId="20" fillId="2" borderId="0" xfId="0" applyNumberFormat="1" applyFont="1" applyFill="1" applyAlignment="1"/>
    <xf numFmtId="0" fontId="21" fillId="2" borderId="5" xfId="0" applyNumberFormat="1" applyFont="1" applyFill="1" applyBorder="1" applyAlignment="1"/>
    <xf numFmtId="0" fontId="21" fillId="2" borderId="0" xfId="0" applyNumberFormat="1" applyFont="1" applyFill="1" applyAlignment="1"/>
    <xf numFmtId="0" fontId="19" fillId="2" borderId="0" xfId="0" applyNumberFormat="1" applyFont="1" applyFill="1" applyAlignment="1">
      <alignment horizontal="right"/>
    </xf>
    <xf numFmtId="4" fontId="19" fillId="2" borderId="0" xfId="0" applyNumberFormat="1" applyFont="1" applyFill="1" applyAlignment="1" applyProtection="1">
      <alignment horizontal="right"/>
      <protection locked="0"/>
    </xf>
    <xf numFmtId="0" fontId="19" fillId="2" borderId="5" xfId="0" applyNumberFormat="1" applyFont="1" applyFill="1" applyBorder="1" applyAlignment="1"/>
    <xf numFmtId="0" fontId="22" fillId="2" borderId="5" xfId="0" applyNumberFormat="1" applyFont="1" applyFill="1" applyBorder="1" applyAlignment="1">
      <alignment horizontal="center" wrapText="1"/>
    </xf>
    <xf numFmtId="168" fontId="2" fillId="2" borderId="5" xfId="0" applyNumberFormat="1" applyFont="1" applyFill="1" applyBorder="1" applyAlignment="1">
      <alignment horizontal="center"/>
    </xf>
    <xf numFmtId="168" fontId="10" fillId="2" borderId="5" xfId="0" applyNumberFormat="1" applyFont="1" applyFill="1" applyBorder="1" applyAlignment="1">
      <alignment horizontal="center"/>
    </xf>
    <xf numFmtId="164" fontId="19" fillId="2" borderId="5" xfId="0" applyNumberFormat="1" applyFont="1" applyFill="1" applyBorder="1" applyAlignment="1"/>
    <xf numFmtId="167" fontId="2" fillId="2" borderId="5" xfId="0" applyNumberFormat="1" applyFont="1" applyFill="1" applyBorder="1" applyAlignment="1">
      <alignment horizontal="right"/>
    </xf>
    <xf numFmtId="4" fontId="19" fillId="2" borderId="5" xfId="0" applyNumberFormat="1" applyFont="1" applyFill="1" applyBorder="1" applyAlignment="1">
      <alignment horizontal="center"/>
    </xf>
    <xf numFmtId="17" fontId="2" fillId="2" borderId="5" xfId="0" applyNumberFormat="1" applyFont="1" applyFill="1" applyBorder="1" applyAlignment="1">
      <alignment horizontal="center"/>
    </xf>
    <xf numFmtId="0" fontId="9" fillId="2" borderId="0" xfId="0" quotePrefix="1" applyNumberFormat="1" applyFont="1" applyFill="1" applyAlignment="1">
      <alignment horizontal="center"/>
    </xf>
    <xf numFmtId="0" fontId="24" fillId="2" borderId="5" xfId="0" applyNumberFormat="1" applyFont="1" applyFill="1" applyBorder="1" applyAlignment="1"/>
    <xf numFmtId="10" fontId="2" fillId="2" borderId="5" xfId="0" applyNumberFormat="1" applyFont="1" applyFill="1" applyBorder="1" applyAlignment="1"/>
    <xf numFmtId="4" fontId="13" fillId="2" borderId="5" xfId="0" applyNumberFormat="1" applyFont="1" applyFill="1" applyBorder="1" applyAlignment="1">
      <alignment horizontal="center"/>
    </xf>
    <xf numFmtId="0" fontId="2" fillId="0" borderId="0" xfId="0" applyNumberFormat="1" applyFont="1" applyFill="1" applyBorder="1" applyAlignment="1"/>
    <xf numFmtId="170" fontId="19" fillId="2" borderId="5" xfId="0" applyNumberFormat="1" applyFont="1" applyFill="1" applyBorder="1" applyAlignment="1">
      <alignment horizontal="center"/>
    </xf>
    <xf numFmtId="170" fontId="19" fillId="2" borderId="5" xfId="0" applyNumberFormat="1" applyFont="1" applyFill="1" applyBorder="1" applyAlignment="1"/>
    <xf numFmtId="10" fontId="10" fillId="2" borderId="0" xfId="0" applyNumberFormat="1" applyFont="1" applyFill="1" applyAlignment="1">
      <alignment horizontal="center"/>
    </xf>
    <xf numFmtId="0" fontId="21" fillId="2" borderId="9" xfId="0" applyNumberFormat="1" applyFont="1" applyFill="1" applyBorder="1" applyAlignment="1"/>
    <xf numFmtId="0" fontId="2" fillId="2" borderId="10" xfId="0" applyNumberFormat="1" applyFont="1" applyFill="1" applyBorder="1" applyAlignment="1"/>
    <xf numFmtId="0" fontId="2" fillId="2" borderId="11" xfId="0" applyNumberFormat="1" applyFont="1" applyFill="1" applyBorder="1" applyAlignment="1"/>
    <xf numFmtId="0" fontId="2" fillId="2" borderId="12" xfId="0" applyNumberFormat="1" applyFont="1" applyFill="1" applyBorder="1" applyAlignment="1"/>
    <xf numFmtId="0" fontId="25" fillId="2" borderId="5" xfId="0" applyNumberFormat="1" applyFont="1" applyFill="1" applyBorder="1" applyAlignment="1"/>
    <xf numFmtId="10" fontId="2" fillId="2" borderId="9" xfId="0" applyNumberFormat="1" applyFont="1" applyFill="1" applyBorder="1" applyAlignment="1"/>
    <xf numFmtId="3" fontId="26" fillId="2" borderId="9" xfId="0" applyNumberFormat="1" applyFont="1" applyFill="1" applyBorder="1" applyAlignment="1" applyProtection="1">
      <alignment horizontal="right"/>
      <protection locked="0"/>
    </xf>
    <xf numFmtId="9" fontId="2" fillId="2" borderId="10" xfId="0" applyNumberFormat="1" applyFont="1" applyFill="1" applyBorder="1" applyAlignment="1"/>
    <xf numFmtId="169" fontId="2" fillId="2" borderId="5" xfId="0" applyNumberFormat="1" applyFont="1" applyFill="1" applyBorder="1" applyAlignment="1">
      <alignment horizontal="center"/>
    </xf>
    <xf numFmtId="0" fontId="27" fillId="2" borderId="0" xfId="0" applyNumberFormat="1" applyFont="1" applyFill="1" applyAlignment="1"/>
    <xf numFmtId="0" fontId="28" fillId="2" borderId="0" xfId="1" applyNumberFormat="1" applyFont="1" applyFill="1" applyAlignment="1" applyProtection="1"/>
    <xf numFmtId="0" fontId="27" fillId="2" borderId="5" xfId="0" applyNumberFormat="1" applyFont="1" applyFill="1" applyBorder="1" applyAlignment="1"/>
    <xf numFmtId="10" fontId="28" fillId="2" borderId="5" xfId="1" applyNumberFormat="1" applyFont="1" applyFill="1" applyBorder="1" applyAlignment="1">
      <alignment horizontal="left"/>
      <protection locked="0"/>
    </xf>
    <xf numFmtId="169" fontId="10" fillId="2" borderId="5" xfId="0" applyNumberFormat="1" applyFont="1" applyFill="1" applyBorder="1" applyAlignment="1">
      <alignment horizontal="center"/>
    </xf>
    <xf numFmtId="3" fontId="2" fillId="2" borderId="5" xfId="0" applyNumberFormat="1" applyFont="1" applyFill="1" applyBorder="1" applyAlignment="1">
      <alignment horizontal="center"/>
    </xf>
    <xf numFmtId="0" fontId="22" fillId="2" borderId="5" xfId="0" applyNumberFormat="1" applyFont="1" applyFill="1" applyBorder="1" applyAlignment="1"/>
    <xf numFmtId="164" fontId="24" fillId="2" borderId="5" xfId="0" applyNumberFormat="1" applyFont="1" applyFill="1" applyBorder="1" applyAlignment="1">
      <alignment horizontal="center"/>
    </xf>
    <xf numFmtId="164" fontId="22" fillId="2" borderId="5" xfId="0" applyNumberFormat="1" applyFont="1" applyFill="1" applyBorder="1" applyAlignment="1">
      <alignment horizontal="center"/>
    </xf>
    <xf numFmtId="4" fontId="10" fillId="2" borderId="5" xfId="0" applyNumberFormat="1" applyFont="1" applyFill="1" applyBorder="1" applyAlignment="1">
      <alignment horizontal="center"/>
    </xf>
    <xf numFmtId="0" fontId="10" fillId="2" borderId="5" xfId="0" applyNumberFormat="1" applyFont="1" applyFill="1" applyBorder="1" applyAlignment="1">
      <alignment horizontal="center"/>
    </xf>
    <xf numFmtId="15" fontId="10" fillId="2" borderId="0" xfId="0" applyNumberFormat="1" applyFont="1" applyFill="1" applyAlignment="1">
      <alignment horizontal="right"/>
    </xf>
    <xf numFmtId="0" fontId="10" fillId="2" borderId="0" xfId="0" applyNumberFormat="1" applyFont="1" applyFill="1" applyAlignment="1">
      <alignment horizontal="right"/>
    </xf>
    <xf numFmtId="0" fontId="24" fillId="2" borderId="5" xfId="0" applyNumberFormat="1" applyFont="1" applyFill="1" applyBorder="1" applyAlignment="1">
      <alignment horizontal="center"/>
    </xf>
    <xf numFmtId="3" fontId="22" fillId="2" borderId="9" xfId="0" applyNumberFormat="1" applyFont="1" applyFill="1" applyBorder="1" applyAlignment="1"/>
    <xf numFmtId="0" fontId="1" fillId="2" borderId="0" xfId="0" applyNumberFormat="1" applyFont="1" applyFill="1" applyAlignment="1"/>
    <xf numFmtId="0" fontId="1" fillId="2" borderId="5" xfId="0" applyNumberFormat="1" applyFont="1" applyFill="1" applyBorder="1" applyAlignment="1"/>
    <xf numFmtId="164" fontId="1" fillId="2" borderId="5" xfId="0" applyNumberFormat="1" applyFont="1" applyFill="1" applyBorder="1" applyAlignment="1"/>
    <xf numFmtId="0" fontId="1" fillId="2" borderId="7" xfId="0" applyNumberFormat="1" applyFont="1" applyFill="1" applyBorder="1" applyAlignment="1"/>
    <xf numFmtId="0" fontId="1" fillId="2" borderId="8" xfId="0" applyNumberFormat="1" applyFont="1" applyFill="1" applyBorder="1" applyAlignment="1"/>
    <xf numFmtId="0" fontId="1" fillId="2" borderId="3" xfId="0" applyNumberFormat="1" applyFont="1" applyFill="1" applyBorder="1" applyAlignment="1"/>
    <xf numFmtId="171" fontId="19" fillId="2" borderId="5" xfId="0" applyNumberFormat="1" applyFont="1" applyFill="1" applyBorder="1" applyAlignment="1">
      <alignment horizontal="center"/>
    </xf>
    <xf numFmtId="171" fontId="19" fillId="2" borderId="5" xfId="0" applyNumberFormat="1" applyFont="1" applyFill="1" applyBorder="1" applyAlignment="1"/>
    <xf numFmtId="14" fontId="1" fillId="0" borderId="0" xfId="0" applyNumberFormat="1" applyFont="1" applyAlignment="1"/>
    <xf numFmtId="3" fontId="0" fillId="0" borderId="3" xfId="0" applyNumberFormat="1" applyBorder="1"/>
    <xf numFmtId="3" fontId="2" fillId="2" borderId="5" xfId="0" applyNumberFormat="1" applyFont="1" applyFill="1" applyBorder="1" applyAlignment="1" applyProtection="1">
      <alignment horizontal="center"/>
      <protection locked="0"/>
    </xf>
    <xf numFmtId="4" fontId="2" fillId="2" borderId="5" xfId="0" applyNumberFormat="1" applyFont="1" applyFill="1" applyBorder="1" applyAlignment="1" applyProtection="1">
      <alignment horizontal="center"/>
      <protection locked="0"/>
    </xf>
    <xf numFmtId="10" fontId="2" fillId="2" borderId="5" xfId="0" applyNumberFormat="1" applyFont="1" applyFill="1" applyBorder="1" applyAlignment="1" applyProtection="1">
      <alignment horizontal="center"/>
      <protection locked="0"/>
    </xf>
    <xf numFmtId="0" fontId="2" fillId="3" borderId="1" xfId="0" applyNumberFormat="1" applyFont="1" applyFill="1" applyBorder="1" applyAlignment="1"/>
    <xf numFmtId="0" fontId="2" fillId="3" borderId="2" xfId="0" applyNumberFormat="1" applyFont="1" applyFill="1" applyBorder="1" applyAlignment="1"/>
    <xf numFmtId="0" fontId="2" fillId="3" borderId="3" xfId="0" applyNumberFormat="1" applyFont="1" applyFill="1" applyBorder="1" applyAlignment="1"/>
    <xf numFmtId="0" fontId="5" fillId="3" borderId="0" xfId="0" applyNumberFormat="1" applyFont="1" applyFill="1" applyAlignment="1"/>
    <xf numFmtId="0" fontId="2" fillId="3" borderId="0" xfId="0" applyNumberFormat="1" applyFont="1" applyFill="1" applyAlignment="1"/>
    <xf numFmtId="0" fontId="2" fillId="3" borderId="3" xfId="0" applyNumberFormat="1" applyFont="1" applyFill="1" applyBorder="1" applyAlignment="1">
      <alignment horizontal="center"/>
    </xf>
    <xf numFmtId="0" fontId="19" fillId="3" borderId="0" xfId="0" applyNumberFormat="1" applyFont="1" applyFill="1" applyAlignment="1"/>
    <xf numFmtId="0" fontId="7" fillId="3" borderId="0" xfId="0" applyNumberFormat="1" applyFont="1" applyFill="1" applyAlignment="1"/>
    <xf numFmtId="0" fontId="27" fillId="3" borderId="0" xfId="0" applyNumberFormat="1" applyFont="1" applyFill="1" applyAlignment="1"/>
    <xf numFmtId="0" fontId="28" fillId="3" borderId="0" xfId="1" applyNumberFormat="1" applyFont="1" applyFill="1" applyAlignment="1" applyProtection="1"/>
    <xf numFmtId="0" fontId="9" fillId="3" borderId="0" xfId="0" applyNumberFormat="1" applyFont="1" applyFill="1" applyAlignment="1"/>
    <xf numFmtId="0" fontId="4" fillId="3" borderId="0" xfId="0" applyNumberFormat="1" applyFont="1" applyFill="1" applyAlignment="1"/>
    <xf numFmtId="0" fontId="1" fillId="3" borderId="0" xfId="0" applyNumberFormat="1" applyFont="1" applyFill="1" applyAlignment="1"/>
    <xf numFmtId="0" fontId="2" fillId="3" borderId="0" xfId="0" applyNumberFormat="1" applyFont="1" applyFill="1" applyAlignment="1">
      <alignment horizontal="right"/>
    </xf>
    <xf numFmtId="0" fontId="2" fillId="3" borderId="4" xfId="0" applyNumberFormat="1" applyFont="1" applyFill="1" applyBorder="1" applyAlignment="1"/>
    <xf numFmtId="0" fontId="2" fillId="3" borderId="5" xfId="0" applyNumberFormat="1" applyFont="1" applyFill="1" applyBorder="1" applyAlignment="1"/>
    <xf numFmtId="0" fontId="2" fillId="3" borderId="5" xfId="0" applyNumberFormat="1" applyFont="1" applyFill="1" applyBorder="1" applyAlignment="1">
      <alignment horizontal="center"/>
    </xf>
    <xf numFmtId="15" fontId="13" fillId="3" borderId="0" xfId="0" applyNumberFormat="1" applyFont="1" applyFill="1" applyAlignment="1" applyProtection="1">
      <alignment horizontal="center"/>
      <protection locked="0"/>
    </xf>
    <xf numFmtId="15" fontId="13" fillId="3" borderId="0" xfId="0" applyNumberFormat="1" applyFont="1" applyFill="1" applyAlignment="1">
      <alignment horizontal="center"/>
    </xf>
    <xf numFmtId="0" fontId="2" fillId="3" borderId="6" xfId="0" applyNumberFormat="1" applyFont="1" applyFill="1" applyBorder="1" applyAlignment="1"/>
    <xf numFmtId="0" fontId="2" fillId="3" borderId="7" xfId="0" applyNumberFormat="1" applyFont="1" applyFill="1" applyBorder="1" applyAlignment="1"/>
    <xf numFmtId="0" fontId="2" fillId="3" borderId="7" xfId="0" applyNumberFormat="1" applyFont="1" applyFill="1" applyBorder="1" applyAlignment="1" applyProtection="1">
      <alignment horizontal="right"/>
      <protection locked="0"/>
    </xf>
    <xf numFmtId="0" fontId="2" fillId="3" borderId="8" xfId="0" applyNumberFormat="1" applyFont="1" applyFill="1" applyBorder="1" applyAlignment="1"/>
    <xf numFmtId="4" fontId="2" fillId="3" borderId="2" xfId="0" applyNumberFormat="1" applyFont="1" applyFill="1" applyBorder="1" applyAlignment="1" applyProtection="1">
      <alignment horizontal="right"/>
      <protection locked="0"/>
    </xf>
    <xf numFmtId="4" fontId="2" fillId="3" borderId="0" xfId="0" applyNumberFormat="1" applyFont="1" applyFill="1" applyAlignment="1" applyProtection="1">
      <alignment horizontal="right"/>
      <protection locked="0"/>
    </xf>
    <xf numFmtId="0" fontId="19" fillId="3" borderId="0" xfId="0" applyNumberFormat="1" applyFont="1" applyFill="1" applyAlignment="1">
      <alignment horizontal="left" vertical="top" wrapText="1"/>
    </xf>
    <xf numFmtId="0" fontId="19" fillId="3" borderId="0" xfId="0" applyNumberFormat="1" applyFont="1" applyFill="1" applyAlignment="1">
      <alignment horizontal="center" vertical="top" wrapText="1"/>
    </xf>
    <xf numFmtId="4" fontId="19" fillId="3" borderId="0" xfId="0" applyNumberFormat="1" applyFont="1" applyFill="1" applyAlignment="1" applyProtection="1">
      <alignment horizontal="center" vertical="top" wrapText="1"/>
      <protection locked="0"/>
    </xf>
    <xf numFmtId="0" fontId="20" fillId="3" borderId="0" xfId="0" applyNumberFormat="1" applyFont="1" applyFill="1" applyAlignment="1"/>
    <xf numFmtId="3" fontId="13" fillId="3" borderId="5" xfId="0" applyNumberFormat="1" applyFont="1" applyFill="1" applyBorder="1" applyAlignment="1"/>
    <xf numFmtId="3" fontId="2" fillId="3" borderId="0" xfId="0" applyNumberFormat="1" applyFont="1" applyFill="1" applyAlignment="1"/>
    <xf numFmtId="3" fontId="13" fillId="3" borderId="0" xfId="0" applyNumberFormat="1" applyFont="1" applyFill="1" applyAlignment="1"/>
    <xf numFmtId="4" fontId="2" fillId="3" borderId="7" xfId="0" applyNumberFormat="1" applyFont="1" applyFill="1" applyBorder="1" applyAlignment="1" applyProtection="1">
      <alignment horizontal="right"/>
      <protection locked="0"/>
    </xf>
    <xf numFmtId="0" fontId="21" fillId="3" borderId="0" xfId="0" applyNumberFormat="1" applyFont="1" applyFill="1" applyAlignment="1"/>
    <xf numFmtId="4" fontId="13" fillId="3" borderId="0" xfId="0" applyNumberFormat="1" applyFont="1" applyFill="1" applyAlignment="1" applyProtection="1">
      <alignment horizontal="right"/>
      <protection locked="0"/>
    </xf>
    <xf numFmtId="0" fontId="19" fillId="3" borderId="0" xfId="0" applyNumberFormat="1" applyFont="1" applyFill="1" applyAlignment="1">
      <alignment horizontal="right"/>
    </xf>
    <xf numFmtId="4" fontId="19" fillId="3" borderId="0" xfId="0" applyNumberFormat="1" applyFont="1" applyFill="1" applyAlignment="1" applyProtection="1">
      <alignment horizontal="right"/>
      <protection locked="0"/>
    </xf>
    <xf numFmtId="0" fontId="6" fillId="3" borderId="0" xfId="0" applyNumberFormat="1" applyFont="1" applyFill="1" applyAlignment="1"/>
    <xf numFmtId="0" fontId="2" fillId="3" borderId="0" xfId="0" applyNumberFormat="1" applyFont="1" applyFill="1" applyAlignment="1" applyProtection="1">
      <protection locked="0"/>
    </xf>
    <xf numFmtId="0" fontId="13" fillId="3" borderId="3" xfId="0" applyNumberFormat="1" applyFont="1" applyFill="1" applyBorder="1" applyAlignment="1"/>
    <xf numFmtId="0" fontId="17" fillId="3" borderId="0" xfId="0" applyNumberFormat="1" applyFont="1" applyFill="1" applyAlignment="1"/>
    <xf numFmtId="15" fontId="16" fillId="3" borderId="0" xfId="0" applyNumberFormat="1" applyFont="1" applyFill="1" applyAlignment="1">
      <alignment horizontal="centerContinuous"/>
    </xf>
    <xf numFmtId="15" fontId="16" fillId="3" borderId="0" xfId="0" applyNumberFormat="1" applyFont="1" applyFill="1" applyAlignment="1">
      <alignment horizontal="center"/>
    </xf>
    <xf numFmtId="0" fontId="2" fillId="3" borderId="5" xfId="0" applyNumberFormat="1" applyFont="1" applyFill="1" applyBorder="1" applyAlignment="1" applyProtection="1">
      <protection locked="0"/>
    </xf>
    <xf numFmtId="0" fontId="13" fillId="3" borderId="4" xfId="0" applyNumberFormat="1" applyFont="1" applyFill="1" applyBorder="1" applyAlignment="1">
      <alignment horizontal="right"/>
    </xf>
    <xf numFmtId="3" fontId="16" fillId="3" borderId="5" xfId="0" applyNumberFormat="1" applyFont="1" applyFill="1" applyBorder="1" applyAlignment="1"/>
    <xf numFmtId="0" fontId="16" fillId="3" borderId="5" xfId="0" applyNumberFormat="1" applyFont="1" applyFill="1" applyBorder="1" applyAlignment="1"/>
    <xf numFmtId="0" fontId="1" fillId="3" borderId="3" xfId="0" applyNumberFormat="1" applyFont="1" applyFill="1" applyBorder="1" applyAlignment="1"/>
    <xf numFmtId="0" fontId="29" fillId="4" borderId="3" xfId="0" applyNumberFormat="1" applyFont="1" applyFill="1" applyBorder="1" applyAlignment="1"/>
    <xf numFmtId="0" fontId="29" fillId="4" borderId="0" xfId="0" applyNumberFormat="1" applyFont="1" applyFill="1" applyAlignment="1"/>
    <xf numFmtId="0" fontId="30" fillId="4" borderId="0" xfId="0" applyNumberFormat="1" applyFont="1" applyFill="1" applyAlignment="1">
      <alignment horizontal="center" wrapText="1"/>
    </xf>
    <xf numFmtId="0" fontId="31" fillId="4" borderId="0" xfId="0" applyNumberFormat="1" applyFont="1" applyFill="1" applyAlignment="1">
      <alignment horizontal="center" wrapText="1"/>
    </xf>
    <xf numFmtId="0" fontId="29" fillId="4" borderId="0" xfId="0" applyNumberFormat="1" applyFont="1" applyFill="1" applyAlignment="1">
      <alignment horizontal="center" wrapText="1"/>
    </xf>
    <xf numFmtId="0" fontId="32" fillId="4" borderId="0" xfId="0" applyNumberFormat="1" applyFont="1" applyFill="1" applyAlignment="1"/>
    <xf numFmtId="0" fontId="33" fillId="4" borderId="0" xfId="0" applyNumberFormat="1" applyFont="1" applyFill="1" applyAlignment="1"/>
    <xf numFmtId="0" fontId="34" fillId="4" borderId="0" xfId="0" applyNumberFormat="1" applyFont="1" applyFill="1" applyAlignment="1"/>
    <xf numFmtId="0" fontId="34" fillId="4" borderId="0" xfId="0" applyNumberFormat="1" applyFont="1" applyFill="1" applyAlignment="1">
      <alignment horizontal="center"/>
    </xf>
    <xf numFmtId="0" fontId="34" fillId="4" borderId="0" xfId="0" applyNumberFormat="1" applyFont="1" applyFill="1" applyAlignment="1">
      <alignment horizontal="right"/>
    </xf>
    <xf numFmtId="15" fontId="34" fillId="4" borderId="0" xfId="0" applyNumberFormat="1" applyFont="1" applyFill="1" applyAlignment="1">
      <alignment horizontal="right"/>
    </xf>
    <xf numFmtId="4" fontId="29" fillId="4" borderId="0" xfId="0" applyNumberFormat="1" applyFont="1" applyFill="1" applyAlignment="1" applyProtection="1">
      <alignment horizontal="right"/>
      <protection locked="0"/>
    </xf>
    <xf numFmtId="0" fontId="29" fillId="4" borderId="1" xfId="0" applyNumberFormat="1" applyFont="1" applyFill="1" applyBorder="1" applyAlignment="1"/>
    <xf numFmtId="0" fontId="29" fillId="4" borderId="2" xfId="0" applyNumberFormat="1" applyFont="1" applyFill="1" applyBorder="1" applyAlignment="1"/>
    <xf numFmtId="4" fontId="29" fillId="4" borderId="2" xfId="0" applyNumberFormat="1" applyFont="1" applyFill="1" applyBorder="1" applyAlignment="1" applyProtection="1">
      <alignment horizontal="right"/>
      <protection locked="0"/>
    </xf>
    <xf numFmtId="0" fontId="34" fillId="4" borderId="2" xfId="0" applyNumberFormat="1" applyFont="1" applyFill="1" applyBorder="1" applyAlignment="1"/>
    <xf numFmtId="15" fontId="34" fillId="4" borderId="2" xfId="0" applyNumberFormat="1" applyFont="1" applyFill="1" applyBorder="1" applyAlignment="1">
      <alignment horizontal="centerContinuous"/>
    </xf>
    <xf numFmtId="15" fontId="34" fillId="4" borderId="2" xfId="0" applyNumberFormat="1" applyFont="1" applyFill="1" applyBorder="1" applyAlignment="1">
      <alignment horizontal="center"/>
    </xf>
    <xf numFmtId="0" fontId="29" fillId="4" borderId="3" xfId="0" applyNumberFormat="1" applyFont="1" applyFill="1" applyBorder="1" applyAlignment="1">
      <alignment horizontal="right"/>
    </xf>
    <xf numFmtId="3" fontId="34" fillId="4" borderId="0" xfId="0" applyNumberFormat="1" applyFont="1" applyFill="1" applyAlignment="1">
      <alignment horizontal="center"/>
    </xf>
    <xf numFmtId="0" fontId="29" fillId="4" borderId="12" xfId="0" applyNumberFormat="1" applyFont="1" applyFill="1" applyBorder="1" applyAlignment="1"/>
    <xf numFmtId="0" fontId="29" fillId="4" borderId="10" xfId="0" applyNumberFormat="1" applyFont="1" applyFill="1" applyBorder="1" applyAlignment="1"/>
    <xf numFmtId="0" fontId="29" fillId="4" borderId="11" xfId="0" applyNumberFormat="1" applyFont="1" applyFill="1" applyBorder="1" applyAlignment="1"/>
    <xf numFmtId="9" fontId="29" fillId="4" borderId="10" xfId="0" applyNumberFormat="1" applyFont="1" applyFill="1" applyBorder="1" applyAlignment="1"/>
    <xf numFmtId="3" fontId="35" fillId="3" borderId="5" xfId="0" applyNumberFormat="1" applyFont="1" applyFill="1" applyBorder="1" applyAlignment="1"/>
    <xf numFmtId="0" fontId="35" fillId="3" borderId="5" xfId="0" applyNumberFormat="1" applyFont="1" applyFill="1" applyBorder="1" applyAlignment="1"/>
    <xf numFmtId="9" fontId="35" fillId="3" borderId="5" xfId="0" applyNumberFormat="1" applyFont="1" applyFill="1" applyBorder="1" applyAlignment="1"/>
    <xf numFmtId="10" fontId="35" fillId="3" borderId="5" xfId="0" applyNumberFormat="1" applyFont="1" applyFill="1" applyBorder="1" applyAlignment="1"/>
    <xf numFmtId="3" fontId="35" fillId="3" borderId="5" xfId="0" applyNumberFormat="1" applyFont="1" applyFill="1" applyBorder="1" applyAlignment="1" applyProtection="1">
      <alignment horizontal="right"/>
      <protection locked="0"/>
    </xf>
    <xf numFmtId="0" fontId="35" fillId="3" borderId="0" xfId="0" applyNumberFormat="1" applyFont="1" applyFill="1" applyAlignment="1"/>
    <xf numFmtId="9" fontId="35" fillId="3" borderId="0" xfId="0" applyNumberFormat="1" applyFont="1" applyFill="1" applyAlignment="1"/>
    <xf numFmtId="3" fontId="35" fillId="3" borderId="0" xfId="0" applyNumberFormat="1" applyFont="1" applyFill="1" applyAlignment="1" applyProtection="1">
      <alignment horizontal="right"/>
      <protection locked="0"/>
    </xf>
    <xf numFmtId="0" fontId="37" fillId="3" borderId="0" xfId="0" applyNumberFormat="1" applyFont="1" applyFill="1" applyAlignment="1"/>
    <xf numFmtId="0" fontId="37" fillId="3" borderId="0" xfId="0" applyNumberFormat="1" applyFont="1" applyFill="1" applyAlignment="1">
      <alignment horizontal="center"/>
    </xf>
    <xf numFmtId="0" fontId="38" fillId="3" borderId="0" xfId="0" applyNumberFormat="1" applyFont="1" applyFill="1" applyAlignment="1"/>
    <xf numFmtId="0" fontId="37" fillId="3" borderId="0" xfId="0" quotePrefix="1" applyNumberFormat="1" applyFont="1" applyFill="1" applyAlignment="1">
      <alignment horizontal="center"/>
    </xf>
    <xf numFmtId="0" fontId="39" fillId="3" borderId="0" xfId="0" applyNumberFormat="1" applyFont="1" applyFill="1" applyAlignment="1"/>
    <xf numFmtId="0" fontId="40" fillId="3" borderId="0" xfId="0" applyNumberFormat="1" applyFont="1" applyFill="1" applyAlignment="1"/>
    <xf numFmtId="166" fontId="35" fillId="3" borderId="5" xfId="0" applyNumberFormat="1" applyFont="1" applyFill="1" applyBorder="1" applyAlignment="1"/>
    <xf numFmtId="0" fontId="35" fillId="3" borderId="5" xfId="0" applyNumberFormat="1" applyFont="1" applyFill="1" applyBorder="1" applyAlignment="1">
      <alignment horizontal="center"/>
    </xf>
    <xf numFmtId="3" fontId="35" fillId="3" borderId="5" xfId="0" applyNumberFormat="1" applyFont="1" applyFill="1" applyBorder="1" applyAlignment="1" applyProtection="1">
      <alignment horizontal="center"/>
      <protection locked="0"/>
    </xf>
    <xf numFmtId="0" fontId="40" fillId="3" borderId="7" xfId="0" applyNumberFormat="1" applyFont="1" applyFill="1" applyBorder="1" applyAlignment="1"/>
    <xf numFmtId="0" fontId="38" fillId="3" borderId="7" xfId="0" applyNumberFormat="1" applyFont="1" applyFill="1" applyBorder="1" applyAlignment="1"/>
    <xf numFmtId="0" fontId="38" fillId="3" borderId="8" xfId="0" applyNumberFormat="1" applyFont="1" applyFill="1" applyBorder="1" applyAlignment="1"/>
    <xf numFmtId="0" fontId="42" fillId="3" borderId="0" xfId="0" applyNumberFormat="1" applyFont="1" applyFill="1" applyAlignment="1">
      <alignment horizontal="center" wrapText="1"/>
    </xf>
    <xf numFmtId="9" fontId="37" fillId="3" borderId="0" xfId="0" applyNumberFormat="1" applyFont="1" applyFill="1" applyAlignment="1">
      <alignment horizontal="center"/>
    </xf>
    <xf numFmtId="10" fontId="37" fillId="3" borderId="0" xfId="0" applyNumberFormat="1" applyFont="1" applyFill="1" applyAlignment="1">
      <alignment horizontal="center"/>
    </xf>
    <xf numFmtId="15" fontId="37" fillId="3" borderId="0" xfId="0" applyNumberFormat="1" applyFont="1" applyFill="1" applyAlignment="1">
      <alignment horizontal="center"/>
    </xf>
    <xf numFmtId="0" fontId="35" fillId="3" borderId="0" xfId="0" applyNumberFormat="1" applyFont="1" applyFill="1" applyAlignment="1">
      <alignment horizontal="center"/>
    </xf>
    <xf numFmtId="0" fontId="42" fillId="3" borderId="0" xfId="0" applyNumberFormat="1" applyFont="1" applyFill="1" applyAlignment="1"/>
    <xf numFmtId="0" fontId="43" fillId="3" borderId="0" xfId="0" applyNumberFormat="1" applyFont="1" applyFill="1" applyAlignment="1"/>
    <xf numFmtId="0" fontId="44" fillId="3" borderId="2" xfId="0" applyNumberFormat="1" applyFont="1" applyFill="1" applyBorder="1" applyAlignment="1"/>
    <xf numFmtId="0" fontId="2" fillId="3" borderId="0" xfId="0" applyNumberFormat="1" applyFont="1" applyFill="1" applyBorder="1" applyAlignment="1"/>
    <xf numFmtId="15" fontId="13" fillId="3" borderId="0" xfId="0" applyNumberFormat="1" applyFont="1" applyFill="1" applyBorder="1" applyAlignment="1" applyProtection="1">
      <alignment horizontal="center"/>
      <protection locked="0"/>
    </xf>
    <xf numFmtId="15" fontId="13" fillId="3" borderId="0" xfId="0" applyNumberFormat="1" applyFont="1" applyFill="1" applyBorder="1" applyAlignment="1">
      <alignment horizontal="center"/>
    </xf>
    <xf numFmtId="0" fontId="2" fillId="3" borderId="13" xfId="0" applyNumberFormat="1" applyFont="1" applyFill="1" applyBorder="1" applyAlignment="1"/>
    <xf numFmtId="0" fontId="35" fillId="3" borderId="14" xfId="0" applyNumberFormat="1" applyFont="1" applyFill="1" applyBorder="1" applyAlignment="1"/>
    <xf numFmtId="0" fontId="35" fillId="3" borderId="14" xfId="0" applyNumberFormat="1" applyFont="1" applyFill="1" applyBorder="1" applyAlignment="1">
      <alignment horizontal="center" wrapText="1"/>
    </xf>
    <xf numFmtId="0" fontId="38" fillId="3" borderId="14" xfId="0" applyNumberFormat="1" applyFont="1" applyFill="1" applyBorder="1" applyAlignment="1"/>
    <xf numFmtId="0" fontId="35" fillId="3" borderId="15" xfId="0" applyNumberFormat="1" applyFont="1" applyFill="1" applyBorder="1" applyAlignment="1"/>
    <xf numFmtId="0" fontId="10" fillId="3" borderId="13" xfId="0" applyNumberFormat="1" applyFont="1" applyFill="1" applyBorder="1" applyAlignment="1"/>
    <xf numFmtId="0" fontId="41" fillId="3" borderId="14" xfId="0" applyNumberFormat="1" applyFont="1" applyFill="1" applyBorder="1" applyAlignment="1"/>
    <xf numFmtId="0" fontId="36" fillId="3" borderId="14" xfId="0" applyNumberFormat="1" applyFont="1" applyFill="1" applyBorder="1" applyAlignment="1">
      <alignment horizontal="center" wrapText="1"/>
    </xf>
    <xf numFmtId="0" fontId="37" fillId="3" borderId="14" xfId="0" applyNumberFormat="1" applyFont="1" applyFill="1" applyBorder="1" applyAlignment="1"/>
    <xf numFmtId="0" fontId="35" fillId="3" borderId="14" xfId="0" applyNumberFormat="1" applyFont="1" applyFill="1" applyBorder="1" applyAlignment="1">
      <alignment horizontal="center"/>
    </xf>
    <xf numFmtId="0" fontId="36" fillId="3" borderId="14" xfId="0" applyNumberFormat="1" applyFont="1" applyFill="1" applyBorder="1" applyAlignment="1"/>
    <xf numFmtId="164" fontId="35" fillId="3" borderId="14" xfId="0" applyNumberFormat="1" applyFont="1" applyFill="1" applyBorder="1" applyAlignment="1"/>
    <xf numFmtId="164" fontId="35" fillId="3" borderId="14" xfId="0" applyNumberFormat="1" applyFont="1" applyFill="1" applyBorder="1" applyAlignment="1">
      <alignment horizontal="center"/>
    </xf>
    <xf numFmtId="164" fontId="38" fillId="3" borderId="14" xfId="0" applyNumberFormat="1" applyFont="1" applyFill="1" applyBorder="1" applyAlignment="1"/>
    <xf numFmtId="3" fontId="35" fillId="3" borderId="15" xfId="0" applyNumberFormat="1" applyFont="1" applyFill="1" applyBorder="1" applyAlignment="1"/>
    <xf numFmtId="164" fontId="37" fillId="3" borderId="14" xfId="0" applyNumberFormat="1" applyFont="1" applyFill="1" applyBorder="1" applyAlignment="1"/>
    <xf numFmtId="169" fontId="35" fillId="3" borderId="14" xfId="0" applyNumberFormat="1" applyFont="1" applyFill="1" applyBorder="1" applyAlignment="1">
      <alignment horizontal="center"/>
    </xf>
    <xf numFmtId="168" fontId="35" fillId="3" borderId="14" xfId="0" applyNumberFormat="1" applyFont="1" applyFill="1" applyBorder="1" applyAlignment="1">
      <alignment horizontal="center"/>
    </xf>
    <xf numFmtId="164" fontId="37" fillId="3" borderId="14" xfId="0" applyNumberFormat="1" applyFont="1" applyFill="1" applyBorder="1" applyAlignment="1">
      <alignment horizontal="center"/>
    </xf>
    <xf numFmtId="164" fontId="39" fillId="3" borderId="14" xfId="0" applyNumberFormat="1" applyFont="1" applyFill="1" applyBorder="1" applyAlignment="1"/>
    <xf numFmtId="169" fontId="37" fillId="3" borderId="14" xfId="0" applyNumberFormat="1" applyFont="1" applyFill="1" applyBorder="1" applyAlignment="1">
      <alignment horizontal="center"/>
    </xf>
    <xf numFmtId="168" fontId="37" fillId="3" borderId="14" xfId="0" applyNumberFormat="1" applyFont="1" applyFill="1" applyBorder="1" applyAlignment="1">
      <alignment horizontal="center"/>
    </xf>
    <xf numFmtId="164" fontId="41" fillId="3" borderId="14" xfId="0" applyNumberFormat="1" applyFont="1" applyFill="1" applyBorder="1" applyAlignment="1">
      <alignment horizontal="center"/>
    </xf>
    <xf numFmtId="164" fontId="36" fillId="3" borderId="14" xfId="0" applyNumberFormat="1" applyFont="1" applyFill="1" applyBorder="1" applyAlignment="1"/>
    <xf numFmtId="4" fontId="36" fillId="3" borderId="14" xfId="0" applyNumberFormat="1" applyFont="1" applyFill="1" applyBorder="1" applyAlignment="1">
      <alignment horizontal="center"/>
    </xf>
    <xf numFmtId="164" fontId="36" fillId="3" borderId="14" xfId="0" applyNumberFormat="1" applyFont="1" applyFill="1" applyBorder="1" applyAlignment="1">
      <alignment horizontal="center"/>
    </xf>
    <xf numFmtId="0" fontId="19" fillId="3" borderId="14" xfId="0" applyNumberFormat="1" applyFont="1" applyFill="1" applyBorder="1" applyAlignment="1"/>
    <xf numFmtId="0" fontId="2" fillId="3" borderId="14" xfId="0" applyNumberFormat="1" applyFont="1" applyFill="1" applyBorder="1" applyAlignment="1"/>
    <xf numFmtId="171" fontId="19" fillId="3" borderId="14" xfId="0" applyNumberFormat="1" applyFont="1" applyFill="1" applyBorder="1" applyAlignment="1">
      <alignment horizontal="center"/>
    </xf>
    <xf numFmtId="171" fontId="19" fillId="3" borderId="14" xfId="0" applyNumberFormat="1" applyFont="1" applyFill="1" applyBorder="1" applyAlignment="1"/>
    <xf numFmtId="0" fontId="2" fillId="3" borderId="14" xfId="0" applyNumberFormat="1" applyFont="1" applyFill="1" applyBorder="1" applyAlignment="1">
      <alignment horizontal="center"/>
    </xf>
    <xf numFmtId="0" fontId="1" fillId="3" borderId="14" xfId="0" applyNumberFormat="1" applyFont="1" applyFill="1" applyBorder="1" applyAlignment="1"/>
    <xf numFmtId="0" fontId="2" fillId="3" borderId="15" xfId="0" applyNumberFormat="1" applyFont="1" applyFill="1" applyBorder="1" applyAlignment="1"/>
    <xf numFmtId="10" fontId="2" fillId="3" borderId="14" xfId="0" applyNumberFormat="1" applyFont="1" applyFill="1" applyBorder="1" applyAlignment="1">
      <alignment horizontal="center"/>
    </xf>
    <xf numFmtId="165" fontId="2" fillId="3" borderId="14" xfId="0" applyNumberFormat="1" applyFont="1" applyFill="1" applyBorder="1" applyAlignment="1">
      <alignment horizontal="center"/>
    </xf>
    <xf numFmtId="10" fontId="35" fillId="3" borderId="14" xfId="0" applyNumberFormat="1" applyFont="1" applyFill="1" applyBorder="1" applyAlignment="1">
      <alignment horizontal="center"/>
    </xf>
    <xf numFmtId="165" fontId="35" fillId="3" borderId="14" xfId="0" applyNumberFormat="1" applyFont="1" applyFill="1" applyBorder="1" applyAlignment="1">
      <alignment horizontal="center"/>
    </xf>
    <xf numFmtId="167" fontId="35" fillId="3" borderId="14" xfId="0" applyNumberFormat="1" applyFont="1" applyFill="1" applyBorder="1" applyAlignment="1">
      <alignment horizontal="center"/>
    </xf>
    <xf numFmtId="0" fontId="41" fillId="3" borderId="14" xfId="0" applyNumberFormat="1" applyFont="1" applyFill="1" applyBorder="1" applyAlignment="1">
      <alignment horizontal="center"/>
    </xf>
    <xf numFmtId="0" fontId="35" fillId="3" borderId="14" xfId="0" applyNumberFormat="1" applyFont="1" applyFill="1" applyBorder="1" applyAlignment="1">
      <alignment horizontal="right"/>
    </xf>
    <xf numFmtId="165" fontId="35" fillId="3" borderId="14" xfId="0" applyNumberFormat="1" applyFont="1" applyFill="1" applyBorder="1" applyAlignment="1"/>
    <xf numFmtId="4" fontId="35" fillId="3" borderId="14" xfId="0" applyNumberFormat="1" applyFont="1" applyFill="1" applyBorder="1" applyAlignment="1">
      <alignment horizontal="center"/>
    </xf>
    <xf numFmtId="4" fontId="37" fillId="3" borderId="14" xfId="0" applyNumberFormat="1" applyFont="1" applyFill="1" applyBorder="1" applyAlignment="1">
      <alignment horizontal="center"/>
    </xf>
    <xf numFmtId="0" fontId="37" fillId="3" borderId="14" xfId="0" applyNumberFormat="1" applyFont="1" applyFill="1" applyBorder="1" applyAlignment="1">
      <alignment horizontal="center"/>
    </xf>
    <xf numFmtId="15" fontId="37" fillId="3" borderId="14" xfId="0" applyNumberFormat="1" applyFont="1" applyFill="1" applyBorder="1" applyAlignment="1">
      <alignment horizontal="center"/>
    </xf>
    <xf numFmtId="15" fontId="37" fillId="3" borderId="14" xfId="0" applyNumberFormat="1" applyFont="1" applyFill="1" applyBorder="1" applyAlignment="1" applyProtection="1">
      <alignment horizontal="center"/>
      <protection locked="0"/>
    </xf>
    <xf numFmtId="15" fontId="35" fillId="3" borderId="14" xfId="0" applyNumberFormat="1" applyFont="1" applyFill="1" applyBorder="1" applyAlignment="1"/>
    <xf numFmtId="15" fontId="35" fillId="3" borderId="14" xfId="0" applyNumberFormat="1" applyFont="1" applyFill="1" applyBorder="1" applyAlignment="1" applyProtection="1">
      <alignment horizontal="center"/>
      <protection locked="0"/>
    </xf>
    <xf numFmtId="15" fontId="35" fillId="3" borderId="14" xfId="0" applyNumberFormat="1" applyFont="1" applyFill="1" applyBorder="1" applyAlignment="1">
      <alignment horizontal="center"/>
    </xf>
    <xf numFmtId="3" fontId="2" fillId="3" borderId="0" xfId="0" applyNumberFormat="1" applyFont="1" applyFill="1" applyBorder="1" applyAlignment="1"/>
    <xf numFmtId="3" fontId="13" fillId="3" borderId="0" xfId="0" applyNumberFormat="1" applyFont="1" applyFill="1" applyBorder="1" applyAlignment="1"/>
    <xf numFmtId="3" fontId="35" fillId="3" borderId="14" xfId="0" applyNumberFormat="1" applyFont="1" applyFill="1" applyBorder="1" applyAlignment="1"/>
    <xf numFmtId="3" fontId="35" fillId="3" borderId="14" xfId="0" applyNumberFormat="1" applyFont="1" applyFill="1" applyBorder="1" applyAlignment="1" applyProtection="1">
      <alignment horizontal="right"/>
      <protection locked="0"/>
    </xf>
    <xf numFmtId="14" fontId="35" fillId="3" borderId="14" xfId="0" applyNumberFormat="1" applyFont="1" applyFill="1" applyBorder="1" applyAlignment="1">
      <alignment horizontal="right"/>
    </xf>
    <xf numFmtId="167" fontId="35" fillId="3" borderId="14" xfId="0" applyNumberFormat="1" applyFont="1" applyFill="1" applyBorder="1" applyAlignment="1">
      <alignment horizontal="right"/>
    </xf>
    <xf numFmtId="0" fontId="21" fillId="3" borderId="14" xfId="0" applyNumberFormat="1" applyFont="1" applyFill="1" applyBorder="1" applyAlignment="1"/>
    <xf numFmtId="3" fontId="2" fillId="3" borderId="14" xfId="0" applyNumberFormat="1" applyFont="1" applyFill="1" applyBorder="1" applyAlignment="1"/>
    <xf numFmtId="3" fontId="13" fillId="3" borderId="14" xfId="0" applyNumberFormat="1" applyFont="1" applyFill="1" applyBorder="1" applyAlignment="1" applyProtection="1">
      <alignment horizontal="right"/>
      <protection locked="0"/>
    </xf>
    <xf numFmtId="0" fontId="35" fillId="3" borderId="13" xfId="0" applyNumberFormat="1" applyFont="1" applyFill="1" applyBorder="1" applyAlignment="1"/>
    <xf numFmtId="4" fontId="13" fillId="3" borderId="14" xfId="0" applyNumberFormat="1" applyFont="1" applyFill="1" applyBorder="1" applyAlignment="1" applyProtection="1">
      <alignment horizontal="right"/>
      <protection locked="0"/>
    </xf>
    <xf numFmtId="4" fontId="2" fillId="3" borderId="0" xfId="0" applyNumberFormat="1" applyFont="1" applyFill="1" applyBorder="1" applyAlignment="1" applyProtection="1">
      <alignment horizontal="right"/>
      <protection locked="0"/>
    </xf>
    <xf numFmtId="4" fontId="35" fillId="3" borderId="14" xfId="0" applyNumberFormat="1" applyFont="1" applyFill="1" applyBorder="1" applyAlignment="1" applyProtection="1">
      <alignment horizontal="right"/>
      <protection locked="0"/>
    </xf>
    <xf numFmtId="0" fontId="35" fillId="3" borderId="0" xfId="0" applyNumberFormat="1" applyFont="1" applyFill="1" applyBorder="1" applyAlignment="1"/>
    <xf numFmtId="2" fontId="35" fillId="3" borderId="14" xfId="0" applyNumberFormat="1" applyFont="1" applyFill="1" applyBorder="1" applyAlignment="1" applyProtection="1">
      <alignment horizontal="right"/>
      <protection locked="0"/>
    </xf>
    <xf numFmtId="0" fontId="13" fillId="3" borderId="0" xfId="0" applyNumberFormat="1" applyFont="1" applyFill="1" applyBorder="1" applyAlignment="1"/>
    <xf numFmtId="0" fontId="2" fillId="3" borderId="0" xfId="0" applyNumberFormat="1" applyFont="1" applyFill="1" applyBorder="1" applyAlignment="1" applyProtection="1">
      <protection locked="0"/>
    </xf>
    <xf numFmtId="0" fontId="13" fillId="3" borderId="13" xfId="0" applyNumberFormat="1" applyFont="1" applyFill="1" applyBorder="1" applyAlignment="1"/>
    <xf numFmtId="15" fontId="37" fillId="3" borderId="14" xfId="0" applyNumberFormat="1" applyFont="1" applyFill="1" applyBorder="1" applyAlignment="1">
      <alignment horizontal="centerContinuous"/>
    </xf>
    <xf numFmtId="17" fontId="35" fillId="3" borderId="14" xfId="0" applyNumberFormat="1" applyFont="1" applyFill="1" applyBorder="1" applyAlignment="1">
      <alignment horizontal="center"/>
    </xf>
    <xf numFmtId="0" fontId="13" fillId="3" borderId="3" xfId="0" applyNumberFormat="1" applyFont="1" applyFill="1" applyBorder="1" applyAlignment="1">
      <alignment horizontal="right"/>
    </xf>
    <xf numFmtId="0" fontId="13" fillId="3" borderId="0" xfId="0" applyNumberFormat="1" applyFont="1" applyFill="1" applyBorder="1" applyAlignment="1">
      <alignment horizontal="right"/>
    </xf>
    <xf numFmtId="4" fontId="13" fillId="3" borderId="0" xfId="0" applyNumberFormat="1" applyFont="1" applyFill="1" applyBorder="1" applyAlignment="1">
      <alignment horizontal="right"/>
    </xf>
    <xf numFmtId="10" fontId="13" fillId="3" borderId="0" xfId="0" applyNumberFormat="1" applyFont="1" applyFill="1" applyBorder="1" applyAlignment="1" applyProtection="1">
      <alignment horizontal="center"/>
      <protection locked="0"/>
    </xf>
    <xf numFmtId="0" fontId="16" fillId="3" borderId="0" xfId="0" applyNumberFormat="1" applyFont="1" applyFill="1" applyBorder="1" applyAlignment="1"/>
    <xf numFmtId="0" fontId="13" fillId="3" borderId="13" xfId="0" applyNumberFormat="1" applyFont="1" applyFill="1" applyBorder="1" applyAlignment="1">
      <alignment horizontal="right"/>
    </xf>
    <xf numFmtId="3" fontId="13" fillId="3" borderId="14" xfId="0" applyNumberFormat="1" applyFont="1" applyFill="1" applyBorder="1" applyAlignment="1"/>
    <xf numFmtId="3" fontId="35" fillId="3" borderId="14" xfId="0" applyNumberFormat="1" applyFont="1" applyFill="1" applyBorder="1" applyAlignment="1">
      <alignment horizontal="center"/>
    </xf>
    <xf numFmtId="3" fontId="35" fillId="3" borderId="14" xfId="0" applyNumberFormat="1" applyFont="1" applyFill="1" applyBorder="1" applyAlignment="1" applyProtection="1">
      <alignment horizontal="center"/>
      <protection locked="0"/>
    </xf>
    <xf numFmtId="0" fontId="2" fillId="3" borderId="14" xfId="0" applyNumberFormat="1" applyFont="1" applyFill="1" applyBorder="1" applyAlignment="1" applyProtection="1">
      <protection locked="0"/>
    </xf>
    <xf numFmtId="3" fontId="16" fillId="3" borderId="15" xfId="0" applyNumberFormat="1" applyFont="1" applyFill="1" applyBorder="1" applyAlignment="1"/>
    <xf numFmtId="4" fontId="35" fillId="3" borderId="14" xfId="0" applyNumberFormat="1" applyFont="1" applyFill="1" applyBorder="1" applyAlignment="1" applyProtection="1">
      <alignment horizontal="center"/>
      <protection locked="0"/>
    </xf>
    <xf numFmtId="0" fontId="13" fillId="3" borderId="13" xfId="0" applyNumberFormat="1" applyFont="1" applyFill="1" applyBorder="1" applyAlignment="1">
      <alignment horizontal="center"/>
    </xf>
    <xf numFmtId="0" fontId="13" fillId="3" borderId="14" xfId="0" applyNumberFormat="1" applyFont="1" applyFill="1" applyBorder="1" applyAlignment="1"/>
    <xf numFmtId="0" fontId="16" fillId="3" borderId="15" xfId="0" applyNumberFormat="1" applyFont="1" applyFill="1" applyBorder="1" applyAlignment="1"/>
    <xf numFmtId="0" fontId="13" fillId="3" borderId="14" xfId="0" applyNumberFormat="1" applyFont="1" applyFill="1" applyBorder="1" applyAlignment="1">
      <alignment horizontal="right"/>
    </xf>
    <xf numFmtId="4" fontId="13" fillId="3" borderId="14" xfId="0" applyNumberFormat="1" applyFont="1" applyFill="1" applyBorder="1" applyAlignment="1">
      <alignment horizontal="right"/>
    </xf>
    <xf numFmtId="10" fontId="35" fillId="3" borderId="14" xfId="0" applyNumberFormat="1" applyFont="1" applyFill="1" applyBorder="1" applyAlignment="1" applyProtection="1">
      <alignment horizontal="center"/>
      <protection locked="0"/>
    </xf>
    <xf numFmtId="10" fontId="13" fillId="3" borderId="14" xfId="0" applyNumberFormat="1" applyFont="1" applyFill="1" applyBorder="1" applyAlignment="1" applyProtection="1">
      <alignment horizontal="center"/>
      <protection locked="0"/>
    </xf>
    <xf numFmtId="0" fontId="27" fillId="3" borderId="14" xfId="0" applyNumberFormat="1" applyFont="1" applyFill="1" applyBorder="1" applyAlignment="1"/>
    <xf numFmtId="10" fontId="28" fillId="3" borderId="14" xfId="1" applyNumberFormat="1" applyFont="1" applyFill="1" applyBorder="1" applyAlignment="1">
      <alignment horizontal="left"/>
      <protection locked="0"/>
    </xf>
    <xf numFmtId="9" fontId="2" fillId="3" borderId="0" xfId="0" applyNumberFormat="1" applyFont="1" applyFill="1" applyBorder="1" applyAlignment="1"/>
    <xf numFmtId="10" fontId="2" fillId="3" borderId="0" xfId="0" applyNumberFormat="1" applyFont="1" applyFill="1" applyBorder="1" applyAlignment="1"/>
    <xf numFmtId="3" fontId="13" fillId="3" borderId="0" xfId="0" applyNumberFormat="1" applyFont="1" applyFill="1" applyBorder="1" applyAlignment="1" applyProtection="1">
      <alignment horizontal="right"/>
      <protection locked="0"/>
    </xf>
    <xf numFmtId="166" fontId="35" fillId="3" borderId="14" xfId="0" applyNumberFormat="1" applyFont="1" applyFill="1" applyBorder="1" applyAlignment="1"/>
    <xf numFmtId="10" fontId="35" fillId="3" borderId="14" xfId="0" applyNumberFormat="1" applyFont="1" applyFill="1" applyBorder="1" applyAlignment="1"/>
    <xf numFmtId="9" fontId="35" fillId="3" borderId="14" xfId="0" applyNumberFormat="1" applyFont="1" applyFill="1" applyBorder="1" applyAlignment="1"/>
    <xf numFmtId="9" fontId="35" fillId="3" borderId="0" xfId="0" applyNumberFormat="1" applyFont="1" applyFill="1" applyBorder="1" applyAlignment="1"/>
    <xf numFmtId="3" fontId="35" fillId="3" borderId="0" xfId="0" applyNumberFormat="1" applyFont="1" applyFill="1" applyBorder="1" applyAlignment="1" applyProtection="1">
      <alignment horizontal="right"/>
      <protection locked="0"/>
    </xf>
    <xf numFmtId="3" fontId="36" fillId="3" borderId="14" xfId="0" applyNumberFormat="1" applyFont="1" applyFill="1" applyBorder="1" applyAlignment="1"/>
    <xf numFmtId="3" fontId="37" fillId="3" borderId="14" xfId="0" applyNumberFormat="1" applyFont="1" applyFill="1" applyBorder="1" applyAlignment="1" applyProtection="1">
      <alignment horizontal="right"/>
      <protection locked="0"/>
    </xf>
    <xf numFmtId="0" fontId="36" fillId="3" borderId="0" xfId="0" applyNumberFormat="1" applyFont="1" applyFill="1" applyAlignment="1"/>
    <xf numFmtId="9" fontId="36" fillId="3" borderId="0" xfId="0" applyNumberFormat="1" applyFont="1" applyFill="1" applyAlignment="1">
      <alignment horizontal="center"/>
    </xf>
    <xf numFmtId="10" fontId="36" fillId="3" borderId="0" xfId="0" applyNumberFormat="1" applyFont="1" applyFill="1" applyAlignment="1">
      <alignment horizontal="center"/>
    </xf>
    <xf numFmtId="0" fontId="36" fillId="3" borderId="0" xfId="0" applyNumberFormat="1" applyFont="1" applyFill="1" applyAlignment="1">
      <alignment horizontal="center"/>
    </xf>
    <xf numFmtId="15" fontId="36" fillId="3" borderId="0" xfId="0" applyNumberFormat="1" applyFont="1" applyFill="1" applyAlignment="1">
      <alignment horizontal="center"/>
    </xf>
    <xf numFmtId="169" fontId="36" fillId="3" borderId="14" xfId="0" applyNumberFormat="1" applyFont="1" applyFill="1" applyBorder="1" applyAlignment="1">
      <alignment horizontal="center"/>
    </xf>
    <xf numFmtId="168" fontId="36" fillId="3" borderId="14" xfId="0" applyNumberFormat="1" applyFont="1" applyFill="1" applyBorder="1" applyAlignment="1">
      <alignment horizontal="center"/>
    </xf>
    <xf numFmtId="0" fontId="36" fillId="3" borderId="14" xfId="0" applyNumberFormat="1" applyFont="1" applyFill="1" applyBorder="1" applyAlignment="1">
      <alignment horizontal="center"/>
    </xf>
    <xf numFmtId="15" fontId="36" fillId="3" borderId="14" xfId="0" applyNumberFormat="1" applyFont="1" applyFill="1" applyBorder="1" applyAlignment="1">
      <alignment horizontal="center"/>
    </xf>
    <xf numFmtId="15" fontId="36" fillId="3" borderId="14" xfId="0" applyNumberFormat="1" applyFont="1" applyFill="1" applyBorder="1" applyAlignment="1" applyProtection="1">
      <alignment horizontal="center"/>
      <protection locked="0"/>
    </xf>
    <xf numFmtId="0" fontId="30" fillId="4" borderId="0" xfId="0" applyNumberFormat="1" applyFont="1" applyFill="1" applyAlignment="1"/>
    <xf numFmtId="0" fontId="30" fillId="4" borderId="0" xfId="0" applyNumberFormat="1" applyFont="1" applyFill="1" applyAlignment="1">
      <alignment horizontal="center"/>
    </xf>
    <xf numFmtId="0" fontId="30" fillId="4" borderId="0" xfId="0" applyNumberFormat="1" applyFont="1" applyFill="1" applyAlignment="1">
      <alignment horizontal="right"/>
    </xf>
    <xf numFmtId="15" fontId="30" fillId="4" borderId="0" xfId="0" applyNumberFormat="1" applyFont="1" applyFill="1" applyAlignment="1">
      <alignment horizontal="right"/>
    </xf>
    <xf numFmtId="0" fontId="30" fillId="4" borderId="2" xfId="0" applyNumberFormat="1" applyFont="1" applyFill="1" applyBorder="1" applyAlignment="1"/>
    <xf numFmtId="15" fontId="30" fillId="4" borderId="2" xfId="0" applyNumberFormat="1" applyFont="1" applyFill="1" applyBorder="1" applyAlignment="1">
      <alignment horizontal="centerContinuous"/>
    </xf>
    <xf numFmtId="15" fontId="30" fillId="4" borderId="2" xfId="0" applyNumberFormat="1" applyFont="1" applyFill="1" applyBorder="1" applyAlignment="1">
      <alignment horizontal="center"/>
    </xf>
    <xf numFmtId="15" fontId="36" fillId="3" borderId="14" xfId="0" applyNumberFormat="1" applyFont="1" applyFill="1" applyBorder="1" applyAlignment="1">
      <alignment horizontal="centerContinuous"/>
    </xf>
    <xf numFmtId="3" fontId="30" fillId="4" borderId="0" xfId="0" applyNumberFormat="1" applyFont="1" applyFill="1" applyAlignment="1">
      <alignment horizontal="center"/>
    </xf>
    <xf numFmtId="3" fontId="36" fillId="3" borderId="14" xfId="0" applyNumberFormat="1" applyFont="1" applyFill="1" applyBorder="1" applyAlignment="1" applyProtection="1">
      <alignment horizontal="right"/>
      <protection locked="0"/>
    </xf>
    <xf numFmtId="0" fontId="36" fillId="3" borderId="0" xfId="0" quotePrefix="1" applyNumberFormat="1" applyFont="1" applyFill="1" applyAlignment="1">
      <alignment horizontal="center"/>
    </xf>
    <xf numFmtId="0" fontId="35" fillId="3" borderId="16" xfId="0" applyNumberFormat="1" applyFont="1" applyFill="1" applyBorder="1" applyAlignment="1"/>
    <xf numFmtId="0" fontId="35" fillId="3" borderId="17" xfId="0" applyNumberFormat="1" applyFont="1" applyFill="1" applyBorder="1" applyAlignment="1"/>
    <xf numFmtId="0" fontId="45" fillId="6" borderId="0" xfId="1" applyNumberFormat="1" applyFont="1" applyFill="1" applyAlignment="1" applyProtection="1"/>
    <xf numFmtId="0" fontId="46" fillId="6" borderId="0" xfId="0" applyNumberFormat="1" applyFont="1" applyFill="1" applyAlignment="1"/>
    <xf numFmtId="0" fontId="47" fillId="3" borderId="1" xfId="0" applyNumberFormat="1" applyFont="1" applyFill="1" applyBorder="1" applyAlignment="1"/>
    <xf numFmtId="0" fontId="47" fillId="3" borderId="2" xfId="0" applyNumberFormat="1" applyFont="1" applyFill="1" applyBorder="1" applyAlignment="1"/>
    <xf numFmtId="0" fontId="47" fillId="0" borderId="3" xfId="0" applyNumberFormat="1" applyFont="1" applyBorder="1"/>
    <xf numFmtId="0" fontId="47" fillId="0" borderId="0" xfId="0" applyNumberFormat="1" applyFont="1" applyAlignment="1"/>
    <xf numFmtId="0" fontId="47" fillId="3" borderId="3" xfId="0" applyNumberFormat="1" applyFont="1" applyFill="1" applyBorder="1" applyAlignment="1"/>
    <xf numFmtId="0" fontId="48" fillId="3" borderId="0" xfId="0" applyNumberFormat="1" applyFont="1" applyFill="1" applyAlignment="1"/>
    <xf numFmtId="0" fontId="47" fillId="3" borderId="0" xfId="0" applyNumberFormat="1" applyFont="1" applyFill="1" applyAlignment="1"/>
    <xf numFmtId="0" fontId="47" fillId="3" borderId="3" xfId="0" applyNumberFormat="1" applyFont="1" applyFill="1" applyBorder="1" applyAlignment="1">
      <alignment horizontal="center"/>
    </xf>
    <xf numFmtId="0" fontId="49" fillId="3" borderId="0" xfId="0" applyNumberFormat="1" applyFont="1" applyFill="1" applyAlignment="1"/>
    <xf numFmtId="0" fontId="50" fillId="3" borderId="0" xfId="0" applyNumberFormat="1" applyFont="1" applyFill="1" applyAlignment="1"/>
    <xf numFmtId="0" fontId="51" fillId="3" borderId="0" xfId="0" applyNumberFormat="1" applyFont="1" applyFill="1" applyAlignment="1"/>
    <xf numFmtId="0" fontId="52" fillId="3" borderId="0" xfId="0" applyNumberFormat="1" applyFont="1" applyFill="1" applyAlignment="1"/>
    <xf numFmtId="0" fontId="53" fillId="3" borderId="0" xfId="1" applyNumberFormat="1" applyFont="1" applyFill="1" applyAlignment="1" applyProtection="1"/>
    <xf numFmtId="0" fontId="54" fillId="3" borderId="0" xfId="0" applyNumberFormat="1" applyFont="1" applyFill="1" applyAlignment="1"/>
    <xf numFmtId="0" fontId="47" fillId="3" borderId="0" xfId="0" applyNumberFormat="1" applyFont="1" applyFill="1" applyAlignment="1">
      <alignment horizontal="right"/>
    </xf>
    <xf numFmtId="0" fontId="56" fillId="5" borderId="3" xfId="0" applyNumberFormat="1" applyFont="1" applyFill="1" applyBorder="1" applyAlignment="1"/>
    <xf numFmtId="0" fontId="56" fillId="5" borderId="0" xfId="0" applyNumberFormat="1" applyFont="1" applyFill="1" applyAlignment="1"/>
    <xf numFmtId="0" fontId="47" fillId="3" borderId="13" xfId="0" applyNumberFormat="1" applyFont="1" applyFill="1" applyBorder="1" applyAlignment="1"/>
    <xf numFmtId="0" fontId="55" fillId="3" borderId="14" xfId="0" applyNumberFormat="1" applyFont="1" applyFill="1" applyBorder="1" applyAlignment="1"/>
    <xf numFmtId="0" fontId="55" fillId="3" borderId="15" xfId="0" applyNumberFormat="1" applyFont="1" applyFill="1" applyBorder="1" applyAlignment="1"/>
    <xf numFmtId="0" fontId="55" fillId="3" borderId="14" xfId="0" applyNumberFormat="1" applyFont="1" applyFill="1" applyBorder="1" applyAlignment="1">
      <alignment horizontal="center"/>
    </xf>
    <xf numFmtId="0" fontId="47" fillId="3" borderId="14" xfId="0" applyNumberFormat="1" applyFont="1" applyFill="1" applyBorder="1" applyAlignment="1"/>
    <xf numFmtId="0" fontId="47" fillId="3" borderId="14" xfId="0" applyNumberFormat="1" applyFont="1" applyFill="1" applyBorder="1" applyAlignment="1">
      <alignment horizontal="center"/>
    </xf>
    <xf numFmtId="0" fontId="47" fillId="3" borderId="15" xfId="0" applyNumberFormat="1" applyFont="1" applyFill="1" applyBorder="1" applyAlignment="1"/>
    <xf numFmtId="10" fontId="47" fillId="3" borderId="14" xfId="0" applyNumberFormat="1" applyFont="1" applyFill="1" applyBorder="1" applyAlignment="1">
      <alignment horizontal="center"/>
    </xf>
    <xf numFmtId="165" fontId="47" fillId="3" borderId="14" xfId="0" applyNumberFormat="1" applyFont="1" applyFill="1" applyBorder="1" applyAlignment="1">
      <alignment horizontal="center"/>
    </xf>
    <xf numFmtId="0" fontId="47" fillId="3" borderId="0" xfId="0" applyNumberFormat="1" applyFont="1" applyFill="1" applyBorder="1" applyAlignment="1"/>
    <xf numFmtId="0" fontId="47" fillId="3" borderId="6" xfId="0" applyNumberFormat="1" applyFont="1" applyFill="1" applyBorder="1" applyAlignment="1"/>
    <xf numFmtId="0" fontId="60" fillId="5" borderId="0" xfId="0" applyNumberFormat="1" applyFont="1" applyFill="1" applyAlignment="1"/>
    <xf numFmtId="4" fontId="56" fillId="5" borderId="0" xfId="0" applyNumberFormat="1" applyFont="1" applyFill="1" applyAlignment="1" applyProtection="1">
      <alignment horizontal="right"/>
      <protection locked="0"/>
    </xf>
    <xf numFmtId="4" fontId="47" fillId="3" borderId="0" xfId="0" applyNumberFormat="1" applyFont="1" applyFill="1" applyAlignment="1" applyProtection="1">
      <alignment horizontal="right"/>
      <protection locked="0"/>
    </xf>
    <xf numFmtId="0" fontId="61" fillId="3" borderId="0" xfId="0" applyNumberFormat="1" applyFont="1" applyFill="1" applyAlignment="1"/>
    <xf numFmtId="3" fontId="47" fillId="3" borderId="0" xfId="0" applyNumberFormat="1" applyFont="1" applyFill="1" applyBorder="1" applyAlignment="1"/>
    <xf numFmtId="3" fontId="59" fillId="3" borderId="0" xfId="0" applyNumberFormat="1" applyFont="1" applyFill="1" applyBorder="1" applyAlignment="1"/>
    <xf numFmtId="3" fontId="47" fillId="3" borderId="0" xfId="0" applyNumberFormat="1" applyFont="1" applyFill="1" applyAlignment="1"/>
    <xf numFmtId="3" fontId="59" fillId="3" borderId="0" xfId="0" applyNumberFormat="1" applyFont="1" applyFill="1" applyAlignment="1"/>
    <xf numFmtId="3" fontId="47" fillId="3" borderId="14" xfId="0" applyNumberFormat="1" applyFont="1" applyFill="1" applyBorder="1" applyAlignment="1"/>
    <xf numFmtId="3" fontId="59" fillId="3" borderId="14" xfId="0" applyNumberFormat="1" applyFont="1" applyFill="1" applyBorder="1" applyAlignment="1" applyProtection="1">
      <alignment horizontal="right"/>
      <protection locked="0"/>
    </xf>
    <xf numFmtId="3" fontId="47" fillId="0" borderId="3" xfId="0" applyNumberFormat="1" applyFont="1" applyBorder="1"/>
    <xf numFmtId="3" fontId="47" fillId="0" borderId="0" xfId="0" applyNumberFormat="1" applyFont="1" applyAlignment="1"/>
    <xf numFmtId="4" fontId="59" fillId="3" borderId="14" xfId="0" applyNumberFormat="1" applyFont="1" applyFill="1" applyBorder="1" applyAlignment="1" applyProtection="1">
      <alignment horizontal="right"/>
      <protection locked="0"/>
    </xf>
    <xf numFmtId="0" fontId="56" fillId="5" borderId="1" xfId="0" applyNumberFormat="1" applyFont="1" applyFill="1" applyBorder="1" applyAlignment="1"/>
    <xf numFmtId="0" fontId="57" fillId="5" borderId="2" xfId="0" applyNumberFormat="1" applyFont="1" applyFill="1" applyBorder="1" applyAlignment="1"/>
    <xf numFmtId="0" fontId="56" fillId="5" borderId="2" xfId="0" applyNumberFormat="1" applyFont="1" applyFill="1" applyBorder="1" applyAlignment="1"/>
    <xf numFmtId="4" fontId="56" fillId="5" borderId="2" xfId="0" applyNumberFormat="1" applyFont="1" applyFill="1" applyBorder="1" applyAlignment="1" applyProtection="1">
      <alignment horizontal="right"/>
      <protection locked="0"/>
    </xf>
    <xf numFmtId="0" fontId="62" fillId="3" borderId="0" xfId="0" applyNumberFormat="1" applyFont="1" applyFill="1" applyAlignment="1"/>
    <xf numFmtId="4" fontId="47" fillId="3" borderId="0" xfId="0" applyNumberFormat="1" applyFont="1" applyFill="1" applyBorder="1" applyAlignment="1" applyProtection="1">
      <alignment horizontal="right"/>
      <protection locked="0"/>
    </xf>
    <xf numFmtId="4" fontId="59" fillId="3" borderId="0" xfId="0" applyNumberFormat="1" applyFont="1" applyFill="1" applyAlignment="1" applyProtection="1">
      <alignment horizontal="right"/>
      <protection locked="0"/>
    </xf>
    <xf numFmtId="4" fontId="47" fillId="3" borderId="2" xfId="0" applyNumberFormat="1" applyFont="1" applyFill="1" applyBorder="1" applyAlignment="1" applyProtection="1">
      <alignment horizontal="right"/>
      <protection locked="0"/>
    </xf>
    <xf numFmtId="0" fontId="58" fillId="3" borderId="0" xfId="0" applyNumberFormat="1" applyFont="1" applyFill="1" applyAlignment="1">
      <alignment horizontal="right"/>
    </xf>
    <xf numFmtId="0" fontId="63" fillId="3" borderId="0" xfId="0" applyNumberFormat="1" applyFont="1" applyFill="1" applyAlignment="1"/>
    <xf numFmtId="0" fontId="47" fillId="3" borderId="0" xfId="0" applyNumberFormat="1" applyFont="1" applyFill="1" applyAlignment="1" applyProtection="1">
      <protection locked="0"/>
    </xf>
    <xf numFmtId="15" fontId="57" fillId="5" borderId="2" xfId="0" applyNumberFormat="1" applyFont="1" applyFill="1" applyBorder="1" applyAlignment="1">
      <alignment horizontal="centerContinuous"/>
    </xf>
    <xf numFmtId="15" fontId="57" fillId="5" borderId="2" xfId="0" applyNumberFormat="1" applyFont="1" applyFill="1" applyBorder="1" applyAlignment="1">
      <alignment horizontal="center"/>
    </xf>
    <xf numFmtId="0" fontId="59" fillId="3" borderId="3" xfId="0" applyNumberFormat="1" applyFont="1" applyFill="1" applyBorder="1" applyAlignment="1"/>
    <xf numFmtId="0" fontId="64" fillId="3" borderId="0" xfId="0" applyNumberFormat="1" applyFont="1" applyFill="1" applyAlignment="1"/>
    <xf numFmtId="15" fontId="65" fillId="3" borderId="0" xfId="0" applyNumberFormat="1" applyFont="1" applyFill="1" applyAlignment="1">
      <alignment horizontal="centerContinuous"/>
    </xf>
    <xf numFmtId="15" fontId="65" fillId="3" borderId="0" xfId="0" applyNumberFormat="1" applyFont="1" applyFill="1" applyAlignment="1">
      <alignment horizontal="center"/>
    </xf>
    <xf numFmtId="0" fontId="59" fillId="3" borderId="0" xfId="0" applyNumberFormat="1" applyFont="1" applyFill="1" applyBorder="1" applyAlignment="1"/>
    <xf numFmtId="0" fontId="47" fillId="3" borderId="0" xfId="0" applyNumberFormat="1" applyFont="1" applyFill="1" applyBorder="1" applyAlignment="1" applyProtection="1">
      <protection locked="0"/>
    </xf>
    <xf numFmtId="0" fontId="56" fillId="5" borderId="3" xfId="0" applyNumberFormat="1" applyFont="1" applyFill="1" applyBorder="1" applyAlignment="1">
      <alignment horizontal="right"/>
    </xf>
    <xf numFmtId="0" fontId="57" fillId="5" borderId="0" xfId="0" applyNumberFormat="1" applyFont="1" applyFill="1" applyBorder="1" applyAlignment="1"/>
    <xf numFmtId="0" fontId="57" fillId="5" borderId="0" xfId="0" applyNumberFormat="1" applyFont="1" applyFill="1" applyBorder="1" applyAlignment="1">
      <alignment horizontal="center"/>
    </xf>
    <xf numFmtId="3" fontId="57" fillId="5" borderId="0" xfId="0" applyNumberFormat="1" applyFont="1" applyFill="1" applyBorder="1" applyAlignment="1">
      <alignment horizontal="center"/>
    </xf>
    <xf numFmtId="0" fontId="56" fillId="5" borderId="0" xfId="0" applyNumberFormat="1" applyFont="1" applyFill="1" applyBorder="1" applyAlignment="1"/>
    <xf numFmtId="0" fontId="56" fillId="5" borderId="18" xfId="0" applyNumberFormat="1" applyFont="1" applyFill="1" applyBorder="1" applyAlignment="1"/>
    <xf numFmtId="0" fontId="59" fillId="3" borderId="3" xfId="0" applyNumberFormat="1" applyFont="1" applyFill="1" applyBorder="1" applyAlignment="1">
      <alignment horizontal="right"/>
    </xf>
    <xf numFmtId="3" fontId="65" fillId="3" borderId="0" xfId="0" applyNumberFormat="1" applyFont="1" applyFill="1" applyBorder="1" applyAlignment="1"/>
    <xf numFmtId="0" fontId="59" fillId="3" borderId="13" xfId="0" applyNumberFormat="1" applyFont="1" applyFill="1" applyBorder="1" applyAlignment="1">
      <alignment horizontal="right"/>
    </xf>
    <xf numFmtId="3" fontId="59" fillId="3" borderId="14" xfId="0" applyNumberFormat="1" applyFont="1" applyFill="1" applyBorder="1" applyAlignment="1"/>
    <xf numFmtId="3" fontId="55" fillId="3" borderId="14" xfId="0" applyNumberFormat="1" applyFont="1" applyFill="1" applyBorder="1" applyAlignment="1" applyProtection="1">
      <alignment horizontal="center"/>
      <protection locked="0"/>
    </xf>
    <xf numFmtId="0" fontId="47" fillId="3" borderId="14" xfId="0" applyNumberFormat="1" applyFont="1" applyFill="1" applyBorder="1" applyAlignment="1" applyProtection="1">
      <protection locked="0"/>
    </xf>
    <xf numFmtId="3" fontId="65" fillId="3" borderId="15" xfId="0" applyNumberFormat="1" applyFont="1" applyFill="1" applyBorder="1" applyAlignment="1"/>
    <xf numFmtId="0" fontId="59" fillId="3" borderId="13" xfId="0" applyNumberFormat="1" applyFont="1" applyFill="1" applyBorder="1" applyAlignment="1">
      <alignment horizontal="center"/>
    </xf>
    <xf numFmtId="0" fontId="59" fillId="3" borderId="14" xfId="0" applyNumberFormat="1" applyFont="1" applyFill="1" applyBorder="1" applyAlignment="1"/>
    <xf numFmtId="0" fontId="65" fillId="3" borderId="15" xfId="0" applyNumberFormat="1" applyFont="1" applyFill="1" applyBorder="1" applyAlignment="1"/>
    <xf numFmtId="0" fontId="59" fillId="3" borderId="14" xfId="0" applyNumberFormat="1" applyFont="1" applyFill="1" applyBorder="1" applyAlignment="1">
      <alignment horizontal="right"/>
    </xf>
    <xf numFmtId="4" fontId="59" fillId="3" borderId="14" xfId="0" applyNumberFormat="1" applyFont="1" applyFill="1" applyBorder="1" applyAlignment="1">
      <alignment horizontal="right"/>
    </xf>
    <xf numFmtId="10" fontId="55" fillId="3" borderId="14" xfId="0" applyNumberFormat="1" applyFont="1" applyFill="1" applyBorder="1" applyAlignment="1" applyProtection="1">
      <alignment horizontal="center"/>
      <protection locked="0"/>
    </xf>
    <xf numFmtId="10" fontId="59" fillId="3" borderId="14" xfId="0" applyNumberFormat="1" applyFont="1" applyFill="1" applyBorder="1" applyAlignment="1" applyProtection="1">
      <alignment horizontal="center"/>
      <protection locked="0"/>
    </xf>
    <xf numFmtId="0" fontId="59" fillId="3" borderId="0" xfId="0" applyNumberFormat="1" applyFont="1" applyFill="1" applyBorder="1" applyAlignment="1">
      <alignment horizontal="right"/>
    </xf>
    <xf numFmtId="4" fontId="59" fillId="3" borderId="0" xfId="0" applyNumberFormat="1" applyFont="1" applyFill="1" applyBorder="1" applyAlignment="1">
      <alignment horizontal="right"/>
    </xf>
    <xf numFmtId="10" fontId="59" fillId="3" borderId="0" xfId="0" applyNumberFormat="1" applyFont="1" applyFill="1" applyBorder="1" applyAlignment="1" applyProtection="1">
      <alignment horizontal="center"/>
      <protection locked="0"/>
    </xf>
    <xf numFmtId="0" fontId="65" fillId="3" borderId="0" xfId="0" applyNumberFormat="1" applyFont="1" applyFill="1" applyBorder="1" applyAlignment="1"/>
    <xf numFmtId="0" fontId="57" fillId="5" borderId="18" xfId="0" applyNumberFormat="1" applyFont="1" applyFill="1" applyBorder="1" applyAlignment="1"/>
    <xf numFmtId="9" fontId="47" fillId="3" borderId="0" xfId="0" applyNumberFormat="1" applyFont="1" applyFill="1" applyBorder="1" applyAlignment="1"/>
    <xf numFmtId="10" fontId="47" fillId="3" borderId="0" xfId="0" applyNumberFormat="1" applyFont="1" applyFill="1" applyBorder="1" applyAlignment="1"/>
    <xf numFmtId="3" fontId="59" fillId="3" borderId="0" xfId="0" applyNumberFormat="1" applyFont="1" applyFill="1" applyBorder="1" applyAlignment="1" applyProtection="1">
      <alignment horizontal="right"/>
      <protection locked="0"/>
    </xf>
    <xf numFmtId="9" fontId="56" fillId="5" borderId="0" xfId="0" applyNumberFormat="1" applyFont="1" applyFill="1" applyBorder="1" applyAlignment="1"/>
    <xf numFmtId="0" fontId="47" fillId="0" borderId="2" xfId="0" applyNumberFormat="1" applyFont="1" applyBorder="1"/>
    <xf numFmtId="0" fontId="49" fillId="3" borderId="14" xfId="0" applyNumberFormat="1" applyFont="1" applyFill="1" applyBorder="1" applyAlignment="1"/>
    <xf numFmtId="0" fontId="66" fillId="3" borderId="14" xfId="0" applyNumberFormat="1" applyFont="1" applyFill="1" applyBorder="1" applyAlignment="1"/>
    <xf numFmtId="171" fontId="49" fillId="3" borderId="14" xfId="0" applyNumberFormat="1" applyFont="1" applyFill="1" applyBorder="1" applyAlignment="1">
      <alignment horizontal="center"/>
    </xf>
    <xf numFmtId="171" fontId="49" fillId="3" borderId="14" xfId="0" applyNumberFormat="1" applyFont="1" applyFill="1" applyBorder="1" applyAlignment="1"/>
    <xf numFmtId="0" fontId="49" fillId="3" borderId="0" xfId="0" applyNumberFormat="1" applyFont="1" applyFill="1" applyAlignment="1">
      <alignment horizontal="left" vertical="top" wrapText="1"/>
    </xf>
    <xf numFmtId="0" fontId="49" fillId="3" borderId="0" xfId="0" applyNumberFormat="1" applyFont="1" applyFill="1" applyAlignment="1">
      <alignment horizontal="center" vertical="top" wrapText="1"/>
    </xf>
    <xf numFmtId="4" fontId="49" fillId="3" borderId="0" xfId="0" applyNumberFormat="1" applyFont="1" applyFill="1" applyAlignment="1" applyProtection="1">
      <alignment horizontal="center" vertical="top" wrapText="1"/>
      <protection locked="0"/>
    </xf>
    <xf numFmtId="0" fontId="66" fillId="3" borderId="0" xfId="0" applyNumberFormat="1" applyFont="1" applyFill="1" applyAlignment="1"/>
    <xf numFmtId="0" fontId="45" fillId="3" borderId="14" xfId="0" applyNumberFormat="1" applyFont="1" applyFill="1" applyBorder="1" applyAlignment="1"/>
    <xf numFmtId="0" fontId="45" fillId="3" borderId="0" xfId="0" applyNumberFormat="1" applyFont="1" applyFill="1" applyAlignment="1"/>
    <xf numFmtId="0" fontId="49" fillId="3" borderId="0" xfId="0" applyNumberFormat="1" applyFont="1" applyFill="1" applyAlignment="1">
      <alignment horizontal="right"/>
    </xf>
    <xf numFmtId="4" fontId="49" fillId="3" borderId="0" xfId="0" applyNumberFormat="1" applyFont="1" applyFill="1" applyAlignment="1" applyProtection="1">
      <alignment horizontal="right"/>
      <protection locked="0"/>
    </xf>
    <xf numFmtId="0" fontId="52" fillId="3" borderId="14" xfId="0" applyNumberFormat="1" applyFont="1" applyFill="1" applyBorder="1" applyAlignment="1"/>
    <xf numFmtId="0" fontId="67" fillId="3" borderId="2" xfId="0" applyNumberFormat="1" applyFont="1" applyFill="1" applyBorder="1" applyAlignment="1"/>
    <xf numFmtId="0" fontId="68" fillId="3" borderId="0" xfId="0" applyNumberFormat="1" applyFont="1" applyFill="1" applyAlignment="1"/>
    <xf numFmtId="0" fontId="46" fillId="3" borderId="0" xfId="0" applyNumberFormat="1" applyFont="1" applyFill="1" applyAlignment="1"/>
    <xf numFmtId="0" fontId="69" fillId="3" borderId="3" xfId="0" applyNumberFormat="1" applyFont="1" applyFill="1" applyBorder="1" applyAlignment="1"/>
    <xf numFmtId="0" fontId="69" fillId="3" borderId="0" xfId="0" applyNumberFormat="1" applyFont="1" applyFill="1" applyAlignment="1"/>
    <xf numFmtId="0" fontId="70" fillId="3" borderId="0" xfId="0" applyNumberFormat="1" applyFont="1" applyFill="1" applyAlignment="1">
      <alignment horizontal="center" wrapText="1"/>
    </xf>
    <xf numFmtId="0" fontId="69" fillId="0" borderId="3" xfId="0" applyNumberFormat="1" applyFont="1" applyBorder="1"/>
    <xf numFmtId="0" fontId="69" fillId="0" borderId="0" xfId="0" applyNumberFormat="1" applyFont="1" applyAlignment="1"/>
    <xf numFmtId="9" fontId="46" fillId="3" borderId="0" xfId="0" applyNumberFormat="1" applyFont="1" applyFill="1" applyAlignment="1">
      <alignment horizontal="center"/>
    </xf>
    <xf numFmtId="10" fontId="46" fillId="3" borderId="0" xfId="0" applyNumberFormat="1" applyFont="1" applyFill="1" applyAlignment="1">
      <alignment horizontal="center"/>
    </xf>
    <xf numFmtId="0" fontId="46" fillId="3" borderId="0" xfId="0" applyNumberFormat="1" applyFont="1" applyFill="1" applyAlignment="1">
      <alignment horizontal="center"/>
    </xf>
    <xf numFmtId="15" fontId="46" fillId="3" borderId="0" xfId="0" applyNumberFormat="1" applyFont="1" applyFill="1" applyAlignment="1">
      <alignment horizontal="center"/>
    </xf>
    <xf numFmtId="14" fontId="69" fillId="0" borderId="0" xfId="0" applyNumberFormat="1" applyFont="1" applyAlignment="1"/>
    <xf numFmtId="0" fontId="69" fillId="3" borderId="0" xfId="0" applyNumberFormat="1" applyFont="1" applyFill="1" applyAlignment="1">
      <alignment horizontal="center"/>
    </xf>
    <xf numFmtId="0" fontId="70" fillId="3" borderId="0" xfId="0" applyNumberFormat="1" applyFont="1" applyFill="1" applyAlignment="1"/>
    <xf numFmtId="0" fontId="69" fillId="3" borderId="13" xfId="0" applyNumberFormat="1" applyFont="1" applyFill="1" applyBorder="1" applyAlignment="1"/>
    <xf numFmtId="0" fontId="69" fillId="3" borderId="14" xfId="0" applyNumberFormat="1" applyFont="1" applyFill="1" applyBorder="1" applyAlignment="1"/>
    <xf numFmtId="0" fontId="69" fillId="3" borderId="14" xfId="0" applyNumberFormat="1" applyFont="1" applyFill="1" applyBorder="1" applyAlignment="1">
      <alignment horizontal="center" wrapText="1"/>
    </xf>
    <xf numFmtId="0" fontId="69" fillId="3" borderId="15" xfId="0" applyNumberFormat="1" applyFont="1" applyFill="1" applyBorder="1" applyAlignment="1"/>
    <xf numFmtId="0" fontId="46" fillId="3" borderId="13" xfId="0" applyNumberFormat="1" applyFont="1" applyFill="1" applyBorder="1" applyAlignment="1"/>
    <xf numFmtId="0" fontId="46" fillId="3" borderId="14" xfId="0" applyNumberFormat="1" applyFont="1" applyFill="1" applyBorder="1" applyAlignment="1">
      <alignment horizontal="center" wrapText="1"/>
    </xf>
    <xf numFmtId="0" fontId="46" fillId="3" borderId="14" xfId="0" applyNumberFormat="1" applyFont="1" applyFill="1" applyBorder="1" applyAlignment="1"/>
    <xf numFmtId="0" fontId="69" fillId="3" borderId="14" xfId="0" applyNumberFormat="1" applyFont="1" applyFill="1" applyBorder="1" applyAlignment="1">
      <alignment horizontal="center"/>
    </xf>
    <xf numFmtId="164" fontId="69" fillId="3" borderId="14" xfId="0" applyNumberFormat="1" applyFont="1" applyFill="1" applyBorder="1" applyAlignment="1"/>
    <xf numFmtId="164" fontId="69" fillId="3" borderId="14" xfId="0" applyNumberFormat="1" applyFont="1" applyFill="1" applyBorder="1" applyAlignment="1">
      <alignment horizontal="center"/>
    </xf>
    <xf numFmtId="3" fontId="69" fillId="3" borderId="15" xfId="0" applyNumberFormat="1" applyFont="1" applyFill="1" applyBorder="1" applyAlignment="1"/>
    <xf numFmtId="164" fontId="46" fillId="3" borderId="14" xfId="0" applyNumberFormat="1" applyFont="1" applyFill="1" applyBorder="1" applyAlignment="1"/>
    <xf numFmtId="169" fontId="69" fillId="3" borderId="14" xfId="0" applyNumberFormat="1" applyFont="1" applyFill="1" applyBorder="1" applyAlignment="1">
      <alignment horizontal="center"/>
    </xf>
    <xf numFmtId="168" fontId="69" fillId="3" borderId="14" xfId="0" applyNumberFormat="1" applyFont="1" applyFill="1" applyBorder="1" applyAlignment="1">
      <alignment horizontal="center"/>
    </xf>
    <xf numFmtId="164" fontId="46" fillId="3" borderId="14" xfId="0" applyNumberFormat="1" applyFont="1" applyFill="1" applyBorder="1" applyAlignment="1">
      <alignment horizontal="center"/>
    </xf>
    <xf numFmtId="169" fontId="46" fillId="3" borderId="14" xfId="0" applyNumberFormat="1" applyFont="1" applyFill="1" applyBorder="1" applyAlignment="1">
      <alignment horizontal="center"/>
    </xf>
    <xf numFmtId="168" fontId="46" fillId="3" borderId="14" xfId="0" applyNumberFormat="1" applyFont="1" applyFill="1" applyBorder="1" applyAlignment="1">
      <alignment horizontal="center"/>
    </xf>
    <xf numFmtId="4" fontId="46" fillId="3" borderId="14" xfId="0" applyNumberFormat="1" applyFont="1" applyFill="1" applyBorder="1" applyAlignment="1">
      <alignment horizontal="center"/>
    </xf>
    <xf numFmtId="10" fontId="69" fillId="3" borderId="14" xfId="0" applyNumberFormat="1" applyFont="1" applyFill="1" applyBorder="1" applyAlignment="1">
      <alignment horizontal="center"/>
    </xf>
    <xf numFmtId="165" fontId="69" fillId="3" borderId="14" xfId="0" applyNumberFormat="1" applyFont="1" applyFill="1" applyBorder="1" applyAlignment="1">
      <alignment horizontal="center"/>
    </xf>
    <xf numFmtId="167" fontId="69" fillId="3" borderId="14" xfId="0" applyNumberFormat="1" applyFont="1" applyFill="1" applyBorder="1" applyAlignment="1">
      <alignment horizontal="center"/>
    </xf>
    <xf numFmtId="0" fontId="69" fillId="3" borderId="14" xfId="0" applyNumberFormat="1" applyFont="1" applyFill="1" applyBorder="1" applyAlignment="1">
      <alignment horizontal="right"/>
    </xf>
    <xf numFmtId="165" fontId="69" fillId="3" borderId="14" xfId="0" applyNumberFormat="1" applyFont="1" applyFill="1" applyBorder="1" applyAlignment="1"/>
    <xf numFmtId="4" fontId="69" fillId="3" borderId="14" xfId="0" applyNumberFormat="1" applyFont="1" applyFill="1" applyBorder="1" applyAlignment="1">
      <alignment horizontal="center"/>
    </xf>
    <xf numFmtId="0" fontId="46" fillId="3" borderId="14" xfId="0" applyNumberFormat="1" applyFont="1" applyFill="1" applyBorder="1" applyAlignment="1">
      <alignment horizontal="center"/>
    </xf>
    <xf numFmtId="15" fontId="46" fillId="3" borderId="14" xfId="0" applyNumberFormat="1" applyFont="1" applyFill="1" applyBorder="1" applyAlignment="1">
      <alignment horizontal="center"/>
    </xf>
    <xf numFmtId="15" fontId="46" fillId="3" borderId="14" xfId="0" applyNumberFormat="1" applyFont="1" applyFill="1" applyBorder="1" applyAlignment="1" applyProtection="1">
      <alignment horizontal="center"/>
      <protection locked="0"/>
    </xf>
    <xf numFmtId="15" fontId="69" fillId="3" borderId="14" xfId="0" applyNumberFormat="1" applyFont="1" applyFill="1" applyBorder="1" applyAlignment="1"/>
    <xf numFmtId="15" fontId="69" fillId="3" borderId="14" xfId="0" applyNumberFormat="1" applyFont="1" applyFill="1" applyBorder="1" applyAlignment="1" applyProtection="1">
      <alignment horizontal="center"/>
      <protection locked="0"/>
    </xf>
    <xf numFmtId="15" fontId="69" fillId="3" borderId="14" xfId="0" applyNumberFormat="1" applyFont="1" applyFill="1" applyBorder="1" applyAlignment="1">
      <alignment horizontal="center"/>
    </xf>
    <xf numFmtId="0" fontId="69" fillId="0" borderId="0" xfId="0" applyNumberFormat="1" applyFont="1" applyFill="1" applyBorder="1" applyAlignment="1"/>
    <xf numFmtId="0" fontId="69" fillId="3" borderId="0" xfId="0" applyNumberFormat="1" applyFont="1" applyFill="1" applyBorder="1" applyAlignment="1"/>
    <xf numFmtId="15" fontId="69" fillId="3" borderId="0" xfId="0" applyNumberFormat="1" applyFont="1" applyFill="1" applyBorder="1" applyAlignment="1" applyProtection="1">
      <alignment horizontal="center"/>
      <protection locked="0"/>
    </xf>
    <xf numFmtId="15" fontId="69" fillId="3" borderId="0" xfId="0" applyNumberFormat="1" applyFont="1" applyFill="1" applyBorder="1" applyAlignment="1">
      <alignment horizontal="center"/>
    </xf>
    <xf numFmtId="15" fontId="69" fillId="3" borderId="0" xfId="0" applyNumberFormat="1" applyFont="1" applyFill="1" applyAlignment="1" applyProtection="1">
      <alignment horizontal="center"/>
      <protection locked="0"/>
    </xf>
    <xf numFmtId="15" fontId="69" fillId="3" borderId="0" xfId="0" applyNumberFormat="1" applyFont="1" applyFill="1" applyAlignment="1">
      <alignment horizontal="center"/>
    </xf>
    <xf numFmtId="0" fontId="69" fillId="3" borderId="6" xfId="0" applyNumberFormat="1" applyFont="1" applyFill="1" applyBorder="1" applyAlignment="1"/>
    <xf numFmtId="0" fontId="71" fillId="3" borderId="7" xfId="0" applyNumberFormat="1" applyFont="1" applyFill="1" applyBorder="1" applyAlignment="1"/>
    <xf numFmtId="0" fontId="69" fillId="3" borderId="7" xfId="0" applyNumberFormat="1" applyFont="1" applyFill="1" applyBorder="1" applyAlignment="1"/>
    <xf numFmtId="0" fontId="69" fillId="3" borderId="7" xfId="0" applyNumberFormat="1" applyFont="1" applyFill="1" applyBorder="1" applyAlignment="1" applyProtection="1">
      <alignment horizontal="right"/>
      <protection locked="0"/>
    </xf>
    <xf numFmtId="0" fontId="69" fillId="3" borderId="8" xfId="0" applyNumberFormat="1" applyFont="1" applyFill="1" applyBorder="1" applyAlignment="1"/>
    <xf numFmtId="3" fontId="69" fillId="3" borderId="14" xfId="0" applyNumberFormat="1" applyFont="1" applyFill="1" applyBorder="1" applyAlignment="1"/>
    <xf numFmtId="3" fontId="69" fillId="3" borderId="14" xfId="0" applyNumberFormat="1" applyFont="1" applyFill="1" applyBorder="1" applyAlignment="1" applyProtection="1">
      <alignment horizontal="right"/>
      <protection locked="0"/>
    </xf>
    <xf numFmtId="14" fontId="69" fillId="3" borderId="14" xfId="0" applyNumberFormat="1" applyFont="1" applyFill="1" applyBorder="1" applyAlignment="1">
      <alignment horizontal="right"/>
    </xf>
    <xf numFmtId="167" fontId="69" fillId="3" borderId="14" xfId="0" applyNumberFormat="1" applyFont="1" applyFill="1" applyBorder="1" applyAlignment="1">
      <alignment horizontal="right"/>
    </xf>
    <xf numFmtId="0" fontId="69" fillId="3" borderId="17" xfId="0" applyNumberFormat="1" applyFont="1" applyFill="1" applyBorder="1" applyAlignment="1"/>
    <xf numFmtId="3" fontId="69" fillId="3" borderId="0" xfId="0" applyNumberFormat="1" applyFont="1" applyFill="1" applyBorder="1" applyAlignment="1"/>
    <xf numFmtId="4" fontId="69" fillId="3" borderId="0" xfId="0" applyNumberFormat="1" applyFont="1" applyFill="1" applyAlignment="1" applyProtection="1">
      <alignment horizontal="right"/>
      <protection locked="0"/>
    </xf>
    <xf numFmtId="4" fontId="69" fillId="3" borderId="7" xfId="0" applyNumberFormat="1" applyFont="1" applyFill="1" applyBorder="1" applyAlignment="1" applyProtection="1">
      <alignment horizontal="right"/>
      <protection locked="0"/>
    </xf>
    <xf numFmtId="3" fontId="69" fillId="0" borderId="0" xfId="0" applyNumberFormat="1" applyFont="1" applyAlignment="1"/>
    <xf numFmtId="4" fontId="69" fillId="3" borderId="14" xfId="0" applyNumberFormat="1" applyFont="1" applyFill="1" applyBorder="1" applyAlignment="1" applyProtection="1">
      <alignment horizontal="right"/>
      <protection locked="0"/>
    </xf>
    <xf numFmtId="0" fontId="69" fillId="3" borderId="16" xfId="0" applyNumberFormat="1" applyFont="1" applyFill="1" applyBorder="1" applyAlignment="1"/>
    <xf numFmtId="2" fontId="69" fillId="3" borderId="14" xfId="0" applyNumberFormat="1" applyFont="1" applyFill="1" applyBorder="1" applyAlignment="1" applyProtection="1">
      <alignment horizontal="right"/>
      <protection locked="0"/>
    </xf>
    <xf numFmtId="15" fontId="46" fillId="3" borderId="14" xfId="0" applyNumberFormat="1" applyFont="1" applyFill="1" applyBorder="1" applyAlignment="1">
      <alignment horizontal="centerContinuous"/>
    </xf>
    <xf numFmtId="17" fontId="69" fillId="3" borderId="14" xfId="0" applyNumberFormat="1" applyFont="1" applyFill="1" applyBorder="1" applyAlignment="1">
      <alignment horizontal="center"/>
    </xf>
    <xf numFmtId="0" fontId="69" fillId="3" borderId="0" xfId="0" applyNumberFormat="1" applyFont="1" applyFill="1" applyBorder="1" applyAlignment="1">
      <alignment horizontal="center"/>
    </xf>
    <xf numFmtId="3" fontId="69" fillId="3" borderId="0" xfId="0" applyNumberFormat="1" applyFont="1" applyFill="1" applyBorder="1" applyAlignment="1" applyProtection="1">
      <alignment horizontal="center"/>
      <protection locked="0"/>
    </xf>
    <xf numFmtId="3" fontId="69" fillId="3" borderId="14" xfId="0" applyNumberFormat="1" applyFont="1" applyFill="1" applyBorder="1" applyAlignment="1">
      <alignment horizontal="center"/>
    </xf>
    <xf numFmtId="3" fontId="69" fillId="3" borderId="14" xfId="0" applyNumberFormat="1" applyFont="1" applyFill="1" applyBorder="1" applyAlignment="1" applyProtection="1">
      <alignment horizontal="center"/>
      <protection locked="0"/>
    </xf>
    <xf numFmtId="4" fontId="69" fillId="3" borderId="14" xfId="0" applyNumberFormat="1" applyFont="1" applyFill="1" applyBorder="1" applyAlignment="1" applyProtection="1">
      <alignment horizontal="center"/>
      <protection locked="0"/>
    </xf>
    <xf numFmtId="0" fontId="69" fillId="3" borderId="13" xfId="0" applyNumberFormat="1" applyFont="1" applyFill="1" applyBorder="1" applyAlignment="1">
      <alignment horizontal="center"/>
    </xf>
    <xf numFmtId="0" fontId="69" fillId="3" borderId="14" xfId="0" applyNumberFormat="1" applyFont="1" applyFill="1" applyBorder="1" applyAlignment="1" applyProtection="1">
      <protection locked="0"/>
    </xf>
    <xf numFmtId="0" fontId="46" fillId="3" borderId="15" xfId="0" applyNumberFormat="1" applyFont="1" applyFill="1" applyBorder="1" applyAlignment="1"/>
    <xf numFmtId="0" fontId="69" fillId="3" borderId="13" xfId="0" applyNumberFormat="1" applyFont="1" applyFill="1" applyBorder="1" applyAlignment="1">
      <alignment horizontal="right"/>
    </xf>
    <xf numFmtId="4" fontId="69" fillId="3" borderId="14" xfId="0" applyNumberFormat="1" applyFont="1" applyFill="1" applyBorder="1" applyAlignment="1">
      <alignment horizontal="right"/>
    </xf>
    <xf numFmtId="166" fontId="69" fillId="3" borderId="0" xfId="0" applyNumberFormat="1" applyFont="1" applyFill="1" applyBorder="1" applyAlignment="1"/>
    <xf numFmtId="3" fontId="69" fillId="3" borderId="19" xfId="0" applyNumberFormat="1" applyFont="1" applyFill="1" applyBorder="1" applyAlignment="1"/>
    <xf numFmtId="10" fontId="69" fillId="3" borderId="19" xfId="0" applyNumberFormat="1" applyFont="1" applyFill="1" applyBorder="1" applyAlignment="1"/>
    <xf numFmtId="3" fontId="69" fillId="3" borderId="19" xfId="0" applyNumberFormat="1" applyFont="1" applyFill="1" applyBorder="1" applyAlignment="1" applyProtection="1">
      <alignment horizontal="right"/>
      <protection locked="0"/>
    </xf>
    <xf numFmtId="0" fontId="69" fillId="3" borderId="0" xfId="0" applyNumberFormat="1" applyFont="1" applyFill="1" applyBorder="1" applyAlignment="1" applyProtection="1">
      <protection locked="0"/>
    </xf>
    <xf numFmtId="0" fontId="46" fillId="3" borderId="0" xfId="0" applyNumberFormat="1" applyFont="1" applyFill="1" applyBorder="1" applyAlignment="1"/>
    <xf numFmtId="166" fontId="69" fillId="3" borderId="14" xfId="0" applyNumberFormat="1" applyFont="1" applyFill="1" applyBorder="1" applyAlignment="1"/>
    <xf numFmtId="10" fontId="69" fillId="3" borderId="14" xfId="0" applyNumberFormat="1" applyFont="1" applyFill="1" applyBorder="1" applyAlignment="1"/>
    <xf numFmtId="9" fontId="69" fillId="3" borderId="14" xfId="0" applyNumberFormat="1" applyFont="1" applyFill="1" applyBorder="1" applyAlignment="1"/>
    <xf numFmtId="10" fontId="69" fillId="3" borderId="0" xfId="0" applyNumberFormat="1" applyFont="1" applyFill="1" applyBorder="1" applyAlignment="1"/>
    <xf numFmtId="3" fontId="69" fillId="3" borderId="0" xfId="0" applyNumberFormat="1" applyFont="1" applyFill="1" applyBorder="1" applyAlignment="1" applyProtection="1">
      <alignment horizontal="right"/>
      <protection locked="0"/>
    </xf>
    <xf numFmtId="9" fontId="69" fillId="3" borderId="0" xfId="0" applyNumberFormat="1" applyFont="1" applyFill="1" applyBorder="1" applyAlignment="1"/>
    <xf numFmtId="3" fontId="46" fillId="3" borderId="14" xfId="0" applyNumberFormat="1" applyFont="1" applyFill="1" applyBorder="1" applyAlignment="1"/>
    <xf numFmtId="3" fontId="46" fillId="3" borderId="14" xfId="0" applyNumberFormat="1" applyFont="1" applyFill="1" applyBorder="1" applyAlignment="1" applyProtection="1">
      <alignment horizontal="right"/>
      <protection locked="0"/>
    </xf>
    <xf numFmtId="9" fontId="69" fillId="3" borderId="0" xfId="0" applyNumberFormat="1" applyFont="1" applyFill="1" applyAlignment="1"/>
    <xf numFmtId="3" fontId="69" fillId="3" borderId="0" xfId="0" applyNumberFormat="1" applyFont="1" applyFill="1" applyAlignment="1" applyProtection="1">
      <alignment horizontal="right"/>
      <protection locked="0"/>
    </xf>
    <xf numFmtId="0" fontId="46" fillId="3" borderId="0" xfId="0" quotePrefix="1" applyNumberFormat="1" applyFont="1" applyFill="1" applyAlignment="1">
      <alignment horizontal="center"/>
    </xf>
    <xf numFmtId="0" fontId="71" fillId="3" borderId="0" xfId="0" applyNumberFormat="1" applyFont="1" applyFill="1" applyAlignment="1"/>
    <xf numFmtId="0" fontId="57" fillId="5" borderId="0" xfId="0" applyNumberFormat="1" applyFont="1" applyFill="1" applyBorder="1" applyAlignment="1">
      <alignment horizontal="right"/>
    </xf>
    <xf numFmtId="15" fontId="57" fillId="5" borderId="0" xfId="0" applyNumberFormat="1" applyFont="1" applyFill="1" applyBorder="1" applyAlignment="1">
      <alignment horizontal="right"/>
    </xf>
    <xf numFmtId="0" fontId="45" fillId="6" borderId="14" xfId="1" applyNumberFormat="1" applyFont="1" applyFill="1" applyBorder="1" applyAlignment="1" applyProtection="1"/>
    <xf numFmtId="0" fontId="69" fillId="3" borderId="20" xfId="0" applyNumberFormat="1" applyFont="1" applyFill="1" applyBorder="1" applyAlignment="1"/>
    <xf numFmtId="0" fontId="69" fillId="3" borderId="19" xfId="0" applyNumberFormat="1" applyFont="1" applyFill="1" applyBorder="1" applyAlignment="1"/>
    <xf numFmtId="0" fontId="69" fillId="3" borderId="19" xfId="0" applyNumberFormat="1" applyFont="1" applyFill="1" applyBorder="1" applyAlignment="1">
      <alignment horizontal="center" wrapText="1"/>
    </xf>
    <xf numFmtId="0" fontId="69" fillId="3" borderId="21" xfId="0" applyNumberFormat="1" applyFont="1" applyFill="1" applyBorder="1" applyAlignment="1"/>
    <xf numFmtId="0" fontId="57" fillId="5" borderId="0" xfId="0" applyNumberFormat="1" applyFont="1" applyFill="1" applyBorder="1" applyAlignment="1">
      <alignment horizontal="center" wrapText="1"/>
    </xf>
    <xf numFmtId="0" fontId="56" fillId="5" borderId="0" xfId="0" applyNumberFormat="1" applyFont="1" applyFill="1" applyBorder="1" applyAlignment="1">
      <alignment horizontal="center" wrapText="1"/>
    </xf>
    <xf numFmtId="0" fontId="54" fillId="3" borderId="14" xfId="0" applyNumberFormat="1" applyFont="1" applyFill="1" applyBorder="1" applyAlignment="1">
      <alignment horizontal="center" wrapText="1"/>
    </xf>
    <xf numFmtId="0" fontId="72" fillId="3" borderId="14" xfId="0" applyNumberFormat="1" applyFont="1" applyFill="1" applyBorder="1" applyAlignment="1"/>
    <xf numFmtId="0" fontId="72" fillId="3" borderId="15" xfId="0" applyNumberFormat="1" applyFont="1" applyFill="1" applyBorder="1" applyAlignment="1"/>
    <xf numFmtId="0" fontId="72" fillId="0" borderId="3" xfId="0" applyNumberFormat="1" applyFont="1" applyBorder="1"/>
    <xf numFmtId="0" fontId="72" fillId="0" borderId="0" xfId="0" applyNumberFormat="1" applyFont="1" applyAlignment="1"/>
    <xf numFmtId="172" fontId="69" fillId="3" borderId="14" xfId="0" applyNumberFormat="1" applyFont="1" applyFill="1" applyBorder="1" applyAlignment="1">
      <alignment horizontal="center"/>
    </xf>
    <xf numFmtId="172" fontId="46" fillId="3" borderId="14" xfId="0" applyNumberFormat="1" applyFont="1" applyFill="1" applyBorder="1" applyAlignment="1">
      <alignment horizontal="center"/>
    </xf>
    <xf numFmtId="10" fontId="47" fillId="0" borderId="0" xfId="0" applyNumberFormat="1" applyFont="1" applyAlignment="1"/>
    <xf numFmtId="173" fontId="69" fillId="0" borderId="0" xfId="0" applyNumberFormat="1" applyFont="1" applyAlignment="1"/>
    <xf numFmtId="10" fontId="1" fillId="0" borderId="0" xfId="0" applyNumberFormat="1" applyFont="1" applyAlignment="1"/>
    <xf numFmtId="0" fontId="23" fillId="0" borderId="0" xfId="1" applyAlignment="1" applyProtection="1"/>
    <xf numFmtId="3" fontId="46" fillId="3" borderId="0" xfId="0" applyNumberFormat="1" applyFont="1" applyFill="1" applyBorder="1" applyAlignment="1"/>
    <xf numFmtId="3" fontId="46" fillId="3" borderId="0" xfId="0" applyNumberFormat="1" applyFont="1" applyFill="1" applyBorder="1" applyAlignment="1" applyProtection="1">
      <alignment horizontal="right"/>
      <protection locked="0"/>
    </xf>
    <xf numFmtId="0" fontId="56" fillId="5" borderId="3" xfId="0" applyFont="1" applyFill="1" applyBorder="1"/>
    <xf numFmtId="0" fontId="57" fillId="5" borderId="0" xfId="0" applyFont="1" applyFill="1"/>
    <xf numFmtId="0" fontId="56" fillId="5" borderId="0" xfId="0" applyFont="1" applyFill="1"/>
    <xf numFmtId="9" fontId="56" fillId="5" borderId="0" xfId="0" applyNumberFormat="1" applyFont="1" applyFill="1"/>
    <xf numFmtId="0" fontId="69" fillId="6" borderId="3" xfId="0" applyFont="1" applyFill="1" applyBorder="1"/>
    <xf numFmtId="3" fontId="69" fillId="6" borderId="0" xfId="0" applyNumberFormat="1" applyFont="1" applyFill="1"/>
    <xf numFmtId="0" fontId="69" fillId="6" borderId="0" xfId="0" applyFont="1" applyFill="1"/>
    <xf numFmtId="9" fontId="69" fillId="6" borderId="0" xfId="0" applyNumberFormat="1" applyFont="1" applyFill="1"/>
    <xf numFmtId="0" fontId="69" fillId="6" borderId="22" xfId="0" applyFont="1" applyFill="1" applyBorder="1"/>
    <xf numFmtId="3" fontId="69" fillId="6" borderId="16" xfId="0" applyNumberFormat="1" applyFont="1" applyFill="1" applyBorder="1"/>
    <xf numFmtId="0" fontId="69" fillId="6" borderId="16" xfId="0" applyFont="1" applyFill="1" applyBorder="1"/>
    <xf numFmtId="9" fontId="69" fillId="6" borderId="16" xfId="0" applyNumberFormat="1" applyFont="1" applyFill="1" applyBorder="1"/>
    <xf numFmtId="3" fontId="57" fillId="5" borderId="0" xfId="0" applyNumberFormat="1" applyFont="1" applyFill="1" applyAlignment="1">
      <alignment horizontal="center"/>
    </xf>
    <xf numFmtId="0" fontId="57" fillId="5" borderId="0" xfId="0" applyFont="1" applyFill="1" applyAlignment="1">
      <alignment horizontal="center"/>
    </xf>
    <xf numFmtId="10" fontId="69" fillId="6" borderId="0" xfId="0" applyNumberFormat="1" applyFont="1" applyFill="1"/>
    <xf numFmtId="3" fontId="69" fillId="6" borderId="0" xfId="0" applyNumberFormat="1" applyFont="1" applyFill="1" applyAlignment="1" applyProtection="1">
      <alignment horizontal="right"/>
      <protection locked="0"/>
    </xf>
    <xf numFmtId="10" fontId="69" fillId="6" borderId="16" xfId="0" applyNumberFormat="1" applyFont="1" applyFill="1" applyBorder="1"/>
    <xf numFmtId="3" fontId="69" fillId="6" borderId="16" xfId="0" applyNumberFormat="1" applyFont="1" applyFill="1" applyBorder="1" applyAlignment="1" applyProtection="1">
      <alignment horizontal="right"/>
      <protection locked="0"/>
    </xf>
    <xf numFmtId="0" fontId="69" fillId="3" borderId="0" xfId="0" applyFont="1" applyFill="1"/>
    <xf numFmtId="0" fontId="69" fillId="3" borderId="23" xfId="0" applyNumberFormat="1" applyFont="1" applyFill="1" applyBorder="1" applyAlignment="1"/>
    <xf numFmtId="10" fontId="69" fillId="6" borderId="24" xfId="0" applyNumberFormat="1" applyFont="1" applyFill="1" applyBorder="1"/>
    <xf numFmtId="0" fontId="52" fillId="3" borderId="0" xfId="0" applyNumberFormat="1" applyFont="1" applyFill="1" applyBorder="1" applyAlignment="1"/>
    <xf numFmtId="0" fontId="45" fillId="6" borderId="0" xfId="1" applyNumberFormat="1" applyFont="1" applyFill="1" applyBorder="1" applyAlignment="1" applyProtection="1"/>
    <xf numFmtId="0" fontId="45" fillId="0" borderId="0" xfId="0" applyNumberFormat="1" applyFont="1" applyAlignment="1"/>
    <xf numFmtId="10" fontId="46" fillId="6" borderId="16" xfId="0" applyNumberFormat="1" applyFont="1" applyFill="1" applyBorder="1" applyAlignment="1"/>
    <xf numFmtId="10" fontId="46" fillId="6" borderId="16" xfId="0" applyNumberFormat="1" applyFont="1" applyFill="1" applyBorder="1" applyAlignment="1" applyProtection="1">
      <alignment horizontal="right"/>
      <protection locked="0"/>
    </xf>
    <xf numFmtId="0" fontId="47" fillId="0" borderId="0" xfId="0" applyFont="1"/>
    <xf numFmtId="0" fontId="69" fillId="3" borderId="14" xfId="0" applyFont="1" applyFill="1" applyBorder="1"/>
    <xf numFmtId="0" fontId="45" fillId="0" borderId="0" xfId="0" applyFont="1"/>
    <xf numFmtId="3" fontId="69" fillId="6" borderId="25" xfId="0" applyNumberFormat="1" applyFont="1" applyFill="1" applyBorder="1"/>
    <xf numFmtId="3" fontId="69" fillId="6" borderId="25" xfId="0" applyNumberFormat="1" applyFont="1" applyFill="1" applyBorder="1" applyAlignment="1" applyProtection="1">
      <alignment horizontal="right"/>
      <protection locked="0"/>
    </xf>
    <xf numFmtId="0" fontId="69" fillId="3" borderId="26" xfId="0" applyNumberFormat="1" applyFont="1" applyFill="1" applyBorder="1" applyAlignment="1"/>
    <xf numFmtId="3" fontId="69" fillId="6" borderId="27" xfId="0" applyNumberFormat="1" applyFont="1" applyFill="1" applyBorder="1"/>
    <xf numFmtId="10" fontId="69" fillId="6" borderId="28" xfId="0" applyNumberFormat="1" applyFont="1" applyFill="1" applyBorder="1"/>
    <xf numFmtId="3" fontId="69" fillId="6" borderId="28" xfId="0" applyNumberFormat="1" applyFont="1" applyFill="1" applyBorder="1" applyAlignment="1" applyProtection="1">
      <alignment horizontal="right"/>
      <protection locked="0"/>
    </xf>
    <xf numFmtId="3" fontId="69" fillId="6" borderId="29" xfId="0" applyNumberFormat="1" applyFont="1" applyFill="1" applyBorder="1"/>
    <xf numFmtId="10" fontId="69" fillId="6" borderId="30" xfId="0" applyNumberFormat="1" applyFont="1" applyFill="1" applyBorder="1" applyAlignment="1" applyProtection="1">
      <alignment horizontal="right"/>
      <protection locked="0"/>
    </xf>
    <xf numFmtId="3" fontId="69" fillId="6" borderId="30" xfId="0" applyNumberFormat="1" applyFont="1" applyFill="1" applyBorder="1" applyAlignment="1" applyProtection="1">
      <alignment horizontal="right"/>
      <protection locked="0"/>
    </xf>
    <xf numFmtId="10" fontId="69" fillId="6" borderId="30" xfId="0" applyNumberFormat="1" applyFont="1" applyFill="1" applyBorder="1"/>
    <xf numFmtId="4" fontId="69" fillId="6" borderId="31" xfId="0" applyNumberFormat="1" applyFont="1" applyFill="1" applyBorder="1"/>
    <xf numFmtId="3" fontId="69" fillId="6" borderId="0" xfId="0" applyNumberFormat="1" applyFont="1" applyFill="1" applyBorder="1"/>
    <xf numFmtId="10" fontId="46" fillId="6" borderId="0" xfId="0" applyNumberFormat="1" applyFont="1" applyFill="1" applyBorder="1"/>
    <xf numFmtId="3" fontId="46" fillId="6" borderId="0" xfId="0" applyNumberFormat="1" applyFont="1" applyFill="1" applyBorder="1" applyAlignment="1" applyProtection="1">
      <alignment horizontal="right"/>
      <protection locked="0"/>
    </xf>
    <xf numFmtId="4" fontId="69" fillId="6" borderId="32" xfId="0" applyNumberFormat="1" applyFont="1" applyFill="1" applyBorder="1"/>
    <xf numFmtId="9" fontId="69" fillId="6" borderId="25" xfId="0" applyNumberFormat="1" applyFont="1" applyFill="1" applyBorder="1"/>
    <xf numFmtId="3" fontId="69" fillId="6" borderId="33" xfId="0" applyNumberFormat="1" applyFont="1" applyFill="1" applyBorder="1"/>
    <xf numFmtId="10" fontId="69" fillId="6" borderId="33" xfId="0" applyNumberFormat="1" applyFont="1" applyFill="1" applyBorder="1"/>
    <xf numFmtId="3" fontId="69" fillId="6" borderId="33" xfId="0" applyNumberFormat="1" applyFont="1" applyFill="1" applyBorder="1" applyAlignment="1" applyProtection="1">
      <alignment horizontal="right"/>
      <protection locked="0"/>
    </xf>
    <xf numFmtId="0" fontId="69" fillId="3" borderId="33" xfId="0" applyNumberFormat="1" applyFont="1" applyFill="1" applyBorder="1" applyAlignment="1"/>
    <xf numFmtId="9" fontId="69" fillId="6" borderId="34" xfId="0" applyNumberFormat="1" applyFont="1" applyFill="1" applyBorder="1"/>
    <xf numFmtId="0" fontId="73" fillId="0" borderId="0" xfId="1" applyFont="1" applyAlignment="1" applyProtection="1">
      <alignment vertical="center"/>
    </xf>
    <xf numFmtId="0" fontId="23" fillId="0" borderId="0" xfId="1" applyAlignment="1" applyProtection="1">
      <alignment vertical="center"/>
    </xf>
    <xf numFmtId="0" fontId="47" fillId="0" borderId="0" xfId="1" applyFont="1" applyAlignment="1" applyProtection="1">
      <alignment vertical="center"/>
    </xf>
    <xf numFmtId="3" fontId="72" fillId="0" borderId="3" xfId="0" applyNumberFormat="1" applyFont="1" applyBorder="1"/>
    <xf numFmtId="10" fontId="69" fillId="0" borderId="0" xfId="0" applyNumberFormat="1" applyFont="1" applyAlignment="1"/>
    <xf numFmtId="3" fontId="69" fillId="0" borderId="3" xfId="0" applyNumberFormat="1" applyFont="1" applyBorder="1"/>
    <xf numFmtId="10" fontId="69" fillId="0" borderId="3" xfId="0" applyNumberFormat="1" applyFont="1" applyBorder="1"/>
    <xf numFmtId="10" fontId="69" fillId="3" borderId="15" xfId="0" applyNumberFormat="1" applyFont="1" applyFill="1" applyBorder="1" applyAlignment="1"/>
  </cellXfs>
  <cellStyles count="2">
    <cellStyle name="Hyperlink" xfId="1"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F4F4F4"/>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2D2926"/>
      <color rgb="FF89CB31"/>
      <color rgb="FF969696"/>
      <color rgb="FF000099"/>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file:///C:\WINDOWS\TEMP\Symbol.gif" TargetMode="External"/><Relationship Id="rId1" Type="http://schemas.openxmlformats.org/officeDocument/2006/relationships/image" Target="../media/image2.bin"/><Relationship Id="rId4"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3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4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4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4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4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4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5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6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6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6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6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6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6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6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6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6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7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5489" name="Picture 1" descr="C:\WINDOWS\TEMP\Symbol.gif">
          <a:extLst>
            <a:ext uri="{FF2B5EF4-FFF2-40B4-BE49-F238E27FC236}">
              <a16:creationId xmlns:a16="http://schemas.microsoft.com/office/drawing/2014/main" id="{00000000-0008-0000-0000-0000C1D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55490" name="Picture 2" descr="C:\WINDOWS\TEMP\Symbol.gif">
          <a:extLst>
            <a:ext uri="{FF2B5EF4-FFF2-40B4-BE49-F238E27FC236}">
              <a16:creationId xmlns:a16="http://schemas.microsoft.com/office/drawing/2014/main" id="{00000000-0008-0000-0000-0000C2D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191</xdr:row>
      <xdr:rowOff>171450</xdr:rowOff>
    </xdr:from>
    <xdr:to>
      <xdr:col>1</xdr:col>
      <xdr:colOff>47625</xdr:colOff>
      <xdr:row>192</xdr:row>
      <xdr:rowOff>209550</xdr:rowOff>
    </xdr:to>
    <xdr:pic>
      <xdr:nvPicPr>
        <xdr:cNvPr id="55491" name="Picture 3" descr="C:\WINDOWS\TEMP\Symbol.gif">
          <a:extLst>
            <a:ext uri="{FF2B5EF4-FFF2-40B4-BE49-F238E27FC236}">
              <a16:creationId xmlns:a16="http://schemas.microsoft.com/office/drawing/2014/main" id="{00000000-0008-0000-0000-0000C3D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0048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274</xdr:row>
      <xdr:rowOff>161925</xdr:rowOff>
    </xdr:from>
    <xdr:to>
      <xdr:col>1</xdr:col>
      <xdr:colOff>19050</xdr:colOff>
      <xdr:row>275</xdr:row>
      <xdr:rowOff>200025</xdr:rowOff>
    </xdr:to>
    <xdr:pic>
      <xdr:nvPicPr>
        <xdr:cNvPr id="55492" name="Picture 4" descr="C:\WINDOWS\TEMP\Symbol.gif">
          <a:extLst>
            <a:ext uri="{FF2B5EF4-FFF2-40B4-BE49-F238E27FC236}">
              <a16:creationId xmlns:a16="http://schemas.microsoft.com/office/drawing/2014/main" id="{00000000-0008-0000-0000-0000C4D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6831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274</xdr:row>
      <xdr:rowOff>123825</xdr:rowOff>
    </xdr:from>
    <xdr:to>
      <xdr:col>22</xdr:col>
      <xdr:colOff>1895475</xdr:colOff>
      <xdr:row>275</xdr:row>
      <xdr:rowOff>152400</xdr:rowOff>
    </xdr:to>
    <xdr:pic>
      <xdr:nvPicPr>
        <xdr:cNvPr id="55493" name="Picture 5" descr="C:\WINDOWS\TEMP\~0003946.gif">
          <a:extLst>
            <a:ext uri="{FF2B5EF4-FFF2-40B4-BE49-F238E27FC236}">
              <a16:creationId xmlns:a16="http://schemas.microsoft.com/office/drawing/2014/main" id="{00000000-0008-0000-0000-0000C5D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56450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191</xdr:row>
      <xdr:rowOff>152400</xdr:rowOff>
    </xdr:from>
    <xdr:to>
      <xdr:col>22</xdr:col>
      <xdr:colOff>1924050</xdr:colOff>
      <xdr:row>192</xdr:row>
      <xdr:rowOff>180975</xdr:rowOff>
    </xdr:to>
    <xdr:pic>
      <xdr:nvPicPr>
        <xdr:cNvPr id="55494" name="Picture 6" descr="C:\WINDOWS\TEMP\~0003946.gif">
          <a:extLst>
            <a:ext uri="{FF2B5EF4-FFF2-40B4-BE49-F238E27FC236}">
              <a16:creationId xmlns:a16="http://schemas.microsoft.com/office/drawing/2014/main" id="{00000000-0008-0000-0000-0000C6D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8985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132</xdr:row>
      <xdr:rowOff>161925</xdr:rowOff>
    </xdr:from>
    <xdr:to>
      <xdr:col>22</xdr:col>
      <xdr:colOff>1952625</xdr:colOff>
      <xdr:row>133</xdr:row>
      <xdr:rowOff>190500</xdr:rowOff>
    </xdr:to>
    <xdr:pic>
      <xdr:nvPicPr>
        <xdr:cNvPr id="55495" name="Picture 7" descr="C:\WINDOWS\TEMP\~0003946.gif">
          <a:extLst>
            <a:ext uri="{FF2B5EF4-FFF2-40B4-BE49-F238E27FC236}">
              <a16:creationId xmlns:a16="http://schemas.microsoft.com/office/drawing/2014/main" id="{00000000-0008-0000-0000-0000C7D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5496" name="Picture 8" descr="C:\WINDOWS\TEMP\~0003946.gif">
          <a:extLst>
            <a:ext uri="{FF2B5EF4-FFF2-40B4-BE49-F238E27FC236}">
              <a16:creationId xmlns:a16="http://schemas.microsoft.com/office/drawing/2014/main" id="{00000000-0008-0000-0000-0000C8D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55497" name="Picture 28" descr="C:\WINDOWS\TEMP\~0003946.gif">
          <a:extLst>
            <a:ext uri="{FF2B5EF4-FFF2-40B4-BE49-F238E27FC236}">
              <a16:creationId xmlns:a16="http://schemas.microsoft.com/office/drawing/2014/main" id="{00000000-0008-0000-0000-0000C9D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132</xdr:row>
      <xdr:rowOff>123825</xdr:rowOff>
    </xdr:from>
    <xdr:to>
      <xdr:col>22</xdr:col>
      <xdr:colOff>895350</xdr:colOff>
      <xdr:row>133</xdr:row>
      <xdr:rowOff>152400</xdr:rowOff>
    </xdr:to>
    <xdr:pic>
      <xdr:nvPicPr>
        <xdr:cNvPr id="55498" name="Picture 29" descr="C:\WINDOWS\TEMP\~0003946.gif">
          <a:extLst>
            <a:ext uri="{FF2B5EF4-FFF2-40B4-BE49-F238E27FC236}">
              <a16:creationId xmlns:a16="http://schemas.microsoft.com/office/drawing/2014/main" id="{00000000-0008-0000-0000-0000CAD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191</xdr:row>
      <xdr:rowOff>104775</xdr:rowOff>
    </xdr:from>
    <xdr:to>
      <xdr:col>22</xdr:col>
      <xdr:colOff>809625</xdr:colOff>
      <xdr:row>192</xdr:row>
      <xdr:rowOff>133350</xdr:rowOff>
    </xdr:to>
    <xdr:pic>
      <xdr:nvPicPr>
        <xdr:cNvPr id="55499" name="Picture 30" descr="C:\WINDOWS\TEMP\~0003946.gif">
          <a:extLst>
            <a:ext uri="{FF2B5EF4-FFF2-40B4-BE49-F238E27FC236}">
              <a16:creationId xmlns:a16="http://schemas.microsoft.com/office/drawing/2014/main" id="{00000000-0008-0000-0000-0000CBD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8938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274</xdr:row>
      <xdr:rowOff>104775</xdr:rowOff>
    </xdr:from>
    <xdr:to>
      <xdr:col>22</xdr:col>
      <xdr:colOff>895350</xdr:colOff>
      <xdr:row>275</xdr:row>
      <xdr:rowOff>133350</xdr:rowOff>
    </xdr:to>
    <xdr:pic>
      <xdr:nvPicPr>
        <xdr:cNvPr id="55500" name="Picture 31" descr="C:\WINDOWS\TEMP\~0003946.gif">
          <a:extLst>
            <a:ext uri="{FF2B5EF4-FFF2-40B4-BE49-F238E27FC236}">
              <a16:creationId xmlns:a16="http://schemas.microsoft.com/office/drawing/2014/main" id="{00000000-0008-0000-0000-0000CCD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5626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55501" name="Picture 43" descr="logoMTL">
          <a:extLst>
            <a:ext uri="{FF2B5EF4-FFF2-40B4-BE49-F238E27FC236}">
              <a16:creationId xmlns:a16="http://schemas.microsoft.com/office/drawing/2014/main" id="{00000000-0008-0000-0000-0000CDD8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132</xdr:row>
      <xdr:rowOff>38100</xdr:rowOff>
    </xdr:from>
    <xdr:to>
      <xdr:col>21</xdr:col>
      <xdr:colOff>1171575</xdr:colOff>
      <xdr:row>133</xdr:row>
      <xdr:rowOff>161925</xdr:rowOff>
    </xdr:to>
    <xdr:pic>
      <xdr:nvPicPr>
        <xdr:cNvPr id="55502" name="Picture 44" descr="logoMTL">
          <a:extLst>
            <a:ext uri="{FF2B5EF4-FFF2-40B4-BE49-F238E27FC236}">
              <a16:creationId xmlns:a16="http://schemas.microsoft.com/office/drawing/2014/main" id="{00000000-0008-0000-0000-0000CED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191</xdr:row>
      <xdr:rowOff>28575</xdr:rowOff>
    </xdr:from>
    <xdr:to>
      <xdr:col>21</xdr:col>
      <xdr:colOff>1171575</xdr:colOff>
      <xdr:row>192</xdr:row>
      <xdr:rowOff>152400</xdr:rowOff>
    </xdr:to>
    <xdr:pic>
      <xdr:nvPicPr>
        <xdr:cNvPr id="55503" name="Picture 45" descr="logoMTL">
          <a:extLst>
            <a:ext uri="{FF2B5EF4-FFF2-40B4-BE49-F238E27FC236}">
              <a16:creationId xmlns:a16="http://schemas.microsoft.com/office/drawing/2014/main" id="{00000000-0008-0000-0000-0000CFD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88620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274</xdr:row>
      <xdr:rowOff>0</xdr:rowOff>
    </xdr:from>
    <xdr:to>
      <xdr:col>21</xdr:col>
      <xdr:colOff>1228725</xdr:colOff>
      <xdr:row>275</xdr:row>
      <xdr:rowOff>123825</xdr:rowOff>
    </xdr:to>
    <xdr:pic>
      <xdr:nvPicPr>
        <xdr:cNvPr id="55504" name="Picture 46" descr="logoMTL">
          <a:extLst>
            <a:ext uri="{FF2B5EF4-FFF2-40B4-BE49-F238E27FC236}">
              <a16:creationId xmlns:a16="http://schemas.microsoft.com/office/drawing/2014/main" id="{00000000-0008-0000-0000-0000D0D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55212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4673" name="Picture 1" descr="C:\WINDOWS\TEMP\Symbol.gif">
          <a:extLst>
            <a:ext uri="{FF2B5EF4-FFF2-40B4-BE49-F238E27FC236}">
              <a16:creationId xmlns:a16="http://schemas.microsoft.com/office/drawing/2014/main" id="{00000000-0008-0000-0900-0000A1F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64674" name="Picture 2" descr="C:\WINDOWS\TEMP\Symbol.gif">
          <a:extLst>
            <a:ext uri="{FF2B5EF4-FFF2-40B4-BE49-F238E27FC236}">
              <a16:creationId xmlns:a16="http://schemas.microsoft.com/office/drawing/2014/main" id="{00000000-0008-0000-0900-0000A2F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64675" name="Picture 3" descr="C:\WINDOWS\TEMP\Symbol.gif">
          <a:extLst>
            <a:ext uri="{FF2B5EF4-FFF2-40B4-BE49-F238E27FC236}">
              <a16:creationId xmlns:a16="http://schemas.microsoft.com/office/drawing/2014/main" id="{00000000-0008-0000-0900-0000A3F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64676" name="Picture 4" descr="C:\WINDOWS\TEMP\Symbol.gif">
          <a:extLst>
            <a:ext uri="{FF2B5EF4-FFF2-40B4-BE49-F238E27FC236}">
              <a16:creationId xmlns:a16="http://schemas.microsoft.com/office/drawing/2014/main" id="{00000000-0008-0000-0900-0000A4F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08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276</xdr:row>
      <xdr:rowOff>123825</xdr:rowOff>
    </xdr:from>
    <xdr:to>
      <xdr:col>22</xdr:col>
      <xdr:colOff>1895475</xdr:colOff>
      <xdr:row>277</xdr:row>
      <xdr:rowOff>152400</xdr:rowOff>
    </xdr:to>
    <xdr:pic>
      <xdr:nvPicPr>
        <xdr:cNvPr id="64677" name="Picture 5" descr="C:\WINDOWS\TEMP\~0003946.gif">
          <a:extLst>
            <a:ext uri="{FF2B5EF4-FFF2-40B4-BE49-F238E27FC236}">
              <a16:creationId xmlns:a16="http://schemas.microsoft.com/office/drawing/2014/main" id="{00000000-0008-0000-0900-0000A5F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04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64678" name="Picture 6" descr="C:\WINDOWS\TEMP\~0003946.gif">
          <a:extLst>
            <a:ext uri="{FF2B5EF4-FFF2-40B4-BE49-F238E27FC236}">
              <a16:creationId xmlns:a16="http://schemas.microsoft.com/office/drawing/2014/main" id="{00000000-0008-0000-0900-0000A6F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64679" name="Picture 7" descr="C:\WINDOWS\TEMP\~0003946.gif">
          <a:extLst>
            <a:ext uri="{FF2B5EF4-FFF2-40B4-BE49-F238E27FC236}">
              <a16:creationId xmlns:a16="http://schemas.microsoft.com/office/drawing/2014/main" id="{00000000-0008-0000-0900-0000A7F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64680" name="Picture 8" descr="C:\WINDOWS\TEMP\~0003946.gif">
          <a:extLst>
            <a:ext uri="{FF2B5EF4-FFF2-40B4-BE49-F238E27FC236}">
              <a16:creationId xmlns:a16="http://schemas.microsoft.com/office/drawing/2014/main" id="{00000000-0008-0000-0900-0000A8F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64681" name="Picture 9" descr="C:\WINDOWS\TEMP\~0003946.gif">
          <a:extLst>
            <a:ext uri="{FF2B5EF4-FFF2-40B4-BE49-F238E27FC236}">
              <a16:creationId xmlns:a16="http://schemas.microsoft.com/office/drawing/2014/main" id="{00000000-0008-0000-0900-0000A9F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64682" name="Picture 10" descr="C:\WINDOWS\TEMP\~0003946.gif">
          <a:extLst>
            <a:ext uri="{FF2B5EF4-FFF2-40B4-BE49-F238E27FC236}">
              <a16:creationId xmlns:a16="http://schemas.microsoft.com/office/drawing/2014/main" id="{00000000-0008-0000-0900-0000AAF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64683" name="Picture 11" descr="C:\WINDOWS\TEMP\~0003946.gif">
          <a:extLst>
            <a:ext uri="{FF2B5EF4-FFF2-40B4-BE49-F238E27FC236}">
              <a16:creationId xmlns:a16="http://schemas.microsoft.com/office/drawing/2014/main" id="{00000000-0008-0000-0900-0000ABF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276</xdr:row>
      <xdr:rowOff>104775</xdr:rowOff>
    </xdr:from>
    <xdr:to>
      <xdr:col>22</xdr:col>
      <xdr:colOff>895350</xdr:colOff>
      <xdr:row>277</xdr:row>
      <xdr:rowOff>133350</xdr:rowOff>
    </xdr:to>
    <xdr:pic>
      <xdr:nvPicPr>
        <xdr:cNvPr id="64684" name="Picture 12" descr="C:\WINDOWS\TEMP\~0003946.gif">
          <a:extLst>
            <a:ext uri="{FF2B5EF4-FFF2-40B4-BE49-F238E27FC236}">
              <a16:creationId xmlns:a16="http://schemas.microsoft.com/office/drawing/2014/main" id="{00000000-0008-0000-0900-0000ACF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02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64685" name="Picture 13" descr="logoMTL">
          <a:extLst>
            <a:ext uri="{FF2B5EF4-FFF2-40B4-BE49-F238E27FC236}">
              <a16:creationId xmlns:a16="http://schemas.microsoft.com/office/drawing/2014/main" id="{00000000-0008-0000-0900-0000ADFC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64686" name="Picture 14" descr="logoMTL">
          <a:extLst>
            <a:ext uri="{FF2B5EF4-FFF2-40B4-BE49-F238E27FC236}">
              <a16:creationId xmlns:a16="http://schemas.microsoft.com/office/drawing/2014/main" id="{00000000-0008-0000-0900-0000AEF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64687" name="Picture 15" descr="logoMTL">
          <a:extLst>
            <a:ext uri="{FF2B5EF4-FFF2-40B4-BE49-F238E27FC236}">
              <a16:creationId xmlns:a16="http://schemas.microsoft.com/office/drawing/2014/main" id="{00000000-0008-0000-0900-0000AFF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276</xdr:row>
      <xdr:rowOff>0</xdr:rowOff>
    </xdr:from>
    <xdr:to>
      <xdr:col>21</xdr:col>
      <xdr:colOff>1228725</xdr:colOff>
      <xdr:row>277</xdr:row>
      <xdr:rowOff>123825</xdr:rowOff>
    </xdr:to>
    <xdr:pic>
      <xdr:nvPicPr>
        <xdr:cNvPr id="64688" name="Picture 16" descr="logoMTL">
          <a:extLst>
            <a:ext uri="{FF2B5EF4-FFF2-40B4-BE49-F238E27FC236}">
              <a16:creationId xmlns:a16="http://schemas.microsoft.com/office/drawing/2014/main" id="{00000000-0008-0000-0900-0000B0F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592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5697" name="Picture 1" descr="C:\WINDOWS\TEMP\Symbol.gif">
          <a:extLst>
            <a:ext uri="{FF2B5EF4-FFF2-40B4-BE49-F238E27FC236}">
              <a16:creationId xmlns:a16="http://schemas.microsoft.com/office/drawing/2014/main" id="{00000000-0008-0000-0A00-0000A10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65698" name="Picture 2" descr="C:\WINDOWS\TEMP\Symbol.gif">
          <a:extLst>
            <a:ext uri="{FF2B5EF4-FFF2-40B4-BE49-F238E27FC236}">
              <a16:creationId xmlns:a16="http://schemas.microsoft.com/office/drawing/2014/main" id="{00000000-0008-0000-0A00-0000A20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65699" name="Picture 3" descr="C:\WINDOWS\TEMP\Symbol.gif">
          <a:extLst>
            <a:ext uri="{FF2B5EF4-FFF2-40B4-BE49-F238E27FC236}">
              <a16:creationId xmlns:a16="http://schemas.microsoft.com/office/drawing/2014/main" id="{00000000-0008-0000-0A00-0000A30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65700" name="Picture 4" descr="C:\WINDOWS\TEMP\Symbol.gif">
          <a:extLst>
            <a:ext uri="{FF2B5EF4-FFF2-40B4-BE49-F238E27FC236}">
              <a16:creationId xmlns:a16="http://schemas.microsoft.com/office/drawing/2014/main" id="{00000000-0008-0000-0A00-0000A40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08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276</xdr:row>
      <xdr:rowOff>123825</xdr:rowOff>
    </xdr:from>
    <xdr:to>
      <xdr:col>22</xdr:col>
      <xdr:colOff>1895475</xdr:colOff>
      <xdr:row>277</xdr:row>
      <xdr:rowOff>152400</xdr:rowOff>
    </xdr:to>
    <xdr:pic>
      <xdr:nvPicPr>
        <xdr:cNvPr id="65701" name="Picture 5" descr="C:\WINDOWS\TEMP\~0003946.gif">
          <a:extLst>
            <a:ext uri="{FF2B5EF4-FFF2-40B4-BE49-F238E27FC236}">
              <a16:creationId xmlns:a16="http://schemas.microsoft.com/office/drawing/2014/main" id="{00000000-0008-0000-0A00-0000A50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04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65702" name="Picture 6" descr="C:\WINDOWS\TEMP\~0003946.gif">
          <a:extLst>
            <a:ext uri="{FF2B5EF4-FFF2-40B4-BE49-F238E27FC236}">
              <a16:creationId xmlns:a16="http://schemas.microsoft.com/office/drawing/2014/main" id="{00000000-0008-0000-0A00-0000A60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65703" name="Picture 7" descr="C:\WINDOWS\TEMP\~0003946.gif">
          <a:extLst>
            <a:ext uri="{FF2B5EF4-FFF2-40B4-BE49-F238E27FC236}">
              <a16:creationId xmlns:a16="http://schemas.microsoft.com/office/drawing/2014/main" id="{00000000-0008-0000-0A00-0000A70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65704" name="Picture 8" descr="C:\WINDOWS\TEMP\~0003946.gif">
          <a:extLst>
            <a:ext uri="{FF2B5EF4-FFF2-40B4-BE49-F238E27FC236}">
              <a16:creationId xmlns:a16="http://schemas.microsoft.com/office/drawing/2014/main" id="{00000000-0008-0000-0A00-0000A80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65705" name="Picture 9" descr="C:\WINDOWS\TEMP\~0003946.gif">
          <a:extLst>
            <a:ext uri="{FF2B5EF4-FFF2-40B4-BE49-F238E27FC236}">
              <a16:creationId xmlns:a16="http://schemas.microsoft.com/office/drawing/2014/main" id="{00000000-0008-0000-0A00-0000A90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65706" name="Picture 10" descr="C:\WINDOWS\TEMP\~0003946.gif">
          <a:extLst>
            <a:ext uri="{FF2B5EF4-FFF2-40B4-BE49-F238E27FC236}">
              <a16:creationId xmlns:a16="http://schemas.microsoft.com/office/drawing/2014/main" id="{00000000-0008-0000-0A00-0000AA0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65707" name="Picture 11" descr="C:\WINDOWS\TEMP\~0003946.gif">
          <a:extLst>
            <a:ext uri="{FF2B5EF4-FFF2-40B4-BE49-F238E27FC236}">
              <a16:creationId xmlns:a16="http://schemas.microsoft.com/office/drawing/2014/main" id="{00000000-0008-0000-0A00-0000AB0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276</xdr:row>
      <xdr:rowOff>104775</xdr:rowOff>
    </xdr:from>
    <xdr:to>
      <xdr:col>22</xdr:col>
      <xdr:colOff>895350</xdr:colOff>
      <xdr:row>277</xdr:row>
      <xdr:rowOff>133350</xdr:rowOff>
    </xdr:to>
    <xdr:pic>
      <xdr:nvPicPr>
        <xdr:cNvPr id="65708" name="Picture 12" descr="C:\WINDOWS\TEMP\~0003946.gif">
          <a:extLst>
            <a:ext uri="{FF2B5EF4-FFF2-40B4-BE49-F238E27FC236}">
              <a16:creationId xmlns:a16="http://schemas.microsoft.com/office/drawing/2014/main" id="{00000000-0008-0000-0A00-0000AC0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02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65709" name="Picture 13" descr="logoMTL">
          <a:extLst>
            <a:ext uri="{FF2B5EF4-FFF2-40B4-BE49-F238E27FC236}">
              <a16:creationId xmlns:a16="http://schemas.microsoft.com/office/drawing/2014/main" id="{00000000-0008-0000-0A00-0000AD00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65710" name="Picture 14" descr="logoMTL">
          <a:extLst>
            <a:ext uri="{FF2B5EF4-FFF2-40B4-BE49-F238E27FC236}">
              <a16:creationId xmlns:a16="http://schemas.microsoft.com/office/drawing/2014/main" id="{00000000-0008-0000-0A00-0000AE0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65711" name="Picture 15" descr="logoMTL">
          <a:extLst>
            <a:ext uri="{FF2B5EF4-FFF2-40B4-BE49-F238E27FC236}">
              <a16:creationId xmlns:a16="http://schemas.microsoft.com/office/drawing/2014/main" id="{00000000-0008-0000-0A00-0000AF0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276</xdr:row>
      <xdr:rowOff>0</xdr:rowOff>
    </xdr:from>
    <xdr:to>
      <xdr:col>21</xdr:col>
      <xdr:colOff>1228725</xdr:colOff>
      <xdr:row>277</xdr:row>
      <xdr:rowOff>123825</xdr:rowOff>
    </xdr:to>
    <xdr:pic>
      <xdr:nvPicPr>
        <xdr:cNvPr id="65712" name="Picture 16" descr="logoMTL">
          <a:extLst>
            <a:ext uri="{FF2B5EF4-FFF2-40B4-BE49-F238E27FC236}">
              <a16:creationId xmlns:a16="http://schemas.microsoft.com/office/drawing/2014/main" id="{00000000-0008-0000-0A00-0000B00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592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6721" name="Picture 1" descr="C:\WINDOWS\TEMP\Symbol.gif">
          <a:extLst>
            <a:ext uri="{FF2B5EF4-FFF2-40B4-BE49-F238E27FC236}">
              <a16:creationId xmlns:a16="http://schemas.microsoft.com/office/drawing/2014/main" id="{00000000-0008-0000-0B00-0000A10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66722" name="Picture 2" descr="C:\WINDOWS\TEMP\Symbol.gif">
          <a:extLst>
            <a:ext uri="{FF2B5EF4-FFF2-40B4-BE49-F238E27FC236}">
              <a16:creationId xmlns:a16="http://schemas.microsoft.com/office/drawing/2014/main" id="{00000000-0008-0000-0B00-0000A20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66723" name="Picture 3" descr="C:\WINDOWS\TEMP\Symbol.gif">
          <a:extLst>
            <a:ext uri="{FF2B5EF4-FFF2-40B4-BE49-F238E27FC236}">
              <a16:creationId xmlns:a16="http://schemas.microsoft.com/office/drawing/2014/main" id="{00000000-0008-0000-0B00-0000A30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66724" name="Picture 4" descr="C:\WINDOWS\TEMP\Symbol.gif">
          <a:extLst>
            <a:ext uri="{FF2B5EF4-FFF2-40B4-BE49-F238E27FC236}">
              <a16:creationId xmlns:a16="http://schemas.microsoft.com/office/drawing/2014/main" id="{00000000-0008-0000-0B00-0000A40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08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276</xdr:row>
      <xdr:rowOff>123825</xdr:rowOff>
    </xdr:from>
    <xdr:to>
      <xdr:col>22</xdr:col>
      <xdr:colOff>1895475</xdr:colOff>
      <xdr:row>277</xdr:row>
      <xdr:rowOff>152400</xdr:rowOff>
    </xdr:to>
    <xdr:pic>
      <xdr:nvPicPr>
        <xdr:cNvPr id="66725" name="Picture 5" descr="C:\WINDOWS\TEMP\~0003946.gif">
          <a:extLst>
            <a:ext uri="{FF2B5EF4-FFF2-40B4-BE49-F238E27FC236}">
              <a16:creationId xmlns:a16="http://schemas.microsoft.com/office/drawing/2014/main" id="{00000000-0008-0000-0B00-0000A50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04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66726" name="Picture 6" descr="C:\WINDOWS\TEMP\~0003946.gif">
          <a:extLst>
            <a:ext uri="{FF2B5EF4-FFF2-40B4-BE49-F238E27FC236}">
              <a16:creationId xmlns:a16="http://schemas.microsoft.com/office/drawing/2014/main" id="{00000000-0008-0000-0B00-0000A60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66727" name="Picture 7" descr="C:\WINDOWS\TEMP\~0003946.gif">
          <a:extLst>
            <a:ext uri="{FF2B5EF4-FFF2-40B4-BE49-F238E27FC236}">
              <a16:creationId xmlns:a16="http://schemas.microsoft.com/office/drawing/2014/main" id="{00000000-0008-0000-0B00-0000A70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66728" name="Picture 8" descr="C:\WINDOWS\TEMP\~0003946.gif">
          <a:extLst>
            <a:ext uri="{FF2B5EF4-FFF2-40B4-BE49-F238E27FC236}">
              <a16:creationId xmlns:a16="http://schemas.microsoft.com/office/drawing/2014/main" id="{00000000-0008-0000-0B00-0000A80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66729" name="Picture 9" descr="C:\WINDOWS\TEMP\~0003946.gif">
          <a:extLst>
            <a:ext uri="{FF2B5EF4-FFF2-40B4-BE49-F238E27FC236}">
              <a16:creationId xmlns:a16="http://schemas.microsoft.com/office/drawing/2014/main" id="{00000000-0008-0000-0B00-0000A90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66730" name="Picture 10" descr="C:\WINDOWS\TEMP\~0003946.gif">
          <a:extLst>
            <a:ext uri="{FF2B5EF4-FFF2-40B4-BE49-F238E27FC236}">
              <a16:creationId xmlns:a16="http://schemas.microsoft.com/office/drawing/2014/main" id="{00000000-0008-0000-0B00-0000AA0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66731" name="Picture 11" descr="C:\WINDOWS\TEMP\~0003946.gif">
          <a:extLst>
            <a:ext uri="{FF2B5EF4-FFF2-40B4-BE49-F238E27FC236}">
              <a16:creationId xmlns:a16="http://schemas.microsoft.com/office/drawing/2014/main" id="{00000000-0008-0000-0B00-0000AB0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276</xdr:row>
      <xdr:rowOff>104775</xdr:rowOff>
    </xdr:from>
    <xdr:to>
      <xdr:col>22</xdr:col>
      <xdr:colOff>895350</xdr:colOff>
      <xdr:row>277</xdr:row>
      <xdr:rowOff>133350</xdr:rowOff>
    </xdr:to>
    <xdr:pic>
      <xdr:nvPicPr>
        <xdr:cNvPr id="66732" name="Picture 12" descr="C:\WINDOWS\TEMP\~0003946.gif">
          <a:extLst>
            <a:ext uri="{FF2B5EF4-FFF2-40B4-BE49-F238E27FC236}">
              <a16:creationId xmlns:a16="http://schemas.microsoft.com/office/drawing/2014/main" id="{00000000-0008-0000-0B00-0000AC0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02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66733" name="Picture 13" descr="logoMTL">
          <a:extLst>
            <a:ext uri="{FF2B5EF4-FFF2-40B4-BE49-F238E27FC236}">
              <a16:creationId xmlns:a16="http://schemas.microsoft.com/office/drawing/2014/main" id="{00000000-0008-0000-0B00-0000AD0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66734" name="Picture 14" descr="logoMTL">
          <a:extLst>
            <a:ext uri="{FF2B5EF4-FFF2-40B4-BE49-F238E27FC236}">
              <a16:creationId xmlns:a16="http://schemas.microsoft.com/office/drawing/2014/main" id="{00000000-0008-0000-0B00-0000AE0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66735" name="Picture 15" descr="logoMTL">
          <a:extLst>
            <a:ext uri="{FF2B5EF4-FFF2-40B4-BE49-F238E27FC236}">
              <a16:creationId xmlns:a16="http://schemas.microsoft.com/office/drawing/2014/main" id="{00000000-0008-0000-0B00-0000AF0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276</xdr:row>
      <xdr:rowOff>0</xdr:rowOff>
    </xdr:from>
    <xdr:to>
      <xdr:col>21</xdr:col>
      <xdr:colOff>1228725</xdr:colOff>
      <xdr:row>277</xdr:row>
      <xdr:rowOff>123825</xdr:rowOff>
    </xdr:to>
    <xdr:pic>
      <xdr:nvPicPr>
        <xdr:cNvPr id="66736" name="Picture 16" descr="logoMTL">
          <a:extLst>
            <a:ext uri="{FF2B5EF4-FFF2-40B4-BE49-F238E27FC236}">
              <a16:creationId xmlns:a16="http://schemas.microsoft.com/office/drawing/2014/main" id="{00000000-0008-0000-0B00-0000B00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592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7745" name="Picture 1" descr="C:\WINDOWS\TEMP\Symbol.gif">
          <a:extLst>
            <a:ext uri="{FF2B5EF4-FFF2-40B4-BE49-F238E27FC236}">
              <a16:creationId xmlns:a16="http://schemas.microsoft.com/office/drawing/2014/main" id="{00000000-0008-0000-0C00-0000A10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67746" name="Picture 2" descr="C:\WINDOWS\TEMP\Symbol.gif">
          <a:extLst>
            <a:ext uri="{FF2B5EF4-FFF2-40B4-BE49-F238E27FC236}">
              <a16:creationId xmlns:a16="http://schemas.microsoft.com/office/drawing/2014/main" id="{00000000-0008-0000-0C00-0000A20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67747" name="Picture 3" descr="C:\WINDOWS\TEMP\Symbol.gif">
          <a:extLst>
            <a:ext uri="{FF2B5EF4-FFF2-40B4-BE49-F238E27FC236}">
              <a16:creationId xmlns:a16="http://schemas.microsoft.com/office/drawing/2014/main" id="{00000000-0008-0000-0C00-0000A30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277</xdr:row>
      <xdr:rowOff>161925</xdr:rowOff>
    </xdr:from>
    <xdr:to>
      <xdr:col>1</xdr:col>
      <xdr:colOff>19050</xdr:colOff>
      <xdr:row>278</xdr:row>
      <xdr:rowOff>200025</xdr:rowOff>
    </xdr:to>
    <xdr:pic>
      <xdr:nvPicPr>
        <xdr:cNvPr id="67748" name="Picture 4" descr="C:\WINDOWS\TEMP\Symbol.gif">
          <a:extLst>
            <a:ext uri="{FF2B5EF4-FFF2-40B4-BE49-F238E27FC236}">
              <a16:creationId xmlns:a16="http://schemas.microsoft.com/office/drawing/2014/main" id="{00000000-0008-0000-0C00-0000A40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2832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277</xdr:row>
      <xdr:rowOff>123825</xdr:rowOff>
    </xdr:from>
    <xdr:to>
      <xdr:col>22</xdr:col>
      <xdr:colOff>1895475</xdr:colOff>
      <xdr:row>278</xdr:row>
      <xdr:rowOff>152400</xdr:rowOff>
    </xdr:to>
    <xdr:pic>
      <xdr:nvPicPr>
        <xdr:cNvPr id="67749" name="Picture 5" descr="C:\WINDOWS\TEMP\~0003946.gif">
          <a:extLst>
            <a:ext uri="{FF2B5EF4-FFF2-40B4-BE49-F238E27FC236}">
              <a16:creationId xmlns:a16="http://schemas.microsoft.com/office/drawing/2014/main" id="{00000000-0008-0000-0C00-0000A50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2451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67750" name="Picture 6" descr="C:\WINDOWS\TEMP\~0003946.gif">
          <a:extLst>
            <a:ext uri="{FF2B5EF4-FFF2-40B4-BE49-F238E27FC236}">
              <a16:creationId xmlns:a16="http://schemas.microsoft.com/office/drawing/2014/main" id="{00000000-0008-0000-0C00-0000A60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67751" name="Picture 7" descr="C:\WINDOWS\TEMP\~0003946.gif">
          <a:extLst>
            <a:ext uri="{FF2B5EF4-FFF2-40B4-BE49-F238E27FC236}">
              <a16:creationId xmlns:a16="http://schemas.microsoft.com/office/drawing/2014/main" id="{00000000-0008-0000-0C00-0000A70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67752" name="Picture 8" descr="C:\WINDOWS\TEMP\~0003946.gif">
          <a:extLst>
            <a:ext uri="{FF2B5EF4-FFF2-40B4-BE49-F238E27FC236}">
              <a16:creationId xmlns:a16="http://schemas.microsoft.com/office/drawing/2014/main" id="{00000000-0008-0000-0C00-0000A80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67753" name="Picture 9" descr="C:\WINDOWS\TEMP\~0003946.gif">
          <a:extLst>
            <a:ext uri="{FF2B5EF4-FFF2-40B4-BE49-F238E27FC236}">
              <a16:creationId xmlns:a16="http://schemas.microsoft.com/office/drawing/2014/main" id="{00000000-0008-0000-0C00-0000A90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67754" name="Picture 10" descr="C:\WINDOWS\TEMP\~0003946.gif">
          <a:extLst>
            <a:ext uri="{FF2B5EF4-FFF2-40B4-BE49-F238E27FC236}">
              <a16:creationId xmlns:a16="http://schemas.microsoft.com/office/drawing/2014/main" id="{00000000-0008-0000-0C00-0000AA0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67755" name="Picture 11" descr="C:\WINDOWS\TEMP\~0003946.gif">
          <a:extLst>
            <a:ext uri="{FF2B5EF4-FFF2-40B4-BE49-F238E27FC236}">
              <a16:creationId xmlns:a16="http://schemas.microsoft.com/office/drawing/2014/main" id="{00000000-0008-0000-0C00-0000AB0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277</xdr:row>
      <xdr:rowOff>104775</xdr:rowOff>
    </xdr:from>
    <xdr:to>
      <xdr:col>22</xdr:col>
      <xdr:colOff>895350</xdr:colOff>
      <xdr:row>278</xdr:row>
      <xdr:rowOff>133350</xdr:rowOff>
    </xdr:to>
    <xdr:pic>
      <xdr:nvPicPr>
        <xdr:cNvPr id="67756" name="Picture 12" descr="C:\WINDOWS\TEMP\~0003946.gif">
          <a:extLst>
            <a:ext uri="{FF2B5EF4-FFF2-40B4-BE49-F238E27FC236}">
              <a16:creationId xmlns:a16="http://schemas.microsoft.com/office/drawing/2014/main" id="{00000000-0008-0000-0C00-0000AC0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226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67757" name="Picture 13" descr="logoMTL">
          <a:extLst>
            <a:ext uri="{FF2B5EF4-FFF2-40B4-BE49-F238E27FC236}">
              <a16:creationId xmlns:a16="http://schemas.microsoft.com/office/drawing/2014/main" id="{00000000-0008-0000-0C00-0000AD08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67758" name="Picture 14" descr="logoMTL">
          <a:extLst>
            <a:ext uri="{FF2B5EF4-FFF2-40B4-BE49-F238E27FC236}">
              <a16:creationId xmlns:a16="http://schemas.microsoft.com/office/drawing/2014/main" id="{00000000-0008-0000-0C00-0000A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67759" name="Picture 15" descr="logoMTL">
          <a:extLst>
            <a:ext uri="{FF2B5EF4-FFF2-40B4-BE49-F238E27FC236}">
              <a16:creationId xmlns:a16="http://schemas.microsoft.com/office/drawing/2014/main" id="{00000000-0008-0000-0C00-0000AF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277</xdr:row>
      <xdr:rowOff>0</xdr:rowOff>
    </xdr:from>
    <xdr:to>
      <xdr:col>21</xdr:col>
      <xdr:colOff>1228725</xdr:colOff>
      <xdr:row>278</xdr:row>
      <xdr:rowOff>123825</xdr:rowOff>
    </xdr:to>
    <xdr:pic>
      <xdr:nvPicPr>
        <xdr:cNvPr id="67760" name="Picture 16" descr="logoMTL">
          <a:extLst>
            <a:ext uri="{FF2B5EF4-FFF2-40B4-BE49-F238E27FC236}">
              <a16:creationId xmlns:a16="http://schemas.microsoft.com/office/drawing/2014/main" id="{00000000-0008-0000-0C00-0000B0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61213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8769" name="Picture 1" descr="C:\WINDOWS\TEMP\Symbol.gif">
          <a:extLst>
            <a:ext uri="{FF2B5EF4-FFF2-40B4-BE49-F238E27FC236}">
              <a16:creationId xmlns:a16="http://schemas.microsoft.com/office/drawing/2014/main" id="{00000000-0008-0000-0D00-0000A10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68770" name="Picture 2" descr="C:\WINDOWS\TEMP\Symbol.gif">
          <a:extLst>
            <a:ext uri="{FF2B5EF4-FFF2-40B4-BE49-F238E27FC236}">
              <a16:creationId xmlns:a16="http://schemas.microsoft.com/office/drawing/2014/main" id="{00000000-0008-0000-0D00-0000A20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68771" name="Picture 3" descr="C:\WINDOWS\TEMP\Symbol.gif">
          <a:extLst>
            <a:ext uri="{FF2B5EF4-FFF2-40B4-BE49-F238E27FC236}">
              <a16:creationId xmlns:a16="http://schemas.microsoft.com/office/drawing/2014/main" id="{00000000-0008-0000-0D00-0000A30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277</xdr:row>
      <xdr:rowOff>161925</xdr:rowOff>
    </xdr:from>
    <xdr:to>
      <xdr:col>1</xdr:col>
      <xdr:colOff>19050</xdr:colOff>
      <xdr:row>278</xdr:row>
      <xdr:rowOff>200025</xdr:rowOff>
    </xdr:to>
    <xdr:pic>
      <xdr:nvPicPr>
        <xdr:cNvPr id="68772" name="Picture 4" descr="C:\WINDOWS\TEMP\Symbol.gif">
          <a:extLst>
            <a:ext uri="{FF2B5EF4-FFF2-40B4-BE49-F238E27FC236}">
              <a16:creationId xmlns:a16="http://schemas.microsoft.com/office/drawing/2014/main" id="{00000000-0008-0000-0D00-0000A40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2832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277</xdr:row>
      <xdr:rowOff>123825</xdr:rowOff>
    </xdr:from>
    <xdr:to>
      <xdr:col>22</xdr:col>
      <xdr:colOff>1895475</xdr:colOff>
      <xdr:row>278</xdr:row>
      <xdr:rowOff>152400</xdr:rowOff>
    </xdr:to>
    <xdr:pic>
      <xdr:nvPicPr>
        <xdr:cNvPr id="68773" name="Picture 5" descr="C:\WINDOWS\TEMP\~0003946.gif">
          <a:extLst>
            <a:ext uri="{FF2B5EF4-FFF2-40B4-BE49-F238E27FC236}">
              <a16:creationId xmlns:a16="http://schemas.microsoft.com/office/drawing/2014/main" id="{00000000-0008-0000-0D00-0000A50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2451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68774" name="Picture 6" descr="C:\WINDOWS\TEMP\~0003946.gif">
          <a:extLst>
            <a:ext uri="{FF2B5EF4-FFF2-40B4-BE49-F238E27FC236}">
              <a16:creationId xmlns:a16="http://schemas.microsoft.com/office/drawing/2014/main" id="{00000000-0008-0000-0D00-0000A60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68775" name="Picture 7" descr="C:\WINDOWS\TEMP\~0003946.gif">
          <a:extLst>
            <a:ext uri="{FF2B5EF4-FFF2-40B4-BE49-F238E27FC236}">
              <a16:creationId xmlns:a16="http://schemas.microsoft.com/office/drawing/2014/main" id="{00000000-0008-0000-0D00-0000A70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68776" name="Picture 8" descr="C:\WINDOWS\TEMP\~0003946.gif">
          <a:extLst>
            <a:ext uri="{FF2B5EF4-FFF2-40B4-BE49-F238E27FC236}">
              <a16:creationId xmlns:a16="http://schemas.microsoft.com/office/drawing/2014/main" id="{00000000-0008-0000-0D00-0000A80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68777" name="Picture 9" descr="C:\WINDOWS\TEMP\~0003946.gif">
          <a:extLst>
            <a:ext uri="{FF2B5EF4-FFF2-40B4-BE49-F238E27FC236}">
              <a16:creationId xmlns:a16="http://schemas.microsoft.com/office/drawing/2014/main" id="{00000000-0008-0000-0D00-0000A90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68778" name="Picture 10" descr="C:\WINDOWS\TEMP\~0003946.gif">
          <a:extLst>
            <a:ext uri="{FF2B5EF4-FFF2-40B4-BE49-F238E27FC236}">
              <a16:creationId xmlns:a16="http://schemas.microsoft.com/office/drawing/2014/main" id="{00000000-0008-0000-0D00-0000AA0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68779" name="Picture 11" descr="C:\WINDOWS\TEMP\~0003946.gif">
          <a:extLst>
            <a:ext uri="{FF2B5EF4-FFF2-40B4-BE49-F238E27FC236}">
              <a16:creationId xmlns:a16="http://schemas.microsoft.com/office/drawing/2014/main" id="{00000000-0008-0000-0D00-0000AB0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277</xdr:row>
      <xdr:rowOff>104775</xdr:rowOff>
    </xdr:from>
    <xdr:to>
      <xdr:col>22</xdr:col>
      <xdr:colOff>895350</xdr:colOff>
      <xdr:row>278</xdr:row>
      <xdr:rowOff>133350</xdr:rowOff>
    </xdr:to>
    <xdr:pic>
      <xdr:nvPicPr>
        <xdr:cNvPr id="68780" name="Picture 12" descr="C:\WINDOWS\TEMP\~0003946.gif">
          <a:extLst>
            <a:ext uri="{FF2B5EF4-FFF2-40B4-BE49-F238E27FC236}">
              <a16:creationId xmlns:a16="http://schemas.microsoft.com/office/drawing/2014/main" id="{00000000-0008-0000-0D00-0000AC0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226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68781" name="Picture 13" descr="logoMTL">
          <a:extLst>
            <a:ext uri="{FF2B5EF4-FFF2-40B4-BE49-F238E27FC236}">
              <a16:creationId xmlns:a16="http://schemas.microsoft.com/office/drawing/2014/main" id="{00000000-0008-0000-0D00-0000AD0C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68782" name="Picture 14" descr="logoMTL">
          <a:extLst>
            <a:ext uri="{FF2B5EF4-FFF2-40B4-BE49-F238E27FC236}">
              <a16:creationId xmlns:a16="http://schemas.microsoft.com/office/drawing/2014/main" id="{00000000-0008-0000-0D00-0000AE0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68783" name="Picture 15" descr="logoMTL">
          <a:extLst>
            <a:ext uri="{FF2B5EF4-FFF2-40B4-BE49-F238E27FC236}">
              <a16:creationId xmlns:a16="http://schemas.microsoft.com/office/drawing/2014/main" id="{00000000-0008-0000-0D00-0000AF0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277</xdr:row>
      <xdr:rowOff>0</xdr:rowOff>
    </xdr:from>
    <xdr:to>
      <xdr:col>21</xdr:col>
      <xdr:colOff>1228725</xdr:colOff>
      <xdr:row>278</xdr:row>
      <xdr:rowOff>123825</xdr:rowOff>
    </xdr:to>
    <xdr:pic>
      <xdr:nvPicPr>
        <xdr:cNvPr id="68784" name="Picture 16" descr="logoMTL">
          <a:extLst>
            <a:ext uri="{FF2B5EF4-FFF2-40B4-BE49-F238E27FC236}">
              <a16:creationId xmlns:a16="http://schemas.microsoft.com/office/drawing/2014/main" id="{00000000-0008-0000-0D00-0000B00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61213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9793" name="Picture 1" descr="C:\WINDOWS\TEMP\Symbol.gif">
          <a:extLst>
            <a:ext uri="{FF2B5EF4-FFF2-40B4-BE49-F238E27FC236}">
              <a16:creationId xmlns:a16="http://schemas.microsoft.com/office/drawing/2014/main" id="{00000000-0008-0000-0E00-0000A11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69794" name="Picture 2" descr="C:\WINDOWS\TEMP\Symbol.gif">
          <a:extLst>
            <a:ext uri="{FF2B5EF4-FFF2-40B4-BE49-F238E27FC236}">
              <a16:creationId xmlns:a16="http://schemas.microsoft.com/office/drawing/2014/main" id="{00000000-0008-0000-0E00-0000A21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69795" name="Picture 3" descr="C:\WINDOWS\TEMP\Symbol.gif">
          <a:extLst>
            <a:ext uri="{FF2B5EF4-FFF2-40B4-BE49-F238E27FC236}">
              <a16:creationId xmlns:a16="http://schemas.microsoft.com/office/drawing/2014/main" id="{00000000-0008-0000-0E00-0000A31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277</xdr:row>
      <xdr:rowOff>161925</xdr:rowOff>
    </xdr:from>
    <xdr:to>
      <xdr:col>1</xdr:col>
      <xdr:colOff>19050</xdr:colOff>
      <xdr:row>278</xdr:row>
      <xdr:rowOff>200025</xdr:rowOff>
    </xdr:to>
    <xdr:pic>
      <xdr:nvPicPr>
        <xdr:cNvPr id="69796" name="Picture 4" descr="C:\WINDOWS\TEMP\Symbol.gif">
          <a:extLst>
            <a:ext uri="{FF2B5EF4-FFF2-40B4-BE49-F238E27FC236}">
              <a16:creationId xmlns:a16="http://schemas.microsoft.com/office/drawing/2014/main" id="{00000000-0008-0000-0E00-0000A41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2832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277</xdr:row>
      <xdr:rowOff>123825</xdr:rowOff>
    </xdr:from>
    <xdr:to>
      <xdr:col>22</xdr:col>
      <xdr:colOff>1895475</xdr:colOff>
      <xdr:row>278</xdr:row>
      <xdr:rowOff>152400</xdr:rowOff>
    </xdr:to>
    <xdr:pic>
      <xdr:nvPicPr>
        <xdr:cNvPr id="69797" name="Picture 5" descr="C:\WINDOWS\TEMP\~0003946.gif">
          <a:extLst>
            <a:ext uri="{FF2B5EF4-FFF2-40B4-BE49-F238E27FC236}">
              <a16:creationId xmlns:a16="http://schemas.microsoft.com/office/drawing/2014/main" id="{00000000-0008-0000-0E00-0000A51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2451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69798" name="Picture 6" descr="C:\WINDOWS\TEMP\~0003946.gif">
          <a:extLst>
            <a:ext uri="{FF2B5EF4-FFF2-40B4-BE49-F238E27FC236}">
              <a16:creationId xmlns:a16="http://schemas.microsoft.com/office/drawing/2014/main" id="{00000000-0008-0000-0E00-0000A61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69799" name="Picture 7" descr="C:\WINDOWS\TEMP\~0003946.gif">
          <a:extLst>
            <a:ext uri="{FF2B5EF4-FFF2-40B4-BE49-F238E27FC236}">
              <a16:creationId xmlns:a16="http://schemas.microsoft.com/office/drawing/2014/main" id="{00000000-0008-0000-0E00-0000A71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69800" name="Picture 8" descr="C:\WINDOWS\TEMP\~0003946.gif">
          <a:extLst>
            <a:ext uri="{FF2B5EF4-FFF2-40B4-BE49-F238E27FC236}">
              <a16:creationId xmlns:a16="http://schemas.microsoft.com/office/drawing/2014/main" id="{00000000-0008-0000-0E00-0000A81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69801" name="Picture 9" descr="C:\WINDOWS\TEMP\~0003946.gif">
          <a:extLst>
            <a:ext uri="{FF2B5EF4-FFF2-40B4-BE49-F238E27FC236}">
              <a16:creationId xmlns:a16="http://schemas.microsoft.com/office/drawing/2014/main" id="{00000000-0008-0000-0E00-0000A91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69802" name="Picture 10" descr="C:\WINDOWS\TEMP\~0003946.gif">
          <a:extLst>
            <a:ext uri="{FF2B5EF4-FFF2-40B4-BE49-F238E27FC236}">
              <a16:creationId xmlns:a16="http://schemas.microsoft.com/office/drawing/2014/main" id="{00000000-0008-0000-0E00-0000AA1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69803" name="Picture 11" descr="C:\WINDOWS\TEMP\~0003946.gif">
          <a:extLst>
            <a:ext uri="{FF2B5EF4-FFF2-40B4-BE49-F238E27FC236}">
              <a16:creationId xmlns:a16="http://schemas.microsoft.com/office/drawing/2014/main" id="{00000000-0008-0000-0E00-0000AB1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277</xdr:row>
      <xdr:rowOff>104775</xdr:rowOff>
    </xdr:from>
    <xdr:to>
      <xdr:col>22</xdr:col>
      <xdr:colOff>895350</xdr:colOff>
      <xdr:row>278</xdr:row>
      <xdr:rowOff>133350</xdr:rowOff>
    </xdr:to>
    <xdr:pic>
      <xdr:nvPicPr>
        <xdr:cNvPr id="69804" name="Picture 12" descr="C:\WINDOWS\TEMP\~0003946.gif">
          <a:extLst>
            <a:ext uri="{FF2B5EF4-FFF2-40B4-BE49-F238E27FC236}">
              <a16:creationId xmlns:a16="http://schemas.microsoft.com/office/drawing/2014/main" id="{00000000-0008-0000-0E00-0000AC1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226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69805" name="Picture 13" descr="logoMTL">
          <a:extLst>
            <a:ext uri="{FF2B5EF4-FFF2-40B4-BE49-F238E27FC236}">
              <a16:creationId xmlns:a16="http://schemas.microsoft.com/office/drawing/2014/main" id="{00000000-0008-0000-0E00-0000AD10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69806" name="Picture 14" descr="logoMTL">
          <a:extLst>
            <a:ext uri="{FF2B5EF4-FFF2-40B4-BE49-F238E27FC236}">
              <a16:creationId xmlns:a16="http://schemas.microsoft.com/office/drawing/2014/main" id="{00000000-0008-0000-0E00-0000AE1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69807" name="Picture 15" descr="logoMTL">
          <a:extLst>
            <a:ext uri="{FF2B5EF4-FFF2-40B4-BE49-F238E27FC236}">
              <a16:creationId xmlns:a16="http://schemas.microsoft.com/office/drawing/2014/main" id="{00000000-0008-0000-0E00-0000AF1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277</xdr:row>
      <xdr:rowOff>0</xdr:rowOff>
    </xdr:from>
    <xdr:to>
      <xdr:col>21</xdr:col>
      <xdr:colOff>1228725</xdr:colOff>
      <xdr:row>278</xdr:row>
      <xdr:rowOff>123825</xdr:rowOff>
    </xdr:to>
    <xdr:pic>
      <xdr:nvPicPr>
        <xdr:cNvPr id="69808" name="Picture 16" descr="logoMTL">
          <a:extLst>
            <a:ext uri="{FF2B5EF4-FFF2-40B4-BE49-F238E27FC236}">
              <a16:creationId xmlns:a16="http://schemas.microsoft.com/office/drawing/2014/main" id="{00000000-0008-0000-0E00-0000B01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61213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70817" name="Picture 1" descr="C:\WINDOWS\TEMP\Symbol.gif">
          <a:extLst>
            <a:ext uri="{FF2B5EF4-FFF2-40B4-BE49-F238E27FC236}">
              <a16:creationId xmlns:a16="http://schemas.microsoft.com/office/drawing/2014/main" id="{00000000-0008-0000-0F00-0000A11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70818" name="Picture 2" descr="C:\WINDOWS\TEMP\Symbol.gif">
          <a:extLst>
            <a:ext uri="{FF2B5EF4-FFF2-40B4-BE49-F238E27FC236}">
              <a16:creationId xmlns:a16="http://schemas.microsoft.com/office/drawing/2014/main" id="{00000000-0008-0000-0F00-0000A21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70819" name="Picture 3" descr="C:\WINDOWS\TEMP\Symbol.gif">
          <a:extLst>
            <a:ext uri="{FF2B5EF4-FFF2-40B4-BE49-F238E27FC236}">
              <a16:creationId xmlns:a16="http://schemas.microsoft.com/office/drawing/2014/main" id="{00000000-0008-0000-0F00-0000A31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70820" name="Picture 4" descr="C:\WINDOWS\TEMP\Symbol.gif">
          <a:extLst>
            <a:ext uri="{FF2B5EF4-FFF2-40B4-BE49-F238E27FC236}">
              <a16:creationId xmlns:a16="http://schemas.microsoft.com/office/drawing/2014/main" id="{00000000-0008-0000-0F00-0000A41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288</xdr:row>
      <xdr:rowOff>123825</xdr:rowOff>
    </xdr:from>
    <xdr:to>
      <xdr:col>22</xdr:col>
      <xdr:colOff>1895475</xdr:colOff>
      <xdr:row>289</xdr:row>
      <xdr:rowOff>152400</xdr:rowOff>
    </xdr:to>
    <xdr:pic>
      <xdr:nvPicPr>
        <xdr:cNvPr id="70821" name="Picture 5" descr="C:\WINDOWS\TEMP\~0003946.gif">
          <a:extLst>
            <a:ext uri="{FF2B5EF4-FFF2-40B4-BE49-F238E27FC236}">
              <a16:creationId xmlns:a16="http://schemas.microsoft.com/office/drawing/2014/main" id="{00000000-0008-0000-0F00-0000A51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70822" name="Picture 6" descr="C:\WINDOWS\TEMP\~0003946.gif">
          <a:extLst>
            <a:ext uri="{FF2B5EF4-FFF2-40B4-BE49-F238E27FC236}">
              <a16:creationId xmlns:a16="http://schemas.microsoft.com/office/drawing/2014/main" id="{00000000-0008-0000-0F00-0000A61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70823" name="Picture 7" descr="C:\WINDOWS\TEMP\~0003946.gif">
          <a:extLst>
            <a:ext uri="{FF2B5EF4-FFF2-40B4-BE49-F238E27FC236}">
              <a16:creationId xmlns:a16="http://schemas.microsoft.com/office/drawing/2014/main" id="{00000000-0008-0000-0F00-0000A71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70824" name="Picture 8" descr="C:\WINDOWS\TEMP\~0003946.gif">
          <a:extLst>
            <a:ext uri="{FF2B5EF4-FFF2-40B4-BE49-F238E27FC236}">
              <a16:creationId xmlns:a16="http://schemas.microsoft.com/office/drawing/2014/main" id="{00000000-0008-0000-0F00-0000A81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70825" name="Picture 9" descr="C:\WINDOWS\TEMP\~0003946.gif">
          <a:extLst>
            <a:ext uri="{FF2B5EF4-FFF2-40B4-BE49-F238E27FC236}">
              <a16:creationId xmlns:a16="http://schemas.microsoft.com/office/drawing/2014/main" id="{00000000-0008-0000-0F00-0000A91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70826" name="Picture 10" descr="C:\WINDOWS\TEMP\~0003946.gif">
          <a:extLst>
            <a:ext uri="{FF2B5EF4-FFF2-40B4-BE49-F238E27FC236}">
              <a16:creationId xmlns:a16="http://schemas.microsoft.com/office/drawing/2014/main" id="{00000000-0008-0000-0F00-0000AA1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70827" name="Picture 11" descr="C:\WINDOWS\TEMP\~0003946.gif">
          <a:extLst>
            <a:ext uri="{FF2B5EF4-FFF2-40B4-BE49-F238E27FC236}">
              <a16:creationId xmlns:a16="http://schemas.microsoft.com/office/drawing/2014/main" id="{00000000-0008-0000-0F00-0000AB1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288</xdr:row>
      <xdr:rowOff>104775</xdr:rowOff>
    </xdr:from>
    <xdr:to>
      <xdr:col>22</xdr:col>
      <xdr:colOff>895350</xdr:colOff>
      <xdr:row>289</xdr:row>
      <xdr:rowOff>133350</xdr:rowOff>
    </xdr:to>
    <xdr:pic>
      <xdr:nvPicPr>
        <xdr:cNvPr id="70828" name="Picture 12" descr="C:\WINDOWS\TEMP\~0003946.gif">
          <a:extLst>
            <a:ext uri="{FF2B5EF4-FFF2-40B4-BE49-F238E27FC236}">
              <a16:creationId xmlns:a16="http://schemas.microsoft.com/office/drawing/2014/main" id="{00000000-0008-0000-0F00-0000AC1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70829" name="Picture 13" descr="logoMTL">
          <a:extLst>
            <a:ext uri="{FF2B5EF4-FFF2-40B4-BE49-F238E27FC236}">
              <a16:creationId xmlns:a16="http://schemas.microsoft.com/office/drawing/2014/main" id="{00000000-0008-0000-0F00-0000AD1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70830" name="Picture 14" descr="logoMTL">
          <a:extLst>
            <a:ext uri="{FF2B5EF4-FFF2-40B4-BE49-F238E27FC236}">
              <a16:creationId xmlns:a16="http://schemas.microsoft.com/office/drawing/2014/main" id="{00000000-0008-0000-0F00-0000AE1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70831" name="Picture 15" descr="logoMTL">
          <a:extLst>
            <a:ext uri="{FF2B5EF4-FFF2-40B4-BE49-F238E27FC236}">
              <a16:creationId xmlns:a16="http://schemas.microsoft.com/office/drawing/2014/main" id="{00000000-0008-0000-0F00-0000AF1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288</xdr:row>
      <xdr:rowOff>0</xdr:rowOff>
    </xdr:from>
    <xdr:to>
      <xdr:col>21</xdr:col>
      <xdr:colOff>1228725</xdr:colOff>
      <xdr:row>289</xdr:row>
      <xdr:rowOff>123825</xdr:rowOff>
    </xdr:to>
    <xdr:pic>
      <xdr:nvPicPr>
        <xdr:cNvPr id="70832" name="Picture 16" descr="logoMTL">
          <a:extLst>
            <a:ext uri="{FF2B5EF4-FFF2-40B4-BE49-F238E27FC236}">
              <a16:creationId xmlns:a16="http://schemas.microsoft.com/office/drawing/2014/main" id="{00000000-0008-0000-0F00-0000B01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71841" name="Picture 1" descr="C:\WINDOWS\TEMP\Symbol.gif">
          <a:extLst>
            <a:ext uri="{FF2B5EF4-FFF2-40B4-BE49-F238E27FC236}">
              <a16:creationId xmlns:a16="http://schemas.microsoft.com/office/drawing/2014/main" id="{00000000-0008-0000-1000-0000A11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71842" name="Picture 2" descr="C:\WINDOWS\TEMP\Symbol.gif">
          <a:extLst>
            <a:ext uri="{FF2B5EF4-FFF2-40B4-BE49-F238E27FC236}">
              <a16:creationId xmlns:a16="http://schemas.microsoft.com/office/drawing/2014/main" id="{00000000-0008-0000-1000-0000A21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71843" name="Picture 3" descr="C:\WINDOWS\TEMP\Symbol.gif">
          <a:extLst>
            <a:ext uri="{FF2B5EF4-FFF2-40B4-BE49-F238E27FC236}">
              <a16:creationId xmlns:a16="http://schemas.microsoft.com/office/drawing/2014/main" id="{00000000-0008-0000-1000-0000A31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71844" name="Picture 4" descr="C:\WINDOWS\TEMP\Symbol.gif">
          <a:extLst>
            <a:ext uri="{FF2B5EF4-FFF2-40B4-BE49-F238E27FC236}">
              <a16:creationId xmlns:a16="http://schemas.microsoft.com/office/drawing/2014/main" id="{00000000-0008-0000-1000-0000A41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288</xdr:row>
      <xdr:rowOff>123825</xdr:rowOff>
    </xdr:from>
    <xdr:to>
      <xdr:col>22</xdr:col>
      <xdr:colOff>1895475</xdr:colOff>
      <xdr:row>289</xdr:row>
      <xdr:rowOff>152400</xdr:rowOff>
    </xdr:to>
    <xdr:pic>
      <xdr:nvPicPr>
        <xdr:cNvPr id="71845" name="Picture 5" descr="C:\WINDOWS\TEMP\~0003946.gif">
          <a:extLst>
            <a:ext uri="{FF2B5EF4-FFF2-40B4-BE49-F238E27FC236}">
              <a16:creationId xmlns:a16="http://schemas.microsoft.com/office/drawing/2014/main" id="{00000000-0008-0000-1000-0000A51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71846" name="Picture 6" descr="C:\WINDOWS\TEMP\~0003946.gif">
          <a:extLst>
            <a:ext uri="{FF2B5EF4-FFF2-40B4-BE49-F238E27FC236}">
              <a16:creationId xmlns:a16="http://schemas.microsoft.com/office/drawing/2014/main" id="{00000000-0008-0000-1000-0000A61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71847" name="Picture 7" descr="C:\WINDOWS\TEMP\~0003946.gif">
          <a:extLst>
            <a:ext uri="{FF2B5EF4-FFF2-40B4-BE49-F238E27FC236}">
              <a16:creationId xmlns:a16="http://schemas.microsoft.com/office/drawing/2014/main" id="{00000000-0008-0000-1000-0000A71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71848" name="Picture 8" descr="C:\WINDOWS\TEMP\~0003946.gif">
          <a:extLst>
            <a:ext uri="{FF2B5EF4-FFF2-40B4-BE49-F238E27FC236}">
              <a16:creationId xmlns:a16="http://schemas.microsoft.com/office/drawing/2014/main" id="{00000000-0008-0000-1000-0000A81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71849" name="Picture 9" descr="C:\WINDOWS\TEMP\~0003946.gif">
          <a:extLst>
            <a:ext uri="{FF2B5EF4-FFF2-40B4-BE49-F238E27FC236}">
              <a16:creationId xmlns:a16="http://schemas.microsoft.com/office/drawing/2014/main" id="{00000000-0008-0000-1000-0000A91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71850" name="Picture 10" descr="C:\WINDOWS\TEMP\~0003946.gif">
          <a:extLst>
            <a:ext uri="{FF2B5EF4-FFF2-40B4-BE49-F238E27FC236}">
              <a16:creationId xmlns:a16="http://schemas.microsoft.com/office/drawing/2014/main" id="{00000000-0008-0000-1000-0000AA1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71851" name="Picture 11" descr="C:\WINDOWS\TEMP\~0003946.gif">
          <a:extLst>
            <a:ext uri="{FF2B5EF4-FFF2-40B4-BE49-F238E27FC236}">
              <a16:creationId xmlns:a16="http://schemas.microsoft.com/office/drawing/2014/main" id="{00000000-0008-0000-1000-0000AB1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288</xdr:row>
      <xdr:rowOff>104775</xdr:rowOff>
    </xdr:from>
    <xdr:to>
      <xdr:col>22</xdr:col>
      <xdr:colOff>895350</xdr:colOff>
      <xdr:row>289</xdr:row>
      <xdr:rowOff>133350</xdr:rowOff>
    </xdr:to>
    <xdr:pic>
      <xdr:nvPicPr>
        <xdr:cNvPr id="71852" name="Picture 12" descr="C:\WINDOWS\TEMP\~0003946.gif">
          <a:extLst>
            <a:ext uri="{FF2B5EF4-FFF2-40B4-BE49-F238E27FC236}">
              <a16:creationId xmlns:a16="http://schemas.microsoft.com/office/drawing/2014/main" id="{00000000-0008-0000-1000-0000AC1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71853" name="Picture 13" descr="logoMTL">
          <a:extLst>
            <a:ext uri="{FF2B5EF4-FFF2-40B4-BE49-F238E27FC236}">
              <a16:creationId xmlns:a16="http://schemas.microsoft.com/office/drawing/2014/main" id="{00000000-0008-0000-1000-0000AD18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71854" name="Picture 14" descr="logoMTL">
          <a:extLst>
            <a:ext uri="{FF2B5EF4-FFF2-40B4-BE49-F238E27FC236}">
              <a16:creationId xmlns:a16="http://schemas.microsoft.com/office/drawing/2014/main" id="{00000000-0008-0000-1000-0000AE1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71855" name="Picture 15" descr="logoMTL">
          <a:extLst>
            <a:ext uri="{FF2B5EF4-FFF2-40B4-BE49-F238E27FC236}">
              <a16:creationId xmlns:a16="http://schemas.microsoft.com/office/drawing/2014/main" id="{00000000-0008-0000-1000-0000AF1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288</xdr:row>
      <xdr:rowOff>0</xdr:rowOff>
    </xdr:from>
    <xdr:to>
      <xdr:col>21</xdr:col>
      <xdr:colOff>1228725</xdr:colOff>
      <xdr:row>289</xdr:row>
      <xdr:rowOff>123825</xdr:rowOff>
    </xdr:to>
    <xdr:pic>
      <xdr:nvPicPr>
        <xdr:cNvPr id="71856" name="Picture 16" descr="logoMTL">
          <a:extLst>
            <a:ext uri="{FF2B5EF4-FFF2-40B4-BE49-F238E27FC236}">
              <a16:creationId xmlns:a16="http://schemas.microsoft.com/office/drawing/2014/main" id="{00000000-0008-0000-1000-0000B01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72865" name="Picture 1" descr="C:\WINDOWS\TEMP\Symbol.gif">
          <a:extLst>
            <a:ext uri="{FF2B5EF4-FFF2-40B4-BE49-F238E27FC236}">
              <a16:creationId xmlns:a16="http://schemas.microsoft.com/office/drawing/2014/main" id="{00000000-0008-0000-1100-0000A11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72866" name="Picture 2" descr="C:\WINDOWS\TEMP\Symbol.gif">
          <a:extLst>
            <a:ext uri="{FF2B5EF4-FFF2-40B4-BE49-F238E27FC236}">
              <a16:creationId xmlns:a16="http://schemas.microsoft.com/office/drawing/2014/main" id="{00000000-0008-0000-1100-0000A21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72867" name="Picture 3" descr="C:\WINDOWS\TEMP\Symbol.gif">
          <a:extLst>
            <a:ext uri="{FF2B5EF4-FFF2-40B4-BE49-F238E27FC236}">
              <a16:creationId xmlns:a16="http://schemas.microsoft.com/office/drawing/2014/main" id="{00000000-0008-0000-1100-0000A31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72868" name="Picture 4" descr="C:\WINDOWS\TEMP\Symbol.gif">
          <a:extLst>
            <a:ext uri="{FF2B5EF4-FFF2-40B4-BE49-F238E27FC236}">
              <a16:creationId xmlns:a16="http://schemas.microsoft.com/office/drawing/2014/main" id="{00000000-0008-0000-1100-0000A41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288</xdr:row>
      <xdr:rowOff>123825</xdr:rowOff>
    </xdr:from>
    <xdr:to>
      <xdr:col>22</xdr:col>
      <xdr:colOff>1895475</xdr:colOff>
      <xdr:row>289</xdr:row>
      <xdr:rowOff>152400</xdr:rowOff>
    </xdr:to>
    <xdr:pic>
      <xdr:nvPicPr>
        <xdr:cNvPr id="72869" name="Picture 5" descr="C:\WINDOWS\TEMP\~0003946.gif">
          <a:extLst>
            <a:ext uri="{FF2B5EF4-FFF2-40B4-BE49-F238E27FC236}">
              <a16:creationId xmlns:a16="http://schemas.microsoft.com/office/drawing/2014/main" id="{00000000-0008-0000-1100-0000A51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72870" name="Picture 6" descr="C:\WINDOWS\TEMP\~0003946.gif">
          <a:extLst>
            <a:ext uri="{FF2B5EF4-FFF2-40B4-BE49-F238E27FC236}">
              <a16:creationId xmlns:a16="http://schemas.microsoft.com/office/drawing/2014/main" id="{00000000-0008-0000-1100-0000A61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72871" name="Picture 7" descr="C:\WINDOWS\TEMP\~0003946.gif">
          <a:extLst>
            <a:ext uri="{FF2B5EF4-FFF2-40B4-BE49-F238E27FC236}">
              <a16:creationId xmlns:a16="http://schemas.microsoft.com/office/drawing/2014/main" id="{00000000-0008-0000-1100-0000A71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72872" name="Picture 8" descr="C:\WINDOWS\TEMP\~0003946.gif">
          <a:extLst>
            <a:ext uri="{FF2B5EF4-FFF2-40B4-BE49-F238E27FC236}">
              <a16:creationId xmlns:a16="http://schemas.microsoft.com/office/drawing/2014/main" id="{00000000-0008-0000-1100-0000A81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72873" name="Picture 9" descr="C:\WINDOWS\TEMP\~0003946.gif">
          <a:extLst>
            <a:ext uri="{FF2B5EF4-FFF2-40B4-BE49-F238E27FC236}">
              <a16:creationId xmlns:a16="http://schemas.microsoft.com/office/drawing/2014/main" id="{00000000-0008-0000-1100-0000A91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72874" name="Picture 10" descr="C:\WINDOWS\TEMP\~0003946.gif">
          <a:extLst>
            <a:ext uri="{FF2B5EF4-FFF2-40B4-BE49-F238E27FC236}">
              <a16:creationId xmlns:a16="http://schemas.microsoft.com/office/drawing/2014/main" id="{00000000-0008-0000-1100-0000AA1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72875" name="Picture 11" descr="C:\WINDOWS\TEMP\~0003946.gif">
          <a:extLst>
            <a:ext uri="{FF2B5EF4-FFF2-40B4-BE49-F238E27FC236}">
              <a16:creationId xmlns:a16="http://schemas.microsoft.com/office/drawing/2014/main" id="{00000000-0008-0000-1100-0000AB1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288</xdr:row>
      <xdr:rowOff>104775</xdr:rowOff>
    </xdr:from>
    <xdr:to>
      <xdr:col>22</xdr:col>
      <xdr:colOff>895350</xdr:colOff>
      <xdr:row>289</xdr:row>
      <xdr:rowOff>133350</xdr:rowOff>
    </xdr:to>
    <xdr:pic>
      <xdr:nvPicPr>
        <xdr:cNvPr id="72876" name="Picture 12" descr="C:\WINDOWS\TEMP\~0003946.gif">
          <a:extLst>
            <a:ext uri="{FF2B5EF4-FFF2-40B4-BE49-F238E27FC236}">
              <a16:creationId xmlns:a16="http://schemas.microsoft.com/office/drawing/2014/main" id="{00000000-0008-0000-1100-0000AC1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72877" name="Picture 13" descr="logoMTL">
          <a:extLst>
            <a:ext uri="{FF2B5EF4-FFF2-40B4-BE49-F238E27FC236}">
              <a16:creationId xmlns:a16="http://schemas.microsoft.com/office/drawing/2014/main" id="{00000000-0008-0000-1100-0000AD1C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72878" name="Picture 14" descr="logoMTL">
          <a:extLst>
            <a:ext uri="{FF2B5EF4-FFF2-40B4-BE49-F238E27FC236}">
              <a16:creationId xmlns:a16="http://schemas.microsoft.com/office/drawing/2014/main" id="{00000000-0008-0000-1100-0000AE1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72879" name="Picture 15" descr="logoMTL">
          <a:extLst>
            <a:ext uri="{FF2B5EF4-FFF2-40B4-BE49-F238E27FC236}">
              <a16:creationId xmlns:a16="http://schemas.microsoft.com/office/drawing/2014/main" id="{00000000-0008-0000-1100-0000AF1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288</xdr:row>
      <xdr:rowOff>0</xdr:rowOff>
    </xdr:from>
    <xdr:to>
      <xdr:col>21</xdr:col>
      <xdr:colOff>1228725</xdr:colOff>
      <xdr:row>289</xdr:row>
      <xdr:rowOff>123825</xdr:rowOff>
    </xdr:to>
    <xdr:pic>
      <xdr:nvPicPr>
        <xdr:cNvPr id="72880" name="Picture 16" descr="logoMTL">
          <a:extLst>
            <a:ext uri="{FF2B5EF4-FFF2-40B4-BE49-F238E27FC236}">
              <a16:creationId xmlns:a16="http://schemas.microsoft.com/office/drawing/2014/main" id="{00000000-0008-0000-1100-0000B01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74833" name="Picture 1" descr="C:\WINDOWS\TEMP\Symbol.gif">
          <a:extLst>
            <a:ext uri="{FF2B5EF4-FFF2-40B4-BE49-F238E27FC236}">
              <a16:creationId xmlns:a16="http://schemas.microsoft.com/office/drawing/2014/main" id="{00000000-0008-0000-1200-0000512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74834" name="Picture 2" descr="C:\WINDOWS\TEMP\Symbol.gif">
          <a:extLst>
            <a:ext uri="{FF2B5EF4-FFF2-40B4-BE49-F238E27FC236}">
              <a16:creationId xmlns:a16="http://schemas.microsoft.com/office/drawing/2014/main" id="{00000000-0008-0000-1200-0000522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74835" name="Picture 3" descr="C:\WINDOWS\TEMP\Symbol.gif">
          <a:extLst>
            <a:ext uri="{FF2B5EF4-FFF2-40B4-BE49-F238E27FC236}">
              <a16:creationId xmlns:a16="http://schemas.microsoft.com/office/drawing/2014/main" id="{00000000-0008-0000-1200-0000532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74836" name="Picture 4" descr="C:\WINDOWS\TEMP\Symbol.gif">
          <a:extLst>
            <a:ext uri="{FF2B5EF4-FFF2-40B4-BE49-F238E27FC236}">
              <a16:creationId xmlns:a16="http://schemas.microsoft.com/office/drawing/2014/main" id="{00000000-0008-0000-1200-0000542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288</xdr:row>
      <xdr:rowOff>123825</xdr:rowOff>
    </xdr:from>
    <xdr:to>
      <xdr:col>22</xdr:col>
      <xdr:colOff>1895475</xdr:colOff>
      <xdr:row>289</xdr:row>
      <xdr:rowOff>152400</xdr:rowOff>
    </xdr:to>
    <xdr:pic>
      <xdr:nvPicPr>
        <xdr:cNvPr id="74837" name="Picture 5" descr="C:\WINDOWS\TEMP\~0003946.gif">
          <a:extLst>
            <a:ext uri="{FF2B5EF4-FFF2-40B4-BE49-F238E27FC236}">
              <a16:creationId xmlns:a16="http://schemas.microsoft.com/office/drawing/2014/main" id="{00000000-0008-0000-1200-0000552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74838" name="Picture 6" descr="C:\WINDOWS\TEMP\~0003946.gif">
          <a:extLst>
            <a:ext uri="{FF2B5EF4-FFF2-40B4-BE49-F238E27FC236}">
              <a16:creationId xmlns:a16="http://schemas.microsoft.com/office/drawing/2014/main" id="{00000000-0008-0000-1200-0000562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74839" name="Picture 7" descr="C:\WINDOWS\TEMP\~0003946.gif">
          <a:extLst>
            <a:ext uri="{FF2B5EF4-FFF2-40B4-BE49-F238E27FC236}">
              <a16:creationId xmlns:a16="http://schemas.microsoft.com/office/drawing/2014/main" id="{00000000-0008-0000-1200-0000572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74840" name="Picture 8" descr="C:\WINDOWS\TEMP\~0003946.gif">
          <a:extLst>
            <a:ext uri="{FF2B5EF4-FFF2-40B4-BE49-F238E27FC236}">
              <a16:creationId xmlns:a16="http://schemas.microsoft.com/office/drawing/2014/main" id="{00000000-0008-0000-1200-0000582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74841" name="Picture 9" descr="C:\WINDOWS\TEMP\~0003946.gif">
          <a:extLst>
            <a:ext uri="{FF2B5EF4-FFF2-40B4-BE49-F238E27FC236}">
              <a16:creationId xmlns:a16="http://schemas.microsoft.com/office/drawing/2014/main" id="{00000000-0008-0000-1200-0000592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74842" name="Picture 10" descr="C:\WINDOWS\TEMP\~0003946.gif">
          <a:extLst>
            <a:ext uri="{FF2B5EF4-FFF2-40B4-BE49-F238E27FC236}">
              <a16:creationId xmlns:a16="http://schemas.microsoft.com/office/drawing/2014/main" id="{00000000-0008-0000-1200-00005A2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74843" name="Picture 11" descr="C:\WINDOWS\TEMP\~0003946.gif">
          <a:extLst>
            <a:ext uri="{FF2B5EF4-FFF2-40B4-BE49-F238E27FC236}">
              <a16:creationId xmlns:a16="http://schemas.microsoft.com/office/drawing/2014/main" id="{00000000-0008-0000-1200-00005B2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288</xdr:row>
      <xdr:rowOff>104775</xdr:rowOff>
    </xdr:from>
    <xdr:to>
      <xdr:col>22</xdr:col>
      <xdr:colOff>895350</xdr:colOff>
      <xdr:row>289</xdr:row>
      <xdr:rowOff>133350</xdr:rowOff>
    </xdr:to>
    <xdr:pic>
      <xdr:nvPicPr>
        <xdr:cNvPr id="74844" name="Picture 12" descr="C:\WINDOWS\TEMP\~0003946.gif">
          <a:extLst>
            <a:ext uri="{FF2B5EF4-FFF2-40B4-BE49-F238E27FC236}">
              <a16:creationId xmlns:a16="http://schemas.microsoft.com/office/drawing/2014/main" id="{00000000-0008-0000-1200-00005C2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74845" name="Picture 13" descr="logoMTL">
          <a:extLst>
            <a:ext uri="{FF2B5EF4-FFF2-40B4-BE49-F238E27FC236}">
              <a16:creationId xmlns:a16="http://schemas.microsoft.com/office/drawing/2014/main" id="{00000000-0008-0000-1200-00005D2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74846" name="Picture 14" descr="logoMTL">
          <a:extLst>
            <a:ext uri="{FF2B5EF4-FFF2-40B4-BE49-F238E27FC236}">
              <a16:creationId xmlns:a16="http://schemas.microsoft.com/office/drawing/2014/main" id="{00000000-0008-0000-1200-00005E2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74847" name="Picture 15" descr="logoMTL">
          <a:extLst>
            <a:ext uri="{FF2B5EF4-FFF2-40B4-BE49-F238E27FC236}">
              <a16:creationId xmlns:a16="http://schemas.microsoft.com/office/drawing/2014/main" id="{00000000-0008-0000-1200-00005F2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288</xdr:row>
      <xdr:rowOff>0</xdr:rowOff>
    </xdr:from>
    <xdr:to>
      <xdr:col>21</xdr:col>
      <xdr:colOff>1228725</xdr:colOff>
      <xdr:row>289</xdr:row>
      <xdr:rowOff>123825</xdr:rowOff>
    </xdr:to>
    <xdr:pic>
      <xdr:nvPicPr>
        <xdr:cNvPr id="74848" name="Picture 16" descr="logoMTL">
          <a:extLst>
            <a:ext uri="{FF2B5EF4-FFF2-40B4-BE49-F238E27FC236}">
              <a16:creationId xmlns:a16="http://schemas.microsoft.com/office/drawing/2014/main" id="{00000000-0008-0000-1200-0000602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6481" name="Picture 1" descr="C:\WINDOWS\TEMP\Symbol.gif">
          <a:extLst>
            <a:ext uri="{FF2B5EF4-FFF2-40B4-BE49-F238E27FC236}">
              <a16:creationId xmlns:a16="http://schemas.microsoft.com/office/drawing/2014/main" id="{00000000-0008-0000-0100-0000A1DC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56482" name="Picture 2" descr="C:\WINDOWS\TEMP\Symbol.gif">
          <a:extLst>
            <a:ext uri="{FF2B5EF4-FFF2-40B4-BE49-F238E27FC236}">
              <a16:creationId xmlns:a16="http://schemas.microsoft.com/office/drawing/2014/main" id="{00000000-0008-0000-0100-0000A2DC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56483" name="Picture 3" descr="C:\WINDOWS\TEMP\Symbol.gif">
          <a:extLst>
            <a:ext uri="{FF2B5EF4-FFF2-40B4-BE49-F238E27FC236}">
              <a16:creationId xmlns:a16="http://schemas.microsoft.com/office/drawing/2014/main" id="{00000000-0008-0000-0100-0000A3D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56484" name="Picture 4" descr="C:\WINDOWS\TEMP\Symbol.gif">
          <a:extLst>
            <a:ext uri="{FF2B5EF4-FFF2-40B4-BE49-F238E27FC236}">
              <a16:creationId xmlns:a16="http://schemas.microsoft.com/office/drawing/2014/main" id="{00000000-0008-0000-0100-0000A4D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25" y="5588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275</xdr:row>
      <xdr:rowOff>123825</xdr:rowOff>
    </xdr:from>
    <xdr:to>
      <xdr:col>22</xdr:col>
      <xdr:colOff>1895475</xdr:colOff>
      <xdr:row>276</xdr:row>
      <xdr:rowOff>152400</xdr:rowOff>
    </xdr:to>
    <xdr:pic>
      <xdr:nvPicPr>
        <xdr:cNvPr id="56485" name="Picture 5" descr="C:\WINDOWS\TEMP\~0003946.gif">
          <a:extLst>
            <a:ext uri="{FF2B5EF4-FFF2-40B4-BE49-F238E27FC236}">
              <a16:creationId xmlns:a16="http://schemas.microsoft.com/office/drawing/2014/main" id="{00000000-0008-0000-0100-0000A5DC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5584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192</xdr:row>
      <xdr:rowOff>152400</xdr:rowOff>
    </xdr:from>
    <xdr:to>
      <xdr:col>22</xdr:col>
      <xdr:colOff>1924050</xdr:colOff>
      <xdr:row>193</xdr:row>
      <xdr:rowOff>180975</xdr:rowOff>
    </xdr:to>
    <xdr:pic>
      <xdr:nvPicPr>
        <xdr:cNvPr id="56486" name="Picture 6" descr="C:\WINDOWS\TEMP\~0003946.gif">
          <a:extLst>
            <a:ext uri="{FF2B5EF4-FFF2-40B4-BE49-F238E27FC236}">
              <a16:creationId xmlns:a16="http://schemas.microsoft.com/office/drawing/2014/main" id="{00000000-0008-0000-0100-0000A6DC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56487" name="Picture 7" descr="C:\WINDOWS\TEMP\~0003946.gif">
          <a:extLst>
            <a:ext uri="{FF2B5EF4-FFF2-40B4-BE49-F238E27FC236}">
              <a16:creationId xmlns:a16="http://schemas.microsoft.com/office/drawing/2014/main" id="{00000000-0008-0000-0100-0000A7DC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6488" name="Picture 8" descr="C:\WINDOWS\TEMP\~0003946.gif">
          <a:extLst>
            <a:ext uri="{FF2B5EF4-FFF2-40B4-BE49-F238E27FC236}">
              <a16:creationId xmlns:a16="http://schemas.microsoft.com/office/drawing/2014/main" id="{00000000-0008-0000-0100-0000A8DC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56489" name="Picture 9" descr="C:\WINDOWS\TEMP\~0003946.gif">
          <a:extLst>
            <a:ext uri="{FF2B5EF4-FFF2-40B4-BE49-F238E27FC236}">
              <a16:creationId xmlns:a16="http://schemas.microsoft.com/office/drawing/2014/main" id="{00000000-0008-0000-0100-0000A9DC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56490" name="Picture 10" descr="C:\WINDOWS\TEMP\~0003946.gif">
          <a:extLst>
            <a:ext uri="{FF2B5EF4-FFF2-40B4-BE49-F238E27FC236}">
              <a16:creationId xmlns:a16="http://schemas.microsoft.com/office/drawing/2014/main" id="{00000000-0008-0000-0100-0000AADC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192</xdr:row>
      <xdr:rowOff>104775</xdr:rowOff>
    </xdr:from>
    <xdr:to>
      <xdr:col>22</xdr:col>
      <xdr:colOff>809625</xdr:colOff>
      <xdr:row>193</xdr:row>
      <xdr:rowOff>133350</xdr:rowOff>
    </xdr:to>
    <xdr:pic>
      <xdr:nvPicPr>
        <xdr:cNvPr id="56491" name="Picture 11" descr="C:\WINDOWS\TEMP\~0003946.gif">
          <a:extLst>
            <a:ext uri="{FF2B5EF4-FFF2-40B4-BE49-F238E27FC236}">
              <a16:creationId xmlns:a16="http://schemas.microsoft.com/office/drawing/2014/main" id="{00000000-0008-0000-0100-0000ABDC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42220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275</xdr:row>
      <xdr:rowOff>104775</xdr:rowOff>
    </xdr:from>
    <xdr:to>
      <xdr:col>22</xdr:col>
      <xdr:colOff>895350</xdr:colOff>
      <xdr:row>276</xdr:row>
      <xdr:rowOff>133350</xdr:rowOff>
    </xdr:to>
    <xdr:pic>
      <xdr:nvPicPr>
        <xdr:cNvPr id="56492" name="Picture 12" descr="C:\WINDOWS\TEMP\~0003946.gif">
          <a:extLst>
            <a:ext uri="{FF2B5EF4-FFF2-40B4-BE49-F238E27FC236}">
              <a16:creationId xmlns:a16="http://schemas.microsoft.com/office/drawing/2014/main" id="{00000000-0008-0000-0100-0000ACDC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4307800" y="5582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56493" name="Picture 13" descr="logoMTL">
          <a:extLst>
            <a:ext uri="{FF2B5EF4-FFF2-40B4-BE49-F238E27FC236}">
              <a16:creationId xmlns:a16="http://schemas.microsoft.com/office/drawing/2014/main" id="{00000000-0008-0000-0100-0000ADDC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56494" name="Picture 14" descr="logoMTL">
          <a:extLst>
            <a:ext uri="{FF2B5EF4-FFF2-40B4-BE49-F238E27FC236}">
              <a16:creationId xmlns:a16="http://schemas.microsoft.com/office/drawing/2014/main" id="{00000000-0008-0000-0100-0000AEDC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192</xdr:row>
      <xdr:rowOff>28575</xdr:rowOff>
    </xdr:from>
    <xdr:to>
      <xdr:col>21</xdr:col>
      <xdr:colOff>1171575</xdr:colOff>
      <xdr:row>193</xdr:row>
      <xdr:rowOff>152400</xdr:rowOff>
    </xdr:to>
    <xdr:pic>
      <xdr:nvPicPr>
        <xdr:cNvPr id="56495" name="Picture 15" descr="logoMTL">
          <a:extLst>
            <a:ext uri="{FF2B5EF4-FFF2-40B4-BE49-F238E27FC236}">
              <a16:creationId xmlns:a16="http://schemas.microsoft.com/office/drawing/2014/main" id="{00000000-0008-0000-0100-0000AFDC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3267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275</xdr:row>
      <xdr:rowOff>0</xdr:rowOff>
    </xdr:from>
    <xdr:to>
      <xdr:col>21</xdr:col>
      <xdr:colOff>1228725</xdr:colOff>
      <xdr:row>276</xdr:row>
      <xdr:rowOff>123825</xdr:rowOff>
    </xdr:to>
    <xdr:pic>
      <xdr:nvPicPr>
        <xdr:cNvPr id="56496" name="Picture 16" descr="logoMTL">
          <a:extLst>
            <a:ext uri="{FF2B5EF4-FFF2-40B4-BE49-F238E27FC236}">
              <a16:creationId xmlns:a16="http://schemas.microsoft.com/office/drawing/2014/main" id="{00000000-0008-0000-0100-0000B0DC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374350" y="5572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7089" name="Picture 1" descr="C:\WINDOWS\TEMP\Symbol.gif">
          <a:extLst>
            <a:ext uri="{FF2B5EF4-FFF2-40B4-BE49-F238E27FC236}">
              <a16:creationId xmlns:a16="http://schemas.microsoft.com/office/drawing/2014/main" id="{00000000-0008-0000-1300-0000F1B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47090" name="Picture 2" descr="C:\WINDOWS\TEMP\Symbol.gif">
          <a:extLst>
            <a:ext uri="{FF2B5EF4-FFF2-40B4-BE49-F238E27FC236}">
              <a16:creationId xmlns:a16="http://schemas.microsoft.com/office/drawing/2014/main" id="{00000000-0008-0000-1300-0000F2B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47091" name="Picture 3" descr="C:\WINDOWS\TEMP\Symbol.gif">
          <a:extLst>
            <a:ext uri="{FF2B5EF4-FFF2-40B4-BE49-F238E27FC236}">
              <a16:creationId xmlns:a16="http://schemas.microsoft.com/office/drawing/2014/main" id="{00000000-0008-0000-1300-0000F3B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47092" name="Picture 4" descr="C:\WINDOWS\TEMP\Symbol.gif">
          <a:extLst>
            <a:ext uri="{FF2B5EF4-FFF2-40B4-BE49-F238E27FC236}">
              <a16:creationId xmlns:a16="http://schemas.microsoft.com/office/drawing/2014/main" id="{00000000-0008-0000-1300-0000F4B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288</xdr:row>
      <xdr:rowOff>123825</xdr:rowOff>
    </xdr:from>
    <xdr:to>
      <xdr:col>22</xdr:col>
      <xdr:colOff>1895475</xdr:colOff>
      <xdr:row>289</xdr:row>
      <xdr:rowOff>152400</xdr:rowOff>
    </xdr:to>
    <xdr:pic>
      <xdr:nvPicPr>
        <xdr:cNvPr id="47093" name="Picture 5" descr="C:\WINDOWS\TEMP\~0003946.gif">
          <a:extLst>
            <a:ext uri="{FF2B5EF4-FFF2-40B4-BE49-F238E27FC236}">
              <a16:creationId xmlns:a16="http://schemas.microsoft.com/office/drawing/2014/main" id="{00000000-0008-0000-1300-0000F5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47094" name="Picture 6" descr="C:\WINDOWS\TEMP\~0003946.gif">
          <a:extLst>
            <a:ext uri="{FF2B5EF4-FFF2-40B4-BE49-F238E27FC236}">
              <a16:creationId xmlns:a16="http://schemas.microsoft.com/office/drawing/2014/main" id="{00000000-0008-0000-1300-0000F6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47095" name="Picture 7" descr="C:\WINDOWS\TEMP\~0003946.gif">
          <a:extLst>
            <a:ext uri="{FF2B5EF4-FFF2-40B4-BE49-F238E27FC236}">
              <a16:creationId xmlns:a16="http://schemas.microsoft.com/office/drawing/2014/main" id="{00000000-0008-0000-1300-0000F7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7096" name="Picture 8" descr="C:\WINDOWS\TEMP\~0003946.gif">
          <a:extLst>
            <a:ext uri="{FF2B5EF4-FFF2-40B4-BE49-F238E27FC236}">
              <a16:creationId xmlns:a16="http://schemas.microsoft.com/office/drawing/2014/main" id="{00000000-0008-0000-1300-0000F8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7097" name="Picture 9" descr="C:\WINDOWS\TEMP\~0003946.gif">
          <a:extLst>
            <a:ext uri="{FF2B5EF4-FFF2-40B4-BE49-F238E27FC236}">
              <a16:creationId xmlns:a16="http://schemas.microsoft.com/office/drawing/2014/main" id="{00000000-0008-0000-1300-0000F9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47098" name="Picture 10" descr="C:\WINDOWS\TEMP\~0003946.gif">
          <a:extLst>
            <a:ext uri="{FF2B5EF4-FFF2-40B4-BE49-F238E27FC236}">
              <a16:creationId xmlns:a16="http://schemas.microsoft.com/office/drawing/2014/main" id="{00000000-0008-0000-1300-0000FA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47099" name="Picture 11" descr="C:\WINDOWS\TEMP\~0003946.gif">
          <a:extLst>
            <a:ext uri="{FF2B5EF4-FFF2-40B4-BE49-F238E27FC236}">
              <a16:creationId xmlns:a16="http://schemas.microsoft.com/office/drawing/2014/main" id="{00000000-0008-0000-1300-0000FB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288</xdr:row>
      <xdr:rowOff>104775</xdr:rowOff>
    </xdr:from>
    <xdr:to>
      <xdr:col>22</xdr:col>
      <xdr:colOff>895350</xdr:colOff>
      <xdr:row>289</xdr:row>
      <xdr:rowOff>133350</xdr:rowOff>
    </xdr:to>
    <xdr:pic>
      <xdr:nvPicPr>
        <xdr:cNvPr id="47100" name="Picture 12" descr="C:\WINDOWS\TEMP\~0003946.gif">
          <a:extLst>
            <a:ext uri="{FF2B5EF4-FFF2-40B4-BE49-F238E27FC236}">
              <a16:creationId xmlns:a16="http://schemas.microsoft.com/office/drawing/2014/main" id="{00000000-0008-0000-1300-0000FC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7101" name="Picture 13" descr="logoMTL">
          <a:extLst>
            <a:ext uri="{FF2B5EF4-FFF2-40B4-BE49-F238E27FC236}">
              <a16:creationId xmlns:a16="http://schemas.microsoft.com/office/drawing/2014/main" id="{00000000-0008-0000-1300-0000FD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47102" name="Picture 14" descr="logoMTL">
          <a:extLst>
            <a:ext uri="{FF2B5EF4-FFF2-40B4-BE49-F238E27FC236}">
              <a16:creationId xmlns:a16="http://schemas.microsoft.com/office/drawing/2014/main" id="{00000000-0008-0000-1300-0000FEB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47103" name="Picture 15" descr="logoMTL">
          <a:extLst>
            <a:ext uri="{FF2B5EF4-FFF2-40B4-BE49-F238E27FC236}">
              <a16:creationId xmlns:a16="http://schemas.microsoft.com/office/drawing/2014/main" id="{00000000-0008-0000-1300-0000FFB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288</xdr:row>
      <xdr:rowOff>0</xdr:rowOff>
    </xdr:from>
    <xdr:to>
      <xdr:col>21</xdr:col>
      <xdr:colOff>1228725</xdr:colOff>
      <xdr:row>289</xdr:row>
      <xdr:rowOff>123825</xdr:rowOff>
    </xdr:to>
    <xdr:pic>
      <xdr:nvPicPr>
        <xdr:cNvPr id="75776" name="Picture 16" descr="logoMTL">
          <a:extLst>
            <a:ext uri="{FF2B5EF4-FFF2-40B4-BE49-F238E27FC236}">
              <a16:creationId xmlns:a16="http://schemas.microsoft.com/office/drawing/2014/main" id="{00000000-0008-0000-1300-0000002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9057" name="Picture 1" descr="C:\WINDOWS\TEMP\Symbol.gif">
          <a:extLst>
            <a:ext uri="{FF2B5EF4-FFF2-40B4-BE49-F238E27FC236}">
              <a16:creationId xmlns:a16="http://schemas.microsoft.com/office/drawing/2014/main" id="{00000000-0008-0000-1400-0000A1B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49058" name="Picture 2" descr="C:\WINDOWS\TEMP\Symbol.gif">
          <a:extLst>
            <a:ext uri="{FF2B5EF4-FFF2-40B4-BE49-F238E27FC236}">
              <a16:creationId xmlns:a16="http://schemas.microsoft.com/office/drawing/2014/main" id="{00000000-0008-0000-1400-0000A2B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49059" name="Picture 3" descr="C:\WINDOWS\TEMP\Symbol.gif">
          <a:extLst>
            <a:ext uri="{FF2B5EF4-FFF2-40B4-BE49-F238E27FC236}">
              <a16:creationId xmlns:a16="http://schemas.microsoft.com/office/drawing/2014/main" id="{00000000-0008-0000-1400-0000A3B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49060" name="Picture 4" descr="C:\WINDOWS\TEMP\Symbol.gif">
          <a:extLst>
            <a:ext uri="{FF2B5EF4-FFF2-40B4-BE49-F238E27FC236}">
              <a16:creationId xmlns:a16="http://schemas.microsoft.com/office/drawing/2014/main" id="{00000000-0008-0000-1400-0000A4B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288</xdr:row>
      <xdr:rowOff>123825</xdr:rowOff>
    </xdr:from>
    <xdr:to>
      <xdr:col>22</xdr:col>
      <xdr:colOff>1895475</xdr:colOff>
      <xdr:row>289</xdr:row>
      <xdr:rowOff>152400</xdr:rowOff>
    </xdr:to>
    <xdr:pic>
      <xdr:nvPicPr>
        <xdr:cNvPr id="49061" name="Picture 5" descr="C:\WINDOWS\TEMP\~0003946.gif">
          <a:extLst>
            <a:ext uri="{FF2B5EF4-FFF2-40B4-BE49-F238E27FC236}">
              <a16:creationId xmlns:a16="http://schemas.microsoft.com/office/drawing/2014/main" id="{00000000-0008-0000-1400-0000A5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49062" name="Picture 6" descr="C:\WINDOWS\TEMP\~0003946.gif">
          <a:extLst>
            <a:ext uri="{FF2B5EF4-FFF2-40B4-BE49-F238E27FC236}">
              <a16:creationId xmlns:a16="http://schemas.microsoft.com/office/drawing/2014/main" id="{00000000-0008-0000-1400-0000A6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49063" name="Picture 7" descr="C:\WINDOWS\TEMP\~0003946.gif">
          <a:extLst>
            <a:ext uri="{FF2B5EF4-FFF2-40B4-BE49-F238E27FC236}">
              <a16:creationId xmlns:a16="http://schemas.microsoft.com/office/drawing/2014/main" id="{00000000-0008-0000-1400-0000A7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9064" name="Picture 8" descr="C:\WINDOWS\TEMP\~0003946.gif">
          <a:extLst>
            <a:ext uri="{FF2B5EF4-FFF2-40B4-BE49-F238E27FC236}">
              <a16:creationId xmlns:a16="http://schemas.microsoft.com/office/drawing/2014/main" id="{00000000-0008-0000-1400-0000A8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9065" name="Picture 9" descr="C:\WINDOWS\TEMP\~0003946.gif">
          <a:extLst>
            <a:ext uri="{FF2B5EF4-FFF2-40B4-BE49-F238E27FC236}">
              <a16:creationId xmlns:a16="http://schemas.microsoft.com/office/drawing/2014/main" id="{00000000-0008-0000-1400-0000A9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49066" name="Picture 10" descr="C:\WINDOWS\TEMP\~0003946.gif">
          <a:extLst>
            <a:ext uri="{FF2B5EF4-FFF2-40B4-BE49-F238E27FC236}">
              <a16:creationId xmlns:a16="http://schemas.microsoft.com/office/drawing/2014/main" id="{00000000-0008-0000-1400-0000AA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49067" name="Picture 11" descr="C:\WINDOWS\TEMP\~0003946.gif">
          <a:extLst>
            <a:ext uri="{FF2B5EF4-FFF2-40B4-BE49-F238E27FC236}">
              <a16:creationId xmlns:a16="http://schemas.microsoft.com/office/drawing/2014/main" id="{00000000-0008-0000-1400-0000AB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288</xdr:row>
      <xdr:rowOff>104775</xdr:rowOff>
    </xdr:from>
    <xdr:to>
      <xdr:col>22</xdr:col>
      <xdr:colOff>895350</xdr:colOff>
      <xdr:row>289</xdr:row>
      <xdr:rowOff>133350</xdr:rowOff>
    </xdr:to>
    <xdr:pic>
      <xdr:nvPicPr>
        <xdr:cNvPr id="49068" name="Picture 12" descr="C:\WINDOWS\TEMP\~0003946.gif">
          <a:extLst>
            <a:ext uri="{FF2B5EF4-FFF2-40B4-BE49-F238E27FC236}">
              <a16:creationId xmlns:a16="http://schemas.microsoft.com/office/drawing/2014/main" id="{00000000-0008-0000-1400-0000AC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9069" name="Picture 13" descr="logoMTL">
          <a:extLst>
            <a:ext uri="{FF2B5EF4-FFF2-40B4-BE49-F238E27FC236}">
              <a16:creationId xmlns:a16="http://schemas.microsoft.com/office/drawing/2014/main" id="{00000000-0008-0000-1400-0000ADB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49070" name="Picture 14" descr="logoMTL">
          <a:extLst>
            <a:ext uri="{FF2B5EF4-FFF2-40B4-BE49-F238E27FC236}">
              <a16:creationId xmlns:a16="http://schemas.microsoft.com/office/drawing/2014/main" id="{00000000-0008-0000-1400-0000AEB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49071" name="Picture 15" descr="logoMTL">
          <a:extLst>
            <a:ext uri="{FF2B5EF4-FFF2-40B4-BE49-F238E27FC236}">
              <a16:creationId xmlns:a16="http://schemas.microsoft.com/office/drawing/2014/main" id="{00000000-0008-0000-1400-0000AFB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288</xdr:row>
      <xdr:rowOff>0</xdr:rowOff>
    </xdr:from>
    <xdr:to>
      <xdr:col>21</xdr:col>
      <xdr:colOff>1228725</xdr:colOff>
      <xdr:row>289</xdr:row>
      <xdr:rowOff>123825</xdr:rowOff>
    </xdr:to>
    <xdr:pic>
      <xdr:nvPicPr>
        <xdr:cNvPr id="49072" name="Picture 16" descr="logoMTL">
          <a:extLst>
            <a:ext uri="{FF2B5EF4-FFF2-40B4-BE49-F238E27FC236}">
              <a16:creationId xmlns:a16="http://schemas.microsoft.com/office/drawing/2014/main" id="{00000000-0008-0000-1400-0000B0B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0945" name="Picture 1" descr="C:\WINDOWS\TEMP\Symbol.gif">
          <a:extLst>
            <a:ext uri="{FF2B5EF4-FFF2-40B4-BE49-F238E27FC236}">
              <a16:creationId xmlns:a16="http://schemas.microsoft.com/office/drawing/2014/main" id="{00000000-0008-0000-1500-000001C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50946" name="Picture 2" descr="C:\WINDOWS\TEMP\Symbol.gif">
          <a:extLst>
            <a:ext uri="{FF2B5EF4-FFF2-40B4-BE49-F238E27FC236}">
              <a16:creationId xmlns:a16="http://schemas.microsoft.com/office/drawing/2014/main" id="{00000000-0008-0000-1500-000002C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50947" name="Picture 3" descr="C:\WINDOWS\TEMP\Symbol.gif">
          <a:extLst>
            <a:ext uri="{FF2B5EF4-FFF2-40B4-BE49-F238E27FC236}">
              <a16:creationId xmlns:a16="http://schemas.microsoft.com/office/drawing/2014/main" id="{00000000-0008-0000-1500-000003C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50948" name="Picture 4" descr="C:\WINDOWS\TEMP\Symbol.gif">
          <a:extLst>
            <a:ext uri="{FF2B5EF4-FFF2-40B4-BE49-F238E27FC236}">
              <a16:creationId xmlns:a16="http://schemas.microsoft.com/office/drawing/2014/main" id="{00000000-0008-0000-1500-000004C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288</xdr:row>
      <xdr:rowOff>123825</xdr:rowOff>
    </xdr:from>
    <xdr:to>
      <xdr:col>22</xdr:col>
      <xdr:colOff>1895475</xdr:colOff>
      <xdr:row>289</xdr:row>
      <xdr:rowOff>152400</xdr:rowOff>
    </xdr:to>
    <xdr:pic>
      <xdr:nvPicPr>
        <xdr:cNvPr id="50949" name="Picture 5" descr="C:\WINDOWS\TEMP\~0003946.gif">
          <a:extLst>
            <a:ext uri="{FF2B5EF4-FFF2-40B4-BE49-F238E27FC236}">
              <a16:creationId xmlns:a16="http://schemas.microsoft.com/office/drawing/2014/main" id="{00000000-0008-0000-1500-000005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50950" name="Picture 6" descr="C:\WINDOWS\TEMP\~0003946.gif">
          <a:extLst>
            <a:ext uri="{FF2B5EF4-FFF2-40B4-BE49-F238E27FC236}">
              <a16:creationId xmlns:a16="http://schemas.microsoft.com/office/drawing/2014/main" id="{00000000-0008-0000-1500-000006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50951" name="Picture 7" descr="C:\WINDOWS\TEMP\~0003946.gif">
          <a:extLst>
            <a:ext uri="{FF2B5EF4-FFF2-40B4-BE49-F238E27FC236}">
              <a16:creationId xmlns:a16="http://schemas.microsoft.com/office/drawing/2014/main" id="{00000000-0008-0000-1500-000007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0952" name="Picture 8" descr="C:\WINDOWS\TEMP\~0003946.gif">
          <a:extLst>
            <a:ext uri="{FF2B5EF4-FFF2-40B4-BE49-F238E27FC236}">
              <a16:creationId xmlns:a16="http://schemas.microsoft.com/office/drawing/2014/main" id="{00000000-0008-0000-1500-000008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50953" name="Picture 9" descr="C:\WINDOWS\TEMP\~0003946.gif">
          <a:extLst>
            <a:ext uri="{FF2B5EF4-FFF2-40B4-BE49-F238E27FC236}">
              <a16:creationId xmlns:a16="http://schemas.microsoft.com/office/drawing/2014/main" id="{00000000-0008-0000-1500-000009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50954" name="Picture 10" descr="C:\WINDOWS\TEMP\~0003946.gif">
          <a:extLst>
            <a:ext uri="{FF2B5EF4-FFF2-40B4-BE49-F238E27FC236}">
              <a16:creationId xmlns:a16="http://schemas.microsoft.com/office/drawing/2014/main" id="{00000000-0008-0000-1500-00000A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50955" name="Picture 11" descr="C:\WINDOWS\TEMP\~0003946.gif">
          <a:extLst>
            <a:ext uri="{FF2B5EF4-FFF2-40B4-BE49-F238E27FC236}">
              <a16:creationId xmlns:a16="http://schemas.microsoft.com/office/drawing/2014/main" id="{00000000-0008-0000-1500-00000B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288</xdr:row>
      <xdr:rowOff>104775</xdr:rowOff>
    </xdr:from>
    <xdr:to>
      <xdr:col>22</xdr:col>
      <xdr:colOff>895350</xdr:colOff>
      <xdr:row>289</xdr:row>
      <xdr:rowOff>133350</xdr:rowOff>
    </xdr:to>
    <xdr:pic>
      <xdr:nvPicPr>
        <xdr:cNvPr id="50956" name="Picture 12" descr="C:\WINDOWS\TEMP\~0003946.gif">
          <a:extLst>
            <a:ext uri="{FF2B5EF4-FFF2-40B4-BE49-F238E27FC236}">
              <a16:creationId xmlns:a16="http://schemas.microsoft.com/office/drawing/2014/main" id="{00000000-0008-0000-1500-00000C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50957" name="Picture 13" descr="logoMTL">
          <a:extLst>
            <a:ext uri="{FF2B5EF4-FFF2-40B4-BE49-F238E27FC236}">
              <a16:creationId xmlns:a16="http://schemas.microsoft.com/office/drawing/2014/main" id="{00000000-0008-0000-1500-00000DC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50958" name="Picture 14" descr="logoMTL">
          <a:extLst>
            <a:ext uri="{FF2B5EF4-FFF2-40B4-BE49-F238E27FC236}">
              <a16:creationId xmlns:a16="http://schemas.microsoft.com/office/drawing/2014/main" id="{00000000-0008-0000-1500-00000EC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50959" name="Picture 15" descr="logoMTL">
          <a:extLst>
            <a:ext uri="{FF2B5EF4-FFF2-40B4-BE49-F238E27FC236}">
              <a16:creationId xmlns:a16="http://schemas.microsoft.com/office/drawing/2014/main" id="{00000000-0008-0000-1500-00000FC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288</xdr:row>
      <xdr:rowOff>0</xdr:rowOff>
    </xdr:from>
    <xdr:to>
      <xdr:col>21</xdr:col>
      <xdr:colOff>1228725</xdr:colOff>
      <xdr:row>289</xdr:row>
      <xdr:rowOff>123825</xdr:rowOff>
    </xdr:to>
    <xdr:pic>
      <xdr:nvPicPr>
        <xdr:cNvPr id="50960" name="Picture 16" descr="logoMTL">
          <a:extLst>
            <a:ext uri="{FF2B5EF4-FFF2-40B4-BE49-F238E27FC236}">
              <a16:creationId xmlns:a16="http://schemas.microsoft.com/office/drawing/2014/main" id="{00000000-0008-0000-1500-000010C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1761" name="Picture 1" descr="C:\WINDOWS\TEMP\Symbol.gif">
          <a:extLst>
            <a:ext uri="{FF2B5EF4-FFF2-40B4-BE49-F238E27FC236}">
              <a16:creationId xmlns:a16="http://schemas.microsoft.com/office/drawing/2014/main" id="{00000000-0008-0000-1600-000031CA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51762" name="Picture 2" descr="C:\WINDOWS\TEMP\Symbol.gif">
          <a:extLst>
            <a:ext uri="{FF2B5EF4-FFF2-40B4-BE49-F238E27FC236}">
              <a16:creationId xmlns:a16="http://schemas.microsoft.com/office/drawing/2014/main" id="{00000000-0008-0000-1600-000032CA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51763" name="Picture 3" descr="C:\WINDOWS\TEMP\Symbol.gif">
          <a:extLst>
            <a:ext uri="{FF2B5EF4-FFF2-40B4-BE49-F238E27FC236}">
              <a16:creationId xmlns:a16="http://schemas.microsoft.com/office/drawing/2014/main" id="{00000000-0008-0000-1600-000033CA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51764" name="Picture 4" descr="C:\WINDOWS\TEMP\Symbol.gif">
          <a:extLst>
            <a:ext uri="{FF2B5EF4-FFF2-40B4-BE49-F238E27FC236}">
              <a16:creationId xmlns:a16="http://schemas.microsoft.com/office/drawing/2014/main" id="{00000000-0008-0000-1600-000034CA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288</xdr:row>
      <xdr:rowOff>123825</xdr:rowOff>
    </xdr:from>
    <xdr:to>
      <xdr:col>22</xdr:col>
      <xdr:colOff>1895475</xdr:colOff>
      <xdr:row>289</xdr:row>
      <xdr:rowOff>152400</xdr:rowOff>
    </xdr:to>
    <xdr:pic>
      <xdr:nvPicPr>
        <xdr:cNvPr id="51765" name="Picture 5" descr="C:\WINDOWS\TEMP\~0003946.gif">
          <a:extLst>
            <a:ext uri="{FF2B5EF4-FFF2-40B4-BE49-F238E27FC236}">
              <a16:creationId xmlns:a16="http://schemas.microsoft.com/office/drawing/2014/main" id="{00000000-0008-0000-1600-000035C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51766" name="Picture 6" descr="C:\WINDOWS\TEMP\~0003946.gif">
          <a:extLst>
            <a:ext uri="{FF2B5EF4-FFF2-40B4-BE49-F238E27FC236}">
              <a16:creationId xmlns:a16="http://schemas.microsoft.com/office/drawing/2014/main" id="{00000000-0008-0000-1600-000036C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51767" name="Picture 7" descr="C:\WINDOWS\TEMP\~0003946.gif">
          <a:extLst>
            <a:ext uri="{FF2B5EF4-FFF2-40B4-BE49-F238E27FC236}">
              <a16:creationId xmlns:a16="http://schemas.microsoft.com/office/drawing/2014/main" id="{00000000-0008-0000-1600-000037C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1768" name="Picture 8" descr="C:\WINDOWS\TEMP\~0003946.gif">
          <a:extLst>
            <a:ext uri="{FF2B5EF4-FFF2-40B4-BE49-F238E27FC236}">
              <a16:creationId xmlns:a16="http://schemas.microsoft.com/office/drawing/2014/main" id="{00000000-0008-0000-1600-000038C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51769" name="Picture 9" descr="C:\WINDOWS\TEMP\~0003946.gif">
          <a:extLst>
            <a:ext uri="{FF2B5EF4-FFF2-40B4-BE49-F238E27FC236}">
              <a16:creationId xmlns:a16="http://schemas.microsoft.com/office/drawing/2014/main" id="{00000000-0008-0000-1600-000039C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51770" name="Picture 10" descr="C:\WINDOWS\TEMP\~0003946.gif">
          <a:extLst>
            <a:ext uri="{FF2B5EF4-FFF2-40B4-BE49-F238E27FC236}">
              <a16:creationId xmlns:a16="http://schemas.microsoft.com/office/drawing/2014/main" id="{00000000-0008-0000-1600-00003AC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51771" name="Picture 11" descr="C:\WINDOWS\TEMP\~0003946.gif">
          <a:extLst>
            <a:ext uri="{FF2B5EF4-FFF2-40B4-BE49-F238E27FC236}">
              <a16:creationId xmlns:a16="http://schemas.microsoft.com/office/drawing/2014/main" id="{00000000-0008-0000-1600-00003BC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288</xdr:row>
      <xdr:rowOff>104775</xdr:rowOff>
    </xdr:from>
    <xdr:to>
      <xdr:col>22</xdr:col>
      <xdr:colOff>895350</xdr:colOff>
      <xdr:row>289</xdr:row>
      <xdr:rowOff>133350</xdr:rowOff>
    </xdr:to>
    <xdr:pic>
      <xdr:nvPicPr>
        <xdr:cNvPr id="51772" name="Picture 12" descr="C:\WINDOWS\TEMP\~0003946.gif">
          <a:extLst>
            <a:ext uri="{FF2B5EF4-FFF2-40B4-BE49-F238E27FC236}">
              <a16:creationId xmlns:a16="http://schemas.microsoft.com/office/drawing/2014/main" id="{00000000-0008-0000-1600-00003CC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51773" name="Picture 13" descr="logoMTL">
          <a:extLst>
            <a:ext uri="{FF2B5EF4-FFF2-40B4-BE49-F238E27FC236}">
              <a16:creationId xmlns:a16="http://schemas.microsoft.com/office/drawing/2014/main" id="{00000000-0008-0000-1600-00003DC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51774" name="Picture 14" descr="logoMTL">
          <a:extLst>
            <a:ext uri="{FF2B5EF4-FFF2-40B4-BE49-F238E27FC236}">
              <a16:creationId xmlns:a16="http://schemas.microsoft.com/office/drawing/2014/main" id="{00000000-0008-0000-1600-00003ECA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51775" name="Picture 15" descr="logoMTL">
          <a:extLst>
            <a:ext uri="{FF2B5EF4-FFF2-40B4-BE49-F238E27FC236}">
              <a16:creationId xmlns:a16="http://schemas.microsoft.com/office/drawing/2014/main" id="{00000000-0008-0000-1600-00003FCA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288</xdr:row>
      <xdr:rowOff>0</xdr:rowOff>
    </xdr:from>
    <xdr:to>
      <xdr:col>21</xdr:col>
      <xdr:colOff>1228725</xdr:colOff>
      <xdr:row>289</xdr:row>
      <xdr:rowOff>123825</xdr:rowOff>
    </xdr:to>
    <xdr:pic>
      <xdr:nvPicPr>
        <xdr:cNvPr id="51776" name="Picture 16" descr="logoMTL">
          <a:extLst>
            <a:ext uri="{FF2B5EF4-FFF2-40B4-BE49-F238E27FC236}">
              <a16:creationId xmlns:a16="http://schemas.microsoft.com/office/drawing/2014/main" id="{00000000-0008-0000-1600-000040CA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3585" name="Picture 1" descr="C:\WINDOWS\TEMP\Symbol.gif">
          <a:extLst>
            <a:ext uri="{FF2B5EF4-FFF2-40B4-BE49-F238E27FC236}">
              <a16:creationId xmlns:a16="http://schemas.microsoft.com/office/drawing/2014/main" id="{00000000-0008-0000-1700-000051D1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53586" name="Picture 2" descr="C:\WINDOWS\TEMP\Symbol.gif">
          <a:extLst>
            <a:ext uri="{FF2B5EF4-FFF2-40B4-BE49-F238E27FC236}">
              <a16:creationId xmlns:a16="http://schemas.microsoft.com/office/drawing/2014/main" id="{00000000-0008-0000-1700-000052D1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53587" name="Picture 3" descr="C:\WINDOWS\TEMP\Symbol.gif">
          <a:extLst>
            <a:ext uri="{FF2B5EF4-FFF2-40B4-BE49-F238E27FC236}">
              <a16:creationId xmlns:a16="http://schemas.microsoft.com/office/drawing/2014/main" id="{00000000-0008-0000-1700-000053D1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53588" name="Picture 4" descr="C:\WINDOWS\TEMP\Symbol.gif">
          <a:extLst>
            <a:ext uri="{FF2B5EF4-FFF2-40B4-BE49-F238E27FC236}">
              <a16:creationId xmlns:a16="http://schemas.microsoft.com/office/drawing/2014/main" id="{00000000-0008-0000-1700-000054D1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288</xdr:row>
      <xdr:rowOff>123825</xdr:rowOff>
    </xdr:from>
    <xdr:to>
      <xdr:col>22</xdr:col>
      <xdr:colOff>1895475</xdr:colOff>
      <xdr:row>289</xdr:row>
      <xdr:rowOff>152400</xdr:rowOff>
    </xdr:to>
    <xdr:pic>
      <xdr:nvPicPr>
        <xdr:cNvPr id="53589" name="Picture 5" descr="C:\WINDOWS\TEMP\~0003946.gif">
          <a:extLst>
            <a:ext uri="{FF2B5EF4-FFF2-40B4-BE49-F238E27FC236}">
              <a16:creationId xmlns:a16="http://schemas.microsoft.com/office/drawing/2014/main" id="{00000000-0008-0000-1700-000055D1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53590" name="Picture 6" descr="C:\WINDOWS\TEMP\~0003946.gif">
          <a:extLst>
            <a:ext uri="{FF2B5EF4-FFF2-40B4-BE49-F238E27FC236}">
              <a16:creationId xmlns:a16="http://schemas.microsoft.com/office/drawing/2014/main" id="{00000000-0008-0000-1700-000056D1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53591" name="Picture 7" descr="C:\WINDOWS\TEMP\~0003946.gif">
          <a:extLst>
            <a:ext uri="{FF2B5EF4-FFF2-40B4-BE49-F238E27FC236}">
              <a16:creationId xmlns:a16="http://schemas.microsoft.com/office/drawing/2014/main" id="{00000000-0008-0000-1700-000057D1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3592" name="Picture 8" descr="C:\WINDOWS\TEMP\~0003946.gif">
          <a:extLst>
            <a:ext uri="{FF2B5EF4-FFF2-40B4-BE49-F238E27FC236}">
              <a16:creationId xmlns:a16="http://schemas.microsoft.com/office/drawing/2014/main" id="{00000000-0008-0000-1700-000058D1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53593" name="Picture 9" descr="C:\WINDOWS\TEMP\~0003946.gif">
          <a:extLst>
            <a:ext uri="{FF2B5EF4-FFF2-40B4-BE49-F238E27FC236}">
              <a16:creationId xmlns:a16="http://schemas.microsoft.com/office/drawing/2014/main" id="{00000000-0008-0000-1700-000059D1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53594" name="Picture 10" descr="C:\WINDOWS\TEMP\~0003946.gif">
          <a:extLst>
            <a:ext uri="{FF2B5EF4-FFF2-40B4-BE49-F238E27FC236}">
              <a16:creationId xmlns:a16="http://schemas.microsoft.com/office/drawing/2014/main" id="{00000000-0008-0000-1700-00005AD1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53595" name="Picture 11" descr="C:\WINDOWS\TEMP\~0003946.gif">
          <a:extLst>
            <a:ext uri="{FF2B5EF4-FFF2-40B4-BE49-F238E27FC236}">
              <a16:creationId xmlns:a16="http://schemas.microsoft.com/office/drawing/2014/main" id="{00000000-0008-0000-1700-00005BD1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288</xdr:row>
      <xdr:rowOff>104775</xdr:rowOff>
    </xdr:from>
    <xdr:to>
      <xdr:col>22</xdr:col>
      <xdr:colOff>895350</xdr:colOff>
      <xdr:row>289</xdr:row>
      <xdr:rowOff>133350</xdr:rowOff>
    </xdr:to>
    <xdr:pic>
      <xdr:nvPicPr>
        <xdr:cNvPr id="53596" name="Picture 12" descr="C:\WINDOWS\TEMP\~0003946.gif">
          <a:extLst>
            <a:ext uri="{FF2B5EF4-FFF2-40B4-BE49-F238E27FC236}">
              <a16:creationId xmlns:a16="http://schemas.microsoft.com/office/drawing/2014/main" id="{00000000-0008-0000-1700-00005CD1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53597" name="Picture 13" descr="logoMTL">
          <a:extLst>
            <a:ext uri="{FF2B5EF4-FFF2-40B4-BE49-F238E27FC236}">
              <a16:creationId xmlns:a16="http://schemas.microsoft.com/office/drawing/2014/main" id="{00000000-0008-0000-1700-00005DD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53598" name="Picture 14" descr="logoMTL">
          <a:extLst>
            <a:ext uri="{FF2B5EF4-FFF2-40B4-BE49-F238E27FC236}">
              <a16:creationId xmlns:a16="http://schemas.microsoft.com/office/drawing/2014/main" id="{00000000-0008-0000-1700-00005ED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53599" name="Picture 15" descr="logoMTL">
          <a:extLst>
            <a:ext uri="{FF2B5EF4-FFF2-40B4-BE49-F238E27FC236}">
              <a16:creationId xmlns:a16="http://schemas.microsoft.com/office/drawing/2014/main" id="{00000000-0008-0000-1700-00005FD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288</xdr:row>
      <xdr:rowOff>0</xdr:rowOff>
    </xdr:from>
    <xdr:to>
      <xdr:col>21</xdr:col>
      <xdr:colOff>1228725</xdr:colOff>
      <xdr:row>289</xdr:row>
      <xdr:rowOff>123825</xdr:rowOff>
    </xdr:to>
    <xdr:pic>
      <xdr:nvPicPr>
        <xdr:cNvPr id="53600" name="Picture 16" descr="logoMTL">
          <a:extLst>
            <a:ext uri="{FF2B5EF4-FFF2-40B4-BE49-F238E27FC236}">
              <a16:creationId xmlns:a16="http://schemas.microsoft.com/office/drawing/2014/main" id="{00000000-0008-0000-1700-000060D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8097" name="Picture 1" descr="C:\WINDOWS\TEMP\Symbol.gif">
          <a:extLst>
            <a:ext uri="{FF2B5EF4-FFF2-40B4-BE49-F238E27FC236}">
              <a16:creationId xmlns:a16="http://schemas.microsoft.com/office/drawing/2014/main" id="{00000000-0008-0000-1800-0000E1B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48098" name="Picture 2" descr="C:\WINDOWS\TEMP\Symbol.gif">
          <a:extLst>
            <a:ext uri="{FF2B5EF4-FFF2-40B4-BE49-F238E27FC236}">
              <a16:creationId xmlns:a16="http://schemas.microsoft.com/office/drawing/2014/main" id="{00000000-0008-0000-1800-0000E2B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48099" name="Picture 3" descr="C:\WINDOWS\TEMP\Symbol.gif">
          <a:extLst>
            <a:ext uri="{FF2B5EF4-FFF2-40B4-BE49-F238E27FC236}">
              <a16:creationId xmlns:a16="http://schemas.microsoft.com/office/drawing/2014/main" id="{00000000-0008-0000-1800-0000E3B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48100" name="Picture 4" descr="C:\WINDOWS\TEMP\Symbol.gif">
          <a:extLst>
            <a:ext uri="{FF2B5EF4-FFF2-40B4-BE49-F238E27FC236}">
              <a16:creationId xmlns:a16="http://schemas.microsoft.com/office/drawing/2014/main" id="{00000000-0008-0000-1800-0000E4B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288</xdr:row>
      <xdr:rowOff>123825</xdr:rowOff>
    </xdr:from>
    <xdr:to>
      <xdr:col>22</xdr:col>
      <xdr:colOff>1895475</xdr:colOff>
      <xdr:row>289</xdr:row>
      <xdr:rowOff>152400</xdr:rowOff>
    </xdr:to>
    <xdr:pic>
      <xdr:nvPicPr>
        <xdr:cNvPr id="48101" name="Picture 5" descr="C:\WINDOWS\TEMP\~0003946.gif">
          <a:extLst>
            <a:ext uri="{FF2B5EF4-FFF2-40B4-BE49-F238E27FC236}">
              <a16:creationId xmlns:a16="http://schemas.microsoft.com/office/drawing/2014/main" id="{00000000-0008-0000-1800-0000E5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48102" name="Picture 6" descr="C:\WINDOWS\TEMP\~0003946.gif">
          <a:extLst>
            <a:ext uri="{FF2B5EF4-FFF2-40B4-BE49-F238E27FC236}">
              <a16:creationId xmlns:a16="http://schemas.microsoft.com/office/drawing/2014/main" id="{00000000-0008-0000-1800-0000E6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48103" name="Picture 7" descr="C:\WINDOWS\TEMP\~0003946.gif">
          <a:extLst>
            <a:ext uri="{FF2B5EF4-FFF2-40B4-BE49-F238E27FC236}">
              <a16:creationId xmlns:a16="http://schemas.microsoft.com/office/drawing/2014/main" id="{00000000-0008-0000-1800-0000E7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8104" name="Picture 8" descr="C:\WINDOWS\TEMP\~0003946.gif">
          <a:extLst>
            <a:ext uri="{FF2B5EF4-FFF2-40B4-BE49-F238E27FC236}">
              <a16:creationId xmlns:a16="http://schemas.microsoft.com/office/drawing/2014/main" id="{00000000-0008-0000-1800-0000E8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8105" name="Picture 9" descr="C:\WINDOWS\TEMP\~0003946.gif">
          <a:extLst>
            <a:ext uri="{FF2B5EF4-FFF2-40B4-BE49-F238E27FC236}">
              <a16:creationId xmlns:a16="http://schemas.microsoft.com/office/drawing/2014/main" id="{00000000-0008-0000-1800-0000E9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48106" name="Picture 10" descr="C:\WINDOWS\TEMP\~0003946.gif">
          <a:extLst>
            <a:ext uri="{FF2B5EF4-FFF2-40B4-BE49-F238E27FC236}">
              <a16:creationId xmlns:a16="http://schemas.microsoft.com/office/drawing/2014/main" id="{00000000-0008-0000-1800-0000EA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48107" name="Picture 11" descr="C:\WINDOWS\TEMP\~0003946.gif">
          <a:extLst>
            <a:ext uri="{FF2B5EF4-FFF2-40B4-BE49-F238E27FC236}">
              <a16:creationId xmlns:a16="http://schemas.microsoft.com/office/drawing/2014/main" id="{00000000-0008-0000-1800-0000EB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288</xdr:row>
      <xdr:rowOff>104775</xdr:rowOff>
    </xdr:from>
    <xdr:to>
      <xdr:col>22</xdr:col>
      <xdr:colOff>895350</xdr:colOff>
      <xdr:row>289</xdr:row>
      <xdr:rowOff>133350</xdr:rowOff>
    </xdr:to>
    <xdr:pic>
      <xdr:nvPicPr>
        <xdr:cNvPr id="48108" name="Picture 12" descr="C:\WINDOWS\TEMP\~0003946.gif">
          <a:extLst>
            <a:ext uri="{FF2B5EF4-FFF2-40B4-BE49-F238E27FC236}">
              <a16:creationId xmlns:a16="http://schemas.microsoft.com/office/drawing/2014/main" id="{00000000-0008-0000-1800-0000EC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8109" name="Picture 13" descr="logoMTL">
          <a:extLst>
            <a:ext uri="{FF2B5EF4-FFF2-40B4-BE49-F238E27FC236}">
              <a16:creationId xmlns:a16="http://schemas.microsoft.com/office/drawing/2014/main" id="{00000000-0008-0000-1800-0000EDB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48110" name="Picture 14" descr="logoMTL">
          <a:extLst>
            <a:ext uri="{FF2B5EF4-FFF2-40B4-BE49-F238E27FC236}">
              <a16:creationId xmlns:a16="http://schemas.microsoft.com/office/drawing/2014/main" id="{00000000-0008-0000-1800-0000EEB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48111" name="Picture 15" descr="logoMTL">
          <a:extLst>
            <a:ext uri="{FF2B5EF4-FFF2-40B4-BE49-F238E27FC236}">
              <a16:creationId xmlns:a16="http://schemas.microsoft.com/office/drawing/2014/main" id="{00000000-0008-0000-1800-0000EFB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288</xdr:row>
      <xdr:rowOff>0</xdr:rowOff>
    </xdr:from>
    <xdr:to>
      <xdr:col>21</xdr:col>
      <xdr:colOff>1228725</xdr:colOff>
      <xdr:row>289</xdr:row>
      <xdr:rowOff>123825</xdr:rowOff>
    </xdr:to>
    <xdr:pic>
      <xdr:nvPicPr>
        <xdr:cNvPr id="48112" name="Picture 16" descr="logoMTL">
          <a:extLst>
            <a:ext uri="{FF2B5EF4-FFF2-40B4-BE49-F238E27FC236}">
              <a16:creationId xmlns:a16="http://schemas.microsoft.com/office/drawing/2014/main" id="{00000000-0008-0000-1800-0000F0B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9985" name="Picture 1" descr="C:\WINDOWS\TEMP\Symbol.gif">
          <a:extLst>
            <a:ext uri="{FF2B5EF4-FFF2-40B4-BE49-F238E27FC236}">
              <a16:creationId xmlns:a16="http://schemas.microsoft.com/office/drawing/2014/main" id="{00000000-0008-0000-1900-000041C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49986" name="Picture 2" descr="C:\WINDOWS\TEMP\Symbol.gif">
          <a:extLst>
            <a:ext uri="{FF2B5EF4-FFF2-40B4-BE49-F238E27FC236}">
              <a16:creationId xmlns:a16="http://schemas.microsoft.com/office/drawing/2014/main" id="{00000000-0008-0000-1900-000042C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9987" name="Picture 3" descr="C:\WINDOWS\TEMP\Symbol.gif">
          <a:extLst>
            <a:ext uri="{FF2B5EF4-FFF2-40B4-BE49-F238E27FC236}">
              <a16:creationId xmlns:a16="http://schemas.microsoft.com/office/drawing/2014/main" id="{00000000-0008-0000-1900-000043C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49988" name="Picture 4" descr="C:\WINDOWS\TEMP\Symbol.gif">
          <a:extLst>
            <a:ext uri="{FF2B5EF4-FFF2-40B4-BE49-F238E27FC236}">
              <a16:creationId xmlns:a16="http://schemas.microsoft.com/office/drawing/2014/main" id="{00000000-0008-0000-1900-000044C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49989" name="Picture 5" descr="C:\WINDOWS\TEMP\~0003946.gif">
          <a:extLst>
            <a:ext uri="{FF2B5EF4-FFF2-40B4-BE49-F238E27FC236}">
              <a16:creationId xmlns:a16="http://schemas.microsoft.com/office/drawing/2014/main" id="{00000000-0008-0000-1900-000045C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49990" name="Picture 6" descr="C:\WINDOWS\TEMP\~0003946.gif">
          <a:extLst>
            <a:ext uri="{FF2B5EF4-FFF2-40B4-BE49-F238E27FC236}">
              <a16:creationId xmlns:a16="http://schemas.microsoft.com/office/drawing/2014/main" id="{00000000-0008-0000-1900-000046C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49991" name="Picture 7" descr="C:\WINDOWS\TEMP\~0003946.gif">
          <a:extLst>
            <a:ext uri="{FF2B5EF4-FFF2-40B4-BE49-F238E27FC236}">
              <a16:creationId xmlns:a16="http://schemas.microsoft.com/office/drawing/2014/main" id="{00000000-0008-0000-1900-000047C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9992" name="Picture 8" descr="C:\WINDOWS\TEMP\~0003946.gif">
          <a:extLst>
            <a:ext uri="{FF2B5EF4-FFF2-40B4-BE49-F238E27FC236}">
              <a16:creationId xmlns:a16="http://schemas.microsoft.com/office/drawing/2014/main" id="{00000000-0008-0000-1900-000048C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9993" name="Picture 9" descr="C:\WINDOWS\TEMP\~0003946.gif">
          <a:extLst>
            <a:ext uri="{FF2B5EF4-FFF2-40B4-BE49-F238E27FC236}">
              <a16:creationId xmlns:a16="http://schemas.microsoft.com/office/drawing/2014/main" id="{00000000-0008-0000-1900-000049C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49994" name="Picture 10" descr="C:\WINDOWS\TEMP\~0003946.gif">
          <a:extLst>
            <a:ext uri="{FF2B5EF4-FFF2-40B4-BE49-F238E27FC236}">
              <a16:creationId xmlns:a16="http://schemas.microsoft.com/office/drawing/2014/main" id="{00000000-0008-0000-1900-00004AC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49995" name="Picture 11" descr="C:\WINDOWS\TEMP\~0003946.gif">
          <a:extLst>
            <a:ext uri="{FF2B5EF4-FFF2-40B4-BE49-F238E27FC236}">
              <a16:creationId xmlns:a16="http://schemas.microsoft.com/office/drawing/2014/main" id="{00000000-0008-0000-1900-00004BC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49996" name="Picture 12" descr="C:\WINDOWS\TEMP\~0003946.gif">
          <a:extLst>
            <a:ext uri="{FF2B5EF4-FFF2-40B4-BE49-F238E27FC236}">
              <a16:creationId xmlns:a16="http://schemas.microsoft.com/office/drawing/2014/main" id="{00000000-0008-0000-1900-00004CC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9997" name="Picture 13" descr="logoMTL">
          <a:extLst>
            <a:ext uri="{FF2B5EF4-FFF2-40B4-BE49-F238E27FC236}">
              <a16:creationId xmlns:a16="http://schemas.microsoft.com/office/drawing/2014/main" id="{00000000-0008-0000-1900-00004DC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49998" name="Picture 14" descr="logoMTL">
          <a:extLst>
            <a:ext uri="{FF2B5EF4-FFF2-40B4-BE49-F238E27FC236}">
              <a16:creationId xmlns:a16="http://schemas.microsoft.com/office/drawing/2014/main" id="{00000000-0008-0000-1900-00004EC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49999" name="Picture 15" descr="logoMTL">
          <a:extLst>
            <a:ext uri="{FF2B5EF4-FFF2-40B4-BE49-F238E27FC236}">
              <a16:creationId xmlns:a16="http://schemas.microsoft.com/office/drawing/2014/main" id="{00000000-0008-0000-1900-00004FC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50000" name="Picture 16" descr="logoMTL">
          <a:extLst>
            <a:ext uri="{FF2B5EF4-FFF2-40B4-BE49-F238E27FC236}">
              <a16:creationId xmlns:a16="http://schemas.microsoft.com/office/drawing/2014/main" id="{00000000-0008-0000-1900-000050C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2721" name="Picture 1" descr="C:\WINDOWS\TEMP\Symbol.gif">
          <a:extLst>
            <a:ext uri="{FF2B5EF4-FFF2-40B4-BE49-F238E27FC236}">
              <a16:creationId xmlns:a16="http://schemas.microsoft.com/office/drawing/2014/main" id="{00000000-0008-0000-1A00-0000F1CD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52722" name="Picture 2" descr="C:\WINDOWS\TEMP\Symbol.gif">
          <a:extLst>
            <a:ext uri="{FF2B5EF4-FFF2-40B4-BE49-F238E27FC236}">
              <a16:creationId xmlns:a16="http://schemas.microsoft.com/office/drawing/2014/main" id="{00000000-0008-0000-1A00-0000F2CD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52723" name="Picture 3" descr="C:\WINDOWS\TEMP\Symbol.gif">
          <a:extLst>
            <a:ext uri="{FF2B5EF4-FFF2-40B4-BE49-F238E27FC236}">
              <a16:creationId xmlns:a16="http://schemas.microsoft.com/office/drawing/2014/main" id="{00000000-0008-0000-1A00-0000F3CD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2724" name="Picture 4" descr="C:\WINDOWS\TEMP\Symbol.gif">
          <a:extLst>
            <a:ext uri="{FF2B5EF4-FFF2-40B4-BE49-F238E27FC236}">
              <a16:creationId xmlns:a16="http://schemas.microsoft.com/office/drawing/2014/main" id="{00000000-0008-0000-1A00-0000F4CD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52725" name="Picture 5" descr="C:\WINDOWS\TEMP\~0003946.gif">
          <a:extLst>
            <a:ext uri="{FF2B5EF4-FFF2-40B4-BE49-F238E27FC236}">
              <a16:creationId xmlns:a16="http://schemas.microsoft.com/office/drawing/2014/main" id="{00000000-0008-0000-1A00-0000F5CD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52726" name="Picture 6" descr="C:\WINDOWS\TEMP\~0003946.gif">
          <a:extLst>
            <a:ext uri="{FF2B5EF4-FFF2-40B4-BE49-F238E27FC236}">
              <a16:creationId xmlns:a16="http://schemas.microsoft.com/office/drawing/2014/main" id="{00000000-0008-0000-1A00-0000F6CD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52727" name="Picture 7" descr="C:\WINDOWS\TEMP\~0003946.gif">
          <a:extLst>
            <a:ext uri="{FF2B5EF4-FFF2-40B4-BE49-F238E27FC236}">
              <a16:creationId xmlns:a16="http://schemas.microsoft.com/office/drawing/2014/main" id="{00000000-0008-0000-1A00-0000F7CD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2728" name="Picture 8" descr="C:\WINDOWS\TEMP\~0003946.gif">
          <a:extLst>
            <a:ext uri="{FF2B5EF4-FFF2-40B4-BE49-F238E27FC236}">
              <a16:creationId xmlns:a16="http://schemas.microsoft.com/office/drawing/2014/main" id="{00000000-0008-0000-1A00-0000F8CD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52729" name="Picture 9" descr="C:\WINDOWS\TEMP\~0003946.gif">
          <a:extLst>
            <a:ext uri="{FF2B5EF4-FFF2-40B4-BE49-F238E27FC236}">
              <a16:creationId xmlns:a16="http://schemas.microsoft.com/office/drawing/2014/main" id="{00000000-0008-0000-1A00-0000F9CD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52730" name="Picture 10" descr="C:\WINDOWS\TEMP\~0003946.gif">
          <a:extLst>
            <a:ext uri="{FF2B5EF4-FFF2-40B4-BE49-F238E27FC236}">
              <a16:creationId xmlns:a16="http://schemas.microsoft.com/office/drawing/2014/main" id="{00000000-0008-0000-1A00-0000FACD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52731" name="Picture 11" descr="C:\WINDOWS\TEMP\~0003946.gif">
          <a:extLst>
            <a:ext uri="{FF2B5EF4-FFF2-40B4-BE49-F238E27FC236}">
              <a16:creationId xmlns:a16="http://schemas.microsoft.com/office/drawing/2014/main" id="{00000000-0008-0000-1A00-0000FBCD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52732" name="Picture 12" descr="C:\WINDOWS\TEMP\~0003946.gif">
          <a:extLst>
            <a:ext uri="{FF2B5EF4-FFF2-40B4-BE49-F238E27FC236}">
              <a16:creationId xmlns:a16="http://schemas.microsoft.com/office/drawing/2014/main" id="{00000000-0008-0000-1A00-0000FCCD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52733" name="Picture 13" descr="logoMTL">
          <a:extLst>
            <a:ext uri="{FF2B5EF4-FFF2-40B4-BE49-F238E27FC236}">
              <a16:creationId xmlns:a16="http://schemas.microsoft.com/office/drawing/2014/main" id="{00000000-0008-0000-1A00-0000FDCD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52734" name="Picture 14" descr="logoMTL">
          <a:extLst>
            <a:ext uri="{FF2B5EF4-FFF2-40B4-BE49-F238E27FC236}">
              <a16:creationId xmlns:a16="http://schemas.microsoft.com/office/drawing/2014/main" id="{00000000-0008-0000-1A00-0000FEC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52735" name="Picture 15" descr="logoMTL">
          <a:extLst>
            <a:ext uri="{FF2B5EF4-FFF2-40B4-BE49-F238E27FC236}">
              <a16:creationId xmlns:a16="http://schemas.microsoft.com/office/drawing/2014/main" id="{00000000-0008-0000-1A00-0000FFC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52736" name="Picture 16" descr="logoMTL">
          <a:extLst>
            <a:ext uri="{FF2B5EF4-FFF2-40B4-BE49-F238E27FC236}">
              <a16:creationId xmlns:a16="http://schemas.microsoft.com/office/drawing/2014/main" id="{00000000-0008-0000-1A00-000000C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4609" name="Picture 1" descr="C:\WINDOWS\TEMP\Symbol.gif">
          <a:extLst>
            <a:ext uri="{FF2B5EF4-FFF2-40B4-BE49-F238E27FC236}">
              <a16:creationId xmlns:a16="http://schemas.microsoft.com/office/drawing/2014/main" id="{00000000-0008-0000-1B00-000051D5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54610" name="Picture 2" descr="C:\WINDOWS\TEMP\Symbol.gif">
          <a:extLst>
            <a:ext uri="{FF2B5EF4-FFF2-40B4-BE49-F238E27FC236}">
              <a16:creationId xmlns:a16="http://schemas.microsoft.com/office/drawing/2014/main" id="{00000000-0008-0000-1B00-000052D5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54611" name="Picture 3" descr="C:\WINDOWS\TEMP\Symbol.gif">
          <a:extLst>
            <a:ext uri="{FF2B5EF4-FFF2-40B4-BE49-F238E27FC236}">
              <a16:creationId xmlns:a16="http://schemas.microsoft.com/office/drawing/2014/main" id="{00000000-0008-0000-1B00-000053D5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4612" name="Picture 4" descr="C:\WINDOWS\TEMP\Symbol.gif">
          <a:extLst>
            <a:ext uri="{FF2B5EF4-FFF2-40B4-BE49-F238E27FC236}">
              <a16:creationId xmlns:a16="http://schemas.microsoft.com/office/drawing/2014/main" id="{00000000-0008-0000-1B00-000054D5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54613" name="Picture 5" descr="C:\WINDOWS\TEMP\~0003946.gif">
          <a:extLst>
            <a:ext uri="{FF2B5EF4-FFF2-40B4-BE49-F238E27FC236}">
              <a16:creationId xmlns:a16="http://schemas.microsoft.com/office/drawing/2014/main" id="{00000000-0008-0000-1B00-000055D5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54614" name="Picture 6" descr="C:\WINDOWS\TEMP\~0003946.gif">
          <a:extLst>
            <a:ext uri="{FF2B5EF4-FFF2-40B4-BE49-F238E27FC236}">
              <a16:creationId xmlns:a16="http://schemas.microsoft.com/office/drawing/2014/main" id="{00000000-0008-0000-1B00-000056D5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54615" name="Picture 7" descr="C:\WINDOWS\TEMP\~0003946.gif">
          <a:extLst>
            <a:ext uri="{FF2B5EF4-FFF2-40B4-BE49-F238E27FC236}">
              <a16:creationId xmlns:a16="http://schemas.microsoft.com/office/drawing/2014/main" id="{00000000-0008-0000-1B00-000057D5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4616" name="Picture 8" descr="C:\WINDOWS\TEMP\~0003946.gif">
          <a:extLst>
            <a:ext uri="{FF2B5EF4-FFF2-40B4-BE49-F238E27FC236}">
              <a16:creationId xmlns:a16="http://schemas.microsoft.com/office/drawing/2014/main" id="{00000000-0008-0000-1B00-000058D5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54617" name="Picture 9" descr="C:\WINDOWS\TEMP\~0003946.gif">
          <a:extLst>
            <a:ext uri="{FF2B5EF4-FFF2-40B4-BE49-F238E27FC236}">
              <a16:creationId xmlns:a16="http://schemas.microsoft.com/office/drawing/2014/main" id="{00000000-0008-0000-1B00-000059D5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54618" name="Picture 10" descr="C:\WINDOWS\TEMP\~0003946.gif">
          <a:extLst>
            <a:ext uri="{FF2B5EF4-FFF2-40B4-BE49-F238E27FC236}">
              <a16:creationId xmlns:a16="http://schemas.microsoft.com/office/drawing/2014/main" id="{00000000-0008-0000-1B00-00005AD5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54619" name="Picture 11" descr="C:\WINDOWS\TEMP\~0003946.gif">
          <a:extLst>
            <a:ext uri="{FF2B5EF4-FFF2-40B4-BE49-F238E27FC236}">
              <a16:creationId xmlns:a16="http://schemas.microsoft.com/office/drawing/2014/main" id="{00000000-0008-0000-1B00-00005BD5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54620" name="Picture 12" descr="C:\WINDOWS\TEMP\~0003946.gif">
          <a:extLst>
            <a:ext uri="{FF2B5EF4-FFF2-40B4-BE49-F238E27FC236}">
              <a16:creationId xmlns:a16="http://schemas.microsoft.com/office/drawing/2014/main" id="{00000000-0008-0000-1B00-00005CD5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54621" name="Picture 13" descr="logoMTL">
          <a:extLst>
            <a:ext uri="{FF2B5EF4-FFF2-40B4-BE49-F238E27FC236}">
              <a16:creationId xmlns:a16="http://schemas.microsoft.com/office/drawing/2014/main" id="{00000000-0008-0000-1B00-00005DD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54622" name="Picture 14" descr="logoMTL">
          <a:extLst>
            <a:ext uri="{FF2B5EF4-FFF2-40B4-BE49-F238E27FC236}">
              <a16:creationId xmlns:a16="http://schemas.microsoft.com/office/drawing/2014/main" id="{00000000-0008-0000-1B00-00005ED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54623" name="Picture 15" descr="logoMTL">
          <a:extLst>
            <a:ext uri="{FF2B5EF4-FFF2-40B4-BE49-F238E27FC236}">
              <a16:creationId xmlns:a16="http://schemas.microsoft.com/office/drawing/2014/main" id="{00000000-0008-0000-1B00-00005FD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54624" name="Picture 16" descr="logoMTL">
          <a:extLst>
            <a:ext uri="{FF2B5EF4-FFF2-40B4-BE49-F238E27FC236}">
              <a16:creationId xmlns:a16="http://schemas.microsoft.com/office/drawing/2014/main" id="{00000000-0008-0000-1B00-000060D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73889" name="Picture 1" descr="C:\WINDOWS\TEMP\Symbol.gif">
          <a:extLst>
            <a:ext uri="{FF2B5EF4-FFF2-40B4-BE49-F238E27FC236}">
              <a16:creationId xmlns:a16="http://schemas.microsoft.com/office/drawing/2014/main" id="{00000000-0008-0000-1C00-0000A120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73890" name="Picture 2" descr="C:\WINDOWS\TEMP\Symbol.gif">
          <a:extLst>
            <a:ext uri="{FF2B5EF4-FFF2-40B4-BE49-F238E27FC236}">
              <a16:creationId xmlns:a16="http://schemas.microsoft.com/office/drawing/2014/main" id="{00000000-0008-0000-1C00-0000A220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73891" name="Picture 3" descr="C:\WINDOWS\TEMP\Symbol.gif">
          <a:extLst>
            <a:ext uri="{FF2B5EF4-FFF2-40B4-BE49-F238E27FC236}">
              <a16:creationId xmlns:a16="http://schemas.microsoft.com/office/drawing/2014/main" id="{00000000-0008-0000-1C00-0000A320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73892" name="Picture 4" descr="C:\WINDOWS\TEMP\Symbol.gif">
          <a:extLst>
            <a:ext uri="{FF2B5EF4-FFF2-40B4-BE49-F238E27FC236}">
              <a16:creationId xmlns:a16="http://schemas.microsoft.com/office/drawing/2014/main" id="{00000000-0008-0000-1C00-0000A420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73893" name="Picture 5" descr="C:\WINDOWS\TEMP\~0003946.gif">
          <a:extLst>
            <a:ext uri="{FF2B5EF4-FFF2-40B4-BE49-F238E27FC236}">
              <a16:creationId xmlns:a16="http://schemas.microsoft.com/office/drawing/2014/main" id="{00000000-0008-0000-1C00-0000A52001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3894" name="Picture 6" descr="C:\WINDOWS\TEMP\~0003946.gif">
          <a:extLst>
            <a:ext uri="{FF2B5EF4-FFF2-40B4-BE49-F238E27FC236}">
              <a16:creationId xmlns:a16="http://schemas.microsoft.com/office/drawing/2014/main" id="{00000000-0008-0000-1C00-0000A62001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73895" name="Picture 7" descr="C:\WINDOWS\TEMP\~0003946.gif">
          <a:extLst>
            <a:ext uri="{FF2B5EF4-FFF2-40B4-BE49-F238E27FC236}">
              <a16:creationId xmlns:a16="http://schemas.microsoft.com/office/drawing/2014/main" id="{00000000-0008-0000-1C00-0000A72001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73896" name="Picture 8" descr="C:\WINDOWS\TEMP\~0003946.gif">
          <a:extLst>
            <a:ext uri="{FF2B5EF4-FFF2-40B4-BE49-F238E27FC236}">
              <a16:creationId xmlns:a16="http://schemas.microsoft.com/office/drawing/2014/main" id="{00000000-0008-0000-1C00-0000A82001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73897" name="Picture 9" descr="C:\WINDOWS\TEMP\~0003946.gif">
          <a:extLst>
            <a:ext uri="{FF2B5EF4-FFF2-40B4-BE49-F238E27FC236}">
              <a16:creationId xmlns:a16="http://schemas.microsoft.com/office/drawing/2014/main" id="{00000000-0008-0000-1C00-0000A92001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73898" name="Picture 10" descr="C:\WINDOWS\TEMP\~0003946.gif">
          <a:extLst>
            <a:ext uri="{FF2B5EF4-FFF2-40B4-BE49-F238E27FC236}">
              <a16:creationId xmlns:a16="http://schemas.microsoft.com/office/drawing/2014/main" id="{00000000-0008-0000-1C00-0000AA2001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73899" name="Picture 11" descr="C:\WINDOWS\TEMP\~0003946.gif">
          <a:extLst>
            <a:ext uri="{FF2B5EF4-FFF2-40B4-BE49-F238E27FC236}">
              <a16:creationId xmlns:a16="http://schemas.microsoft.com/office/drawing/2014/main" id="{00000000-0008-0000-1C00-0000AB2001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73900" name="Picture 12" descr="C:\WINDOWS\TEMP\~0003946.gif">
          <a:extLst>
            <a:ext uri="{FF2B5EF4-FFF2-40B4-BE49-F238E27FC236}">
              <a16:creationId xmlns:a16="http://schemas.microsoft.com/office/drawing/2014/main" id="{00000000-0008-0000-1C00-0000AC2001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73901" name="Picture 13" descr="logoMTL">
          <a:extLst>
            <a:ext uri="{FF2B5EF4-FFF2-40B4-BE49-F238E27FC236}">
              <a16:creationId xmlns:a16="http://schemas.microsoft.com/office/drawing/2014/main" id="{00000000-0008-0000-1C00-0000AD2001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73902" name="Picture 14" descr="logoMTL">
          <a:extLst>
            <a:ext uri="{FF2B5EF4-FFF2-40B4-BE49-F238E27FC236}">
              <a16:creationId xmlns:a16="http://schemas.microsoft.com/office/drawing/2014/main" id="{00000000-0008-0000-1C00-0000AE20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73903" name="Picture 15" descr="logoMTL">
          <a:extLst>
            <a:ext uri="{FF2B5EF4-FFF2-40B4-BE49-F238E27FC236}">
              <a16:creationId xmlns:a16="http://schemas.microsoft.com/office/drawing/2014/main" id="{00000000-0008-0000-1C00-0000AF20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73904" name="Picture 16" descr="logoMTL">
          <a:extLst>
            <a:ext uri="{FF2B5EF4-FFF2-40B4-BE49-F238E27FC236}">
              <a16:creationId xmlns:a16="http://schemas.microsoft.com/office/drawing/2014/main" id="{00000000-0008-0000-1C00-0000B020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7505" name="Picture 1" descr="C:\WINDOWS\TEMP\Symbol.gif">
          <a:extLst>
            <a:ext uri="{FF2B5EF4-FFF2-40B4-BE49-F238E27FC236}">
              <a16:creationId xmlns:a16="http://schemas.microsoft.com/office/drawing/2014/main" id="{00000000-0008-0000-0200-0000A1E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57506" name="Picture 2" descr="C:\WINDOWS\TEMP\Symbol.gif">
          <a:extLst>
            <a:ext uri="{FF2B5EF4-FFF2-40B4-BE49-F238E27FC236}">
              <a16:creationId xmlns:a16="http://schemas.microsoft.com/office/drawing/2014/main" id="{00000000-0008-0000-0200-0000A2E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57507" name="Picture 3" descr="C:\WINDOWS\TEMP\Symbol.gif">
          <a:extLst>
            <a:ext uri="{FF2B5EF4-FFF2-40B4-BE49-F238E27FC236}">
              <a16:creationId xmlns:a16="http://schemas.microsoft.com/office/drawing/2014/main" id="{00000000-0008-0000-0200-0000A3E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57508" name="Picture 4" descr="C:\WINDOWS\TEMP\Symbol.gif">
          <a:extLst>
            <a:ext uri="{FF2B5EF4-FFF2-40B4-BE49-F238E27FC236}">
              <a16:creationId xmlns:a16="http://schemas.microsoft.com/office/drawing/2014/main" id="{00000000-0008-0000-0200-0000A4E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88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275</xdr:row>
      <xdr:rowOff>123825</xdr:rowOff>
    </xdr:from>
    <xdr:to>
      <xdr:col>22</xdr:col>
      <xdr:colOff>1895475</xdr:colOff>
      <xdr:row>276</xdr:row>
      <xdr:rowOff>152400</xdr:rowOff>
    </xdr:to>
    <xdr:pic>
      <xdr:nvPicPr>
        <xdr:cNvPr id="57509" name="Picture 5" descr="C:\WINDOWS\TEMP\~0003946.gif">
          <a:extLst>
            <a:ext uri="{FF2B5EF4-FFF2-40B4-BE49-F238E27FC236}">
              <a16:creationId xmlns:a16="http://schemas.microsoft.com/office/drawing/2014/main" id="{00000000-0008-0000-0200-0000A5E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584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192</xdr:row>
      <xdr:rowOff>152400</xdr:rowOff>
    </xdr:from>
    <xdr:to>
      <xdr:col>22</xdr:col>
      <xdr:colOff>1924050</xdr:colOff>
      <xdr:row>193</xdr:row>
      <xdr:rowOff>180975</xdr:rowOff>
    </xdr:to>
    <xdr:pic>
      <xdr:nvPicPr>
        <xdr:cNvPr id="57510" name="Picture 6" descr="C:\WINDOWS\TEMP\~0003946.gif">
          <a:extLst>
            <a:ext uri="{FF2B5EF4-FFF2-40B4-BE49-F238E27FC236}">
              <a16:creationId xmlns:a16="http://schemas.microsoft.com/office/drawing/2014/main" id="{00000000-0008-0000-0200-0000A6E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57511" name="Picture 7" descr="C:\WINDOWS\TEMP\~0003946.gif">
          <a:extLst>
            <a:ext uri="{FF2B5EF4-FFF2-40B4-BE49-F238E27FC236}">
              <a16:creationId xmlns:a16="http://schemas.microsoft.com/office/drawing/2014/main" id="{00000000-0008-0000-0200-0000A7E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7512" name="Picture 8" descr="C:\WINDOWS\TEMP\~0003946.gif">
          <a:extLst>
            <a:ext uri="{FF2B5EF4-FFF2-40B4-BE49-F238E27FC236}">
              <a16:creationId xmlns:a16="http://schemas.microsoft.com/office/drawing/2014/main" id="{00000000-0008-0000-0200-0000A8E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57513" name="Picture 9" descr="C:\WINDOWS\TEMP\~0003946.gif">
          <a:extLst>
            <a:ext uri="{FF2B5EF4-FFF2-40B4-BE49-F238E27FC236}">
              <a16:creationId xmlns:a16="http://schemas.microsoft.com/office/drawing/2014/main" id="{00000000-0008-0000-0200-0000A9E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57514" name="Picture 10" descr="C:\WINDOWS\TEMP\~0003946.gif">
          <a:extLst>
            <a:ext uri="{FF2B5EF4-FFF2-40B4-BE49-F238E27FC236}">
              <a16:creationId xmlns:a16="http://schemas.microsoft.com/office/drawing/2014/main" id="{00000000-0008-0000-0200-0000AAE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192</xdr:row>
      <xdr:rowOff>104775</xdr:rowOff>
    </xdr:from>
    <xdr:to>
      <xdr:col>22</xdr:col>
      <xdr:colOff>809625</xdr:colOff>
      <xdr:row>193</xdr:row>
      <xdr:rowOff>133350</xdr:rowOff>
    </xdr:to>
    <xdr:pic>
      <xdr:nvPicPr>
        <xdr:cNvPr id="57515" name="Picture 11" descr="C:\WINDOWS\TEMP\~0003946.gif">
          <a:extLst>
            <a:ext uri="{FF2B5EF4-FFF2-40B4-BE49-F238E27FC236}">
              <a16:creationId xmlns:a16="http://schemas.microsoft.com/office/drawing/2014/main" id="{00000000-0008-0000-0200-0000ABE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275</xdr:row>
      <xdr:rowOff>104775</xdr:rowOff>
    </xdr:from>
    <xdr:to>
      <xdr:col>22</xdr:col>
      <xdr:colOff>895350</xdr:colOff>
      <xdr:row>276</xdr:row>
      <xdr:rowOff>133350</xdr:rowOff>
    </xdr:to>
    <xdr:pic>
      <xdr:nvPicPr>
        <xdr:cNvPr id="57516" name="Picture 12" descr="C:\WINDOWS\TEMP\~0003946.gif">
          <a:extLst>
            <a:ext uri="{FF2B5EF4-FFF2-40B4-BE49-F238E27FC236}">
              <a16:creationId xmlns:a16="http://schemas.microsoft.com/office/drawing/2014/main" id="{00000000-0008-0000-0200-0000ACE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582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57517" name="Picture 13" descr="logoMTL">
          <a:extLst>
            <a:ext uri="{FF2B5EF4-FFF2-40B4-BE49-F238E27FC236}">
              <a16:creationId xmlns:a16="http://schemas.microsoft.com/office/drawing/2014/main" id="{00000000-0008-0000-0200-0000ADE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57518" name="Picture 14" descr="logoMTL">
          <a:extLst>
            <a:ext uri="{FF2B5EF4-FFF2-40B4-BE49-F238E27FC236}">
              <a16:creationId xmlns:a16="http://schemas.microsoft.com/office/drawing/2014/main" id="{00000000-0008-0000-0200-0000AEE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192</xdr:row>
      <xdr:rowOff>28575</xdr:rowOff>
    </xdr:from>
    <xdr:to>
      <xdr:col>21</xdr:col>
      <xdr:colOff>1171575</xdr:colOff>
      <xdr:row>193</xdr:row>
      <xdr:rowOff>152400</xdr:rowOff>
    </xdr:to>
    <xdr:pic>
      <xdr:nvPicPr>
        <xdr:cNvPr id="57519" name="Picture 15" descr="logoMTL">
          <a:extLst>
            <a:ext uri="{FF2B5EF4-FFF2-40B4-BE49-F238E27FC236}">
              <a16:creationId xmlns:a16="http://schemas.microsoft.com/office/drawing/2014/main" id="{00000000-0008-0000-0200-0000AFE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275</xdr:row>
      <xdr:rowOff>0</xdr:rowOff>
    </xdr:from>
    <xdr:to>
      <xdr:col>21</xdr:col>
      <xdr:colOff>1228725</xdr:colOff>
      <xdr:row>276</xdr:row>
      <xdr:rowOff>123825</xdr:rowOff>
    </xdr:to>
    <xdr:pic>
      <xdr:nvPicPr>
        <xdr:cNvPr id="57520" name="Picture 16" descr="logoMTL">
          <a:extLst>
            <a:ext uri="{FF2B5EF4-FFF2-40B4-BE49-F238E27FC236}">
              <a16:creationId xmlns:a16="http://schemas.microsoft.com/office/drawing/2014/main" id="{00000000-0008-0000-0200-0000B0E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572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 name="Picture 4" descr="C:\WINDOWS\TEMP\Symbol.gif">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6" name="Picture 5" descr="C:\WINDOWS\TEMP\~0003946.gif">
          <a:extLst>
            <a:ext uri="{FF2B5EF4-FFF2-40B4-BE49-F238E27FC236}">
              <a16:creationId xmlns:a16="http://schemas.microsoft.com/office/drawing/2014/main" id="{00000000-0008-0000-1D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1D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1D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1D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1D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1D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1D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13" name="Picture 12" descr="C:\WINDOWS\TEMP\~0003946.gif">
          <a:extLst>
            <a:ext uri="{FF2B5EF4-FFF2-40B4-BE49-F238E27FC236}">
              <a16:creationId xmlns:a16="http://schemas.microsoft.com/office/drawing/2014/main" id="{00000000-0008-0000-1D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1D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00000000-0008-0000-1D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00000000-0008-0000-1D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17" name="Picture 16" descr="logoMTL">
          <a:extLst>
            <a:ext uri="{FF2B5EF4-FFF2-40B4-BE49-F238E27FC236}">
              <a16:creationId xmlns:a16="http://schemas.microsoft.com/office/drawing/2014/main" id="{00000000-0008-0000-1D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 name="Picture 4" descr="C:\WINDOWS\TEMP\Symbol.gif">
          <a:extLst>
            <a:ext uri="{FF2B5EF4-FFF2-40B4-BE49-F238E27FC236}">
              <a16:creationId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6" name="Picture 5" descr="C:\WINDOWS\TEMP\~0003946.gif">
          <a:extLst>
            <a:ext uri="{FF2B5EF4-FFF2-40B4-BE49-F238E27FC236}">
              <a16:creationId xmlns:a16="http://schemas.microsoft.com/office/drawing/2014/main" id="{00000000-0008-0000-1E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1E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1E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1E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1E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1E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1E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13" name="Picture 12" descr="C:\WINDOWS\TEMP\~0003946.gif">
          <a:extLst>
            <a:ext uri="{FF2B5EF4-FFF2-40B4-BE49-F238E27FC236}">
              <a16:creationId xmlns:a16="http://schemas.microsoft.com/office/drawing/2014/main" id="{00000000-0008-0000-1E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1E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00000000-0008-0000-1E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00000000-0008-0000-1E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17" name="Picture 16" descr="logoMTL">
          <a:extLst>
            <a:ext uri="{FF2B5EF4-FFF2-40B4-BE49-F238E27FC236}">
              <a16:creationId xmlns:a16="http://schemas.microsoft.com/office/drawing/2014/main" id="{00000000-0008-0000-1E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 name="Picture 4" descr="C:\WINDOWS\TEMP\Symbol.gif">
          <a:extLst>
            <a:ext uri="{FF2B5EF4-FFF2-40B4-BE49-F238E27FC236}">
              <a16:creationId xmlns:a16="http://schemas.microsoft.com/office/drawing/2014/main" id="{00000000-0008-0000-1F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6" name="Picture 5" descr="C:\WINDOWS\TEMP\~0003946.gif">
          <a:extLst>
            <a:ext uri="{FF2B5EF4-FFF2-40B4-BE49-F238E27FC236}">
              <a16:creationId xmlns:a16="http://schemas.microsoft.com/office/drawing/2014/main" id="{00000000-0008-0000-1F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1F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1F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1F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1F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1F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1F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13" name="Picture 12" descr="C:\WINDOWS\TEMP\~0003946.gif">
          <a:extLst>
            <a:ext uri="{FF2B5EF4-FFF2-40B4-BE49-F238E27FC236}">
              <a16:creationId xmlns:a16="http://schemas.microsoft.com/office/drawing/2014/main" id="{00000000-0008-0000-1F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1F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00000000-0008-0000-1F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00000000-0008-0000-1F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17" name="Picture 16" descr="logoMTL">
          <a:extLst>
            <a:ext uri="{FF2B5EF4-FFF2-40B4-BE49-F238E27FC236}">
              <a16:creationId xmlns:a16="http://schemas.microsoft.com/office/drawing/2014/main" id="{00000000-0008-0000-1F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 name="Picture 4" descr="C:\WINDOWS\TEMP\Symbol.gif">
          <a:extLst>
            <a:ext uri="{FF2B5EF4-FFF2-40B4-BE49-F238E27FC236}">
              <a16:creationId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6" name="Picture 5" descr="C:\WINDOWS\TEMP\~0003946.gif">
          <a:extLst>
            <a:ext uri="{FF2B5EF4-FFF2-40B4-BE49-F238E27FC236}">
              <a16:creationId xmlns:a16="http://schemas.microsoft.com/office/drawing/2014/main" id="{00000000-0008-0000-20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0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0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0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0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20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13" name="Picture 12" descr="C:\WINDOWS\TEMP\~0003946.gif">
          <a:extLst>
            <a:ext uri="{FF2B5EF4-FFF2-40B4-BE49-F238E27FC236}">
              <a16:creationId xmlns:a16="http://schemas.microsoft.com/office/drawing/2014/main" id="{00000000-0008-0000-20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0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00000000-0008-0000-20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00000000-0008-0000-20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17" name="Picture 16" descr="logoMTL">
          <a:extLst>
            <a:ext uri="{FF2B5EF4-FFF2-40B4-BE49-F238E27FC236}">
              <a16:creationId xmlns:a16="http://schemas.microsoft.com/office/drawing/2014/main" id="{00000000-0008-0000-20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 name="Picture 4" descr="C:\WINDOWS\TEMP\Symbol.gif">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6" name="Picture 5" descr="C:\WINDOWS\TEMP\~0003946.gif">
          <a:extLst>
            <a:ext uri="{FF2B5EF4-FFF2-40B4-BE49-F238E27FC236}">
              <a16:creationId xmlns:a16="http://schemas.microsoft.com/office/drawing/2014/main" id="{00000000-0008-0000-21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21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1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1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1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1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21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13" name="Picture 12" descr="C:\WINDOWS\TEMP\~0003946.gif">
          <a:extLst>
            <a:ext uri="{FF2B5EF4-FFF2-40B4-BE49-F238E27FC236}">
              <a16:creationId xmlns:a16="http://schemas.microsoft.com/office/drawing/2014/main" id="{00000000-0008-0000-21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1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00000000-0008-0000-21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00000000-0008-0000-21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17" name="Picture 16" descr="logoMTL">
          <a:extLst>
            <a:ext uri="{FF2B5EF4-FFF2-40B4-BE49-F238E27FC236}">
              <a16:creationId xmlns:a16="http://schemas.microsoft.com/office/drawing/2014/main" id="{00000000-0008-0000-21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 name="Picture 4" descr="C:\WINDOWS\TEMP\Symbol.gif">
          <a:extLst>
            <a:ext uri="{FF2B5EF4-FFF2-40B4-BE49-F238E27FC236}">
              <a16:creationId xmlns:a16="http://schemas.microsoft.com/office/drawing/2014/main" id="{00000000-0008-0000-22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6" name="Picture 5" descr="C:\WINDOWS\TEMP\~0003946.gif">
          <a:extLst>
            <a:ext uri="{FF2B5EF4-FFF2-40B4-BE49-F238E27FC236}">
              <a16:creationId xmlns:a16="http://schemas.microsoft.com/office/drawing/2014/main" id="{00000000-0008-0000-22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22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2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2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2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2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22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13" name="Picture 12" descr="C:\WINDOWS\TEMP\~0003946.gif">
          <a:extLst>
            <a:ext uri="{FF2B5EF4-FFF2-40B4-BE49-F238E27FC236}">
              <a16:creationId xmlns:a16="http://schemas.microsoft.com/office/drawing/2014/main" id="{00000000-0008-0000-22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2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00000000-0008-0000-22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00000000-0008-0000-22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17" name="Picture 16" descr="logoMTL">
          <a:extLst>
            <a:ext uri="{FF2B5EF4-FFF2-40B4-BE49-F238E27FC236}">
              <a16:creationId xmlns:a16="http://schemas.microsoft.com/office/drawing/2014/main" id="{00000000-0008-0000-22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 name="Picture 4" descr="C:\WINDOWS\TEMP\Symbol.gif">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6" name="Picture 5" descr="C:\WINDOWS\TEMP\~0003946.gif">
          <a:extLst>
            <a:ext uri="{FF2B5EF4-FFF2-40B4-BE49-F238E27FC236}">
              <a16:creationId xmlns:a16="http://schemas.microsoft.com/office/drawing/2014/main" id="{00000000-0008-0000-23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23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3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3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3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3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23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13" name="Picture 12" descr="C:\WINDOWS\TEMP\~0003946.gif">
          <a:extLst>
            <a:ext uri="{FF2B5EF4-FFF2-40B4-BE49-F238E27FC236}">
              <a16:creationId xmlns:a16="http://schemas.microsoft.com/office/drawing/2014/main" id="{00000000-0008-0000-23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3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00000000-0008-0000-23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00000000-0008-0000-23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17" name="Picture 16" descr="logoMTL">
          <a:extLst>
            <a:ext uri="{FF2B5EF4-FFF2-40B4-BE49-F238E27FC236}">
              <a16:creationId xmlns:a16="http://schemas.microsoft.com/office/drawing/2014/main" id="{00000000-0008-0000-23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 name="Picture 4" descr="C:\WINDOWS\TEMP\Symbol.gif">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6" name="Picture 5" descr="C:\WINDOWS\TEMP\~0003946.gif">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4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4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4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4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24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13" name="Picture 12" descr="C:\WINDOWS\TEMP\~0003946.gif">
          <a:extLst>
            <a:ext uri="{FF2B5EF4-FFF2-40B4-BE49-F238E27FC236}">
              <a16:creationId xmlns:a16="http://schemas.microsoft.com/office/drawing/2014/main" id="{00000000-0008-0000-24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4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00000000-0008-0000-24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00000000-0008-0000-24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17" name="Picture 16" descr="logoMTL">
          <a:extLst>
            <a:ext uri="{FF2B5EF4-FFF2-40B4-BE49-F238E27FC236}">
              <a16:creationId xmlns:a16="http://schemas.microsoft.com/office/drawing/2014/main" id="{00000000-0008-0000-24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 name="Picture 4" descr="C:\WINDOWS\TEMP\Symbol.gif">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6" name="Picture 5" descr="C:\WINDOWS\TEMP\~0003946.gif">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5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5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5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25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13" name="Picture 12" descr="C:\WINDOWS\TEMP\~0003946.gif">
          <a:extLst>
            <a:ext uri="{FF2B5EF4-FFF2-40B4-BE49-F238E27FC236}">
              <a16:creationId xmlns:a16="http://schemas.microsoft.com/office/drawing/2014/main" id="{00000000-0008-0000-25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5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00000000-0008-0000-25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00000000-0008-0000-25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17" name="Picture 16" descr="logoMTL">
          <a:extLst>
            <a:ext uri="{FF2B5EF4-FFF2-40B4-BE49-F238E27FC236}">
              <a16:creationId xmlns:a16="http://schemas.microsoft.com/office/drawing/2014/main" id="{00000000-0008-0000-25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 name="Picture 4" descr="C:\WINDOWS\TEMP\Symbol.gif">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6" name="Picture 5" descr="C:\WINDOWS\TEMP\~0003946.gif">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6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6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6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26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13" name="Picture 12" descr="C:\WINDOWS\TEMP\~0003946.gif">
          <a:extLst>
            <a:ext uri="{FF2B5EF4-FFF2-40B4-BE49-F238E27FC236}">
              <a16:creationId xmlns:a16="http://schemas.microsoft.com/office/drawing/2014/main" id="{00000000-0008-0000-26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6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00000000-0008-0000-26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00000000-0008-0000-26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17" name="Picture 16" descr="logoMTL">
          <a:extLst>
            <a:ext uri="{FF2B5EF4-FFF2-40B4-BE49-F238E27FC236}">
              <a16:creationId xmlns:a16="http://schemas.microsoft.com/office/drawing/2014/main" id="{00000000-0008-0000-26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8529" name="Picture 1" descr="C:\WINDOWS\TEMP\Symbol.gif">
          <a:extLst>
            <a:ext uri="{FF2B5EF4-FFF2-40B4-BE49-F238E27FC236}">
              <a16:creationId xmlns:a16="http://schemas.microsoft.com/office/drawing/2014/main" id="{00000000-0008-0000-0300-0000A1E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58530" name="Picture 2" descr="C:\WINDOWS\TEMP\Symbol.gif">
          <a:extLst>
            <a:ext uri="{FF2B5EF4-FFF2-40B4-BE49-F238E27FC236}">
              <a16:creationId xmlns:a16="http://schemas.microsoft.com/office/drawing/2014/main" id="{00000000-0008-0000-0300-0000A2E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58531" name="Picture 3" descr="C:\WINDOWS\TEMP\Symbol.gif">
          <a:extLst>
            <a:ext uri="{FF2B5EF4-FFF2-40B4-BE49-F238E27FC236}">
              <a16:creationId xmlns:a16="http://schemas.microsoft.com/office/drawing/2014/main" id="{00000000-0008-0000-0300-0000A3E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58532" name="Picture 4" descr="C:\WINDOWS\TEMP\Symbol.gif">
          <a:extLst>
            <a:ext uri="{FF2B5EF4-FFF2-40B4-BE49-F238E27FC236}">
              <a16:creationId xmlns:a16="http://schemas.microsoft.com/office/drawing/2014/main" id="{00000000-0008-0000-0300-0000A4E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88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275</xdr:row>
      <xdr:rowOff>123825</xdr:rowOff>
    </xdr:from>
    <xdr:to>
      <xdr:col>22</xdr:col>
      <xdr:colOff>1895475</xdr:colOff>
      <xdr:row>276</xdr:row>
      <xdr:rowOff>152400</xdr:rowOff>
    </xdr:to>
    <xdr:pic>
      <xdr:nvPicPr>
        <xdr:cNvPr id="58533" name="Picture 5" descr="C:\WINDOWS\TEMP\~0003946.gif">
          <a:extLst>
            <a:ext uri="{FF2B5EF4-FFF2-40B4-BE49-F238E27FC236}">
              <a16:creationId xmlns:a16="http://schemas.microsoft.com/office/drawing/2014/main" id="{00000000-0008-0000-0300-0000A5E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584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192</xdr:row>
      <xdr:rowOff>152400</xdr:rowOff>
    </xdr:from>
    <xdr:to>
      <xdr:col>22</xdr:col>
      <xdr:colOff>1924050</xdr:colOff>
      <xdr:row>193</xdr:row>
      <xdr:rowOff>180975</xdr:rowOff>
    </xdr:to>
    <xdr:pic>
      <xdr:nvPicPr>
        <xdr:cNvPr id="58534" name="Picture 6" descr="C:\WINDOWS\TEMP\~0003946.gif">
          <a:extLst>
            <a:ext uri="{FF2B5EF4-FFF2-40B4-BE49-F238E27FC236}">
              <a16:creationId xmlns:a16="http://schemas.microsoft.com/office/drawing/2014/main" id="{00000000-0008-0000-0300-0000A6E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58535" name="Picture 7" descr="C:\WINDOWS\TEMP\~0003946.gif">
          <a:extLst>
            <a:ext uri="{FF2B5EF4-FFF2-40B4-BE49-F238E27FC236}">
              <a16:creationId xmlns:a16="http://schemas.microsoft.com/office/drawing/2014/main" id="{00000000-0008-0000-0300-0000A7E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8536" name="Picture 8" descr="C:\WINDOWS\TEMP\~0003946.gif">
          <a:extLst>
            <a:ext uri="{FF2B5EF4-FFF2-40B4-BE49-F238E27FC236}">
              <a16:creationId xmlns:a16="http://schemas.microsoft.com/office/drawing/2014/main" id="{00000000-0008-0000-0300-0000A8E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58537" name="Picture 9" descr="C:\WINDOWS\TEMP\~0003946.gif">
          <a:extLst>
            <a:ext uri="{FF2B5EF4-FFF2-40B4-BE49-F238E27FC236}">
              <a16:creationId xmlns:a16="http://schemas.microsoft.com/office/drawing/2014/main" id="{00000000-0008-0000-0300-0000A9E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58538" name="Picture 10" descr="C:\WINDOWS\TEMP\~0003946.gif">
          <a:extLst>
            <a:ext uri="{FF2B5EF4-FFF2-40B4-BE49-F238E27FC236}">
              <a16:creationId xmlns:a16="http://schemas.microsoft.com/office/drawing/2014/main" id="{00000000-0008-0000-0300-0000AAE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192</xdr:row>
      <xdr:rowOff>104775</xdr:rowOff>
    </xdr:from>
    <xdr:to>
      <xdr:col>22</xdr:col>
      <xdr:colOff>809625</xdr:colOff>
      <xdr:row>193</xdr:row>
      <xdr:rowOff>133350</xdr:rowOff>
    </xdr:to>
    <xdr:pic>
      <xdr:nvPicPr>
        <xdr:cNvPr id="58539" name="Picture 11" descr="C:\WINDOWS\TEMP\~0003946.gif">
          <a:extLst>
            <a:ext uri="{FF2B5EF4-FFF2-40B4-BE49-F238E27FC236}">
              <a16:creationId xmlns:a16="http://schemas.microsoft.com/office/drawing/2014/main" id="{00000000-0008-0000-0300-0000ABE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275</xdr:row>
      <xdr:rowOff>104775</xdr:rowOff>
    </xdr:from>
    <xdr:to>
      <xdr:col>22</xdr:col>
      <xdr:colOff>895350</xdr:colOff>
      <xdr:row>276</xdr:row>
      <xdr:rowOff>133350</xdr:rowOff>
    </xdr:to>
    <xdr:pic>
      <xdr:nvPicPr>
        <xdr:cNvPr id="58540" name="Picture 12" descr="C:\WINDOWS\TEMP\~0003946.gif">
          <a:extLst>
            <a:ext uri="{FF2B5EF4-FFF2-40B4-BE49-F238E27FC236}">
              <a16:creationId xmlns:a16="http://schemas.microsoft.com/office/drawing/2014/main" id="{00000000-0008-0000-0300-0000ACE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582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58541" name="Picture 13" descr="logoMTL">
          <a:extLst>
            <a:ext uri="{FF2B5EF4-FFF2-40B4-BE49-F238E27FC236}">
              <a16:creationId xmlns:a16="http://schemas.microsoft.com/office/drawing/2014/main" id="{00000000-0008-0000-0300-0000ADE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58542" name="Picture 14" descr="logoMTL">
          <a:extLst>
            <a:ext uri="{FF2B5EF4-FFF2-40B4-BE49-F238E27FC236}">
              <a16:creationId xmlns:a16="http://schemas.microsoft.com/office/drawing/2014/main" id="{00000000-0008-0000-0300-0000AEE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192</xdr:row>
      <xdr:rowOff>28575</xdr:rowOff>
    </xdr:from>
    <xdr:to>
      <xdr:col>21</xdr:col>
      <xdr:colOff>1171575</xdr:colOff>
      <xdr:row>193</xdr:row>
      <xdr:rowOff>152400</xdr:rowOff>
    </xdr:to>
    <xdr:pic>
      <xdr:nvPicPr>
        <xdr:cNvPr id="58543" name="Picture 15" descr="logoMTL">
          <a:extLst>
            <a:ext uri="{FF2B5EF4-FFF2-40B4-BE49-F238E27FC236}">
              <a16:creationId xmlns:a16="http://schemas.microsoft.com/office/drawing/2014/main" id="{00000000-0008-0000-0300-0000AFE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275</xdr:row>
      <xdr:rowOff>0</xdr:rowOff>
    </xdr:from>
    <xdr:to>
      <xdr:col>21</xdr:col>
      <xdr:colOff>1228725</xdr:colOff>
      <xdr:row>276</xdr:row>
      <xdr:rowOff>123825</xdr:rowOff>
    </xdr:to>
    <xdr:pic>
      <xdr:nvPicPr>
        <xdr:cNvPr id="58544" name="Picture 16" descr="logoMTL">
          <a:extLst>
            <a:ext uri="{FF2B5EF4-FFF2-40B4-BE49-F238E27FC236}">
              <a16:creationId xmlns:a16="http://schemas.microsoft.com/office/drawing/2014/main" id="{00000000-0008-0000-0300-0000B0E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572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27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 name="Picture 4" descr="C:\WINDOWS\TEMP\Symbol.gif">
          <a:extLst>
            <a:ext uri="{FF2B5EF4-FFF2-40B4-BE49-F238E27FC236}">
              <a16:creationId xmlns:a16="http://schemas.microsoft.com/office/drawing/2014/main" id="{00000000-0008-0000-27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6" name="Picture 5" descr="C:\WINDOWS\TEMP\~0003946.gif">
          <a:extLst>
            <a:ext uri="{FF2B5EF4-FFF2-40B4-BE49-F238E27FC236}">
              <a16:creationId xmlns:a16="http://schemas.microsoft.com/office/drawing/2014/main" id="{00000000-0008-0000-27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27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7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7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7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7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27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13" name="Picture 12" descr="C:\WINDOWS\TEMP\~0003946.gif">
          <a:extLst>
            <a:ext uri="{FF2B5EF4-FFF2-40B4-BE49-F238E27FC236}">
              <a16:creationId xmlns:a16="http://schemas.microsoft.com/office/drawing/2014/main" id="{00000000-0008-0000-27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7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00000000-0008-0000-27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00000000-0008-0000-27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17" name="Picture 16" descr="logoMTL">
          <a:extLst>
            <a:ext uri="{FF2B5EF4-FFF2-40B4-BE49-F238E27FC236}">
              <a16:creationId xmlns:a16="http://schemas.microsoft.com/office/drawing/2014/main" id="{00000000-0008-0000-27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 name="Picture 4" descr="C:\WINDOWS\TEMP\Symbol.gif">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6" name="Picture 5" descr="C:\WINDOWS\TEMP\~0003946.gif">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28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8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8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8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28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13" name="Picture 12" descr="C:\WINDOWS\TEMP\~0003946.gif">
          <a:extLst>
            <a:ext uri="{FF2B5EF4-FFF2-40B4-BE49-F238E27FC236}">
              <a16:creationId xmlns:a16="http://schemas.microsoft.com/office/drawing/2014/main" id="{00000000-0008-0000-28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8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00000000-0008-0000-28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00000000-0008-0000-28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17" name="Picture 16" descr="logoMTL">
          <a:extLst>
            <a:ext uri="{FF2B5EF4-FFF2-40B4-BE49-F238E27FC236}">
              <a16:creationId xmlns:a16="http://schemas.microsoft.com/office/drawing/2014/main" id="{00000000-0008-0000-28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5" name="Picture 4" descr="C:\WINDOWS\TEMP\Symbol.gif">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288</xdr:row>
      <xdr:rowOff>123825</xdr:rowOff>
    </xdr:from>
    <xdr:to>
      <xdr:col>22</xdr:col>
      <xdr:colOff>1895475</xdr:colOff>
      <xdr:row>289</xdr:row>
      <xdr:rowOff>152400</xdr:rowOff>
    </xdr:to>
    <xdr:pic>
      <xdr:nvPicPr>
        <xdr:cNvPr id="6" name="Picture 5" descr="C:\WINDOWS\TEMP\~0003946.gif">
          <a:extLst>
            <a:ext uri="{FF2B5EF4-FFF2-40B4-BE49-F238E27FC236}">
              <a16:creationId xmlns:a16="http://schemas.microsoft.com/office/drawing/2014/main" id="{00000000-0008-0000-29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29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9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9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9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9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29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288</xdr:row>
      <xdr:rowOff>104775</xdr:rowOff>
    </xdr:from>
    <xdr:to>
      <xdr:col>22</xdr:col>
      <xdr:colOff>895350</xdr:colOff>
      <xdr:row>289</xdr:row>
      <xdr:rowOff>133350</xdr:rowOff>
    </xdr:to>
    <xdr:pic>
      <xdr:nvPicPr>
        <xdr:cNvPr id="13" name="Picture 12" descr="C:\WINDOWS\TEMP\~0003946.gif">
          <a:extLst>
            <a:ext uri="{FF2B5EF4-FFF2-40B4-BE49-F238E27FC236}">
              <a16:creationId xmlns:a16="http://schemas.microsoft.com/office/drawing/2014/main" id="{00000000-0008-0000-29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9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00000000-0008-0000-29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00000000-0008-0000-29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288</xdr:row>
      <xdr:rowOff>0</xdr:rowOff>
    </xdr:from>
    <xdr:to>
      <xdr:col>21</xdr:col>
      <xdr:colOff>1228725</xdr:colOff>
      <xdr:row>289</xdr:row>
      <xdr:rowOff>123824</xdr:rowOff>
    </xdr:to>
    <xdr:pic>
      <xdr:nvPicPr>
        <xdr:cNvPr id="17" name="Picture 16" descr="logoMTL">
          <a:extLst>
            <a:ext uri="{FF2B5EF4-FFF2-40B4-BE49-F238E27FC236}">
              <a16:creationId xmlns:a16="http://schemas.microsoft.com/office/drawing/2014/main" id="{00000000-0008-0000-29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BD57DB0-EF55-495C-AB43-3AF91821BC8A}"/>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46924F4B-1122-4994-AD92-A430360C4872}"/>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730813E1-7ABD-47AC-AE7D-6FF3599C6D2F}"/>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5" name="Picture 4" descr="C:\WINDOWS\TEMP\Symbol.gif">
          <a:extLst>
            <a:ext uri="{FF2B5EF4-FFF2-40B4-BE49-F238E27FC236}">
              <a16:creationId xmlns:a16="http://schemas.microsoft.com/office/drawing/2014/main" id="{05BE9903-7E80-4461-83BF-1AFB7262C0B6}"/>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288</xdr:row>
      <xdr:rowOff>123825</xdr:rowOff>
    </xdr:from>
    <xdr:to>
      <xdr:col>22</xdr:col>
      <xdr:colOff>1895475</xdr:colOff>
      <xdr:row>289</xdr:row>
      <xdr:rowOff>152400</xdr:rowOff>
    </xdr:to>
    <xdr:pic>
      <xdr:nvPicPr>
        <xdr:cNvPr id="6" name="Picture 5" descr="C:\WINDOWS\TEMP\~0003946.gif">
          <a:extLst>
            <a:ext uri="{FF2B5EF4-FFF2-40B4-BE49-F238E27FC236}">
              <a16:creationId xmlns:a16="http://schemas.microsoft.com/office/drawing/2014/main" id="{FC0664DE-3C55-4085-B2A6-F33152AB7F47}"/>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78BF9F6A-52FC-4457-80E0-B951F6048D27}"/>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D99D8F04-C404-491B-B999-C6C93903ECD5}"/>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B4014DAB-4F45-4E01-BC23-EDC9C36BFDA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FCE7510-1D1B-4791-9622-F58EC2922F0E}"/>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3D92037-7DDE-42E7-A544-915661D31A9D}"/>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AFAFA0FE-2340-43C3-B3BB-9BB1460A4D68}"/>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288</xdr:row>
      <xdr:rowOff>104775</xdr:rowOff>
    </xdr:from>
    <xdr:to>
      <xdr:col>22</xdr:col>
      <xdr:colOff>895350</xdr:colOff>
      <xdr:row>289</xdr:row>
      <xdr:rowOff>133350</xdr:rowOff>
    </xdr:to>
    <xdr:pic>
      <xdr:nvPicPr>
        <xdr:cNvPr id="13" name="Picture 12" descr="C:\WINDOWS\TEMP\~0003946.gif">
          <a:extLst>
            <a:ext uri="{FF2B5EF4-FFF2-40B4-BE49-F238E27FC236}">
              <a16:creationId xmlns:a16="http://schemas.microsoft.com/office/drawing/2014/main" id="{5569D16B-2D4C-4E79-A68B-CF0D53E76768}"/>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8D0BF280-37B9-46AA-BD23-52E2250AF04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8C9F3734-506C-4471-A04B-4F90071B7A5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4F03A108-8C37-4AB4-BDBD-C9E8533977F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288</xdr:row>
      <xdr:rowOff>0</xdr:rowOff>
    </xdr:from>
    <xdr:to>
      <xdr:col>21</xdr:col>
      <xdr:colOff>1228725</xdr:colOff>
      <xdr:row>289</xdr:row>
      <xdr:rowOff>123824</xdr:rowOff>
    </xdr:to>
    <xdr:pic>
      <xdr:nvPicPr>
        <xdr:cNvPr id="17" name="Picture 16" descr="logoMTL">
          <a:extLst>
            <a:ext uri="{FF2B5EF4-FFF2-40B4-BE49-F238E27FC236}">
              <a16:creationId xmlns:a16="http://schemas.microsoft.com/office/drawing/2014/main" id="{CB1F9EE1-30B0-417D-8551-4B7C3EEA1BE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321575"/>
          <a:ext cx="809625" cy="323849"/>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144F870A-D37F-451F-94CE-56C728F4F762}"/>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7D91360F-1B69-4592-9FCF-7CEABF397EDE}"/>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DA9CADEF-6131-46CD-8649-C07CD0E6340E}"/>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5" name="Picture 4" descr="C:\WINDOWS\TEMP\Symbol.gif">
          <a:extLst>
            <a:ext uri="{FF2B5EF4-FFF2-40B4-BE49-F238E27FC236}">
              <a16:creationId xmlns:a16="http://schemas.microsoft.com/office/drawing/2014/main" id="{70DD2424-3C94-4C32-95D8-60B441FA5ED8}"/>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288</xdr:row>
      <xdr:rowOff>123825</xdr:rowOff>
    </xdr:from>
    <xdr:to>
      <xdr:col>22</xdr:col>
      <xdr:colOff>1895475</xdr:colOff>
      <xdr:row>289</xdr:row>
      <xdr:rowOff>152400</xdr:rowOff>
    </xdr:to>
    <xdr:pic>
      <xdr:nvPicPr>
        <xdr:cNvPr id="6" name="Picture 5" descr="C:\WINDOWS\TEMP\~0003946.gif">
          <a:extLst>
            <a:ext uri="{FF2B5EF4-FFF2-40B4-BE49-F238E27FC236}">
              <a16:creationId xmlns:a16="http://schemas.microsoft.com/office/drawing/2014/main" id="{AB3BF333-BF70-4149-AD38-893DE737AF48}"/>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51B020F-B33E-4972-A053-8622FE4A8A1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57A550EB-FD61-4A65-923D-A24ABCBB7D6F}"/>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1FAFE12F-906D-417E-810F-47DCD331D8DE}"/>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89CD39CB-A4E9-4FE9-8AA8-78487CD06ED2}"/>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4614DC9D-83C8-4285-8FFF-947498D46D6D}"/>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35AC947B-DBD1-4AE4-9996-3ABFE2D9E305}"/>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288</xdr:row>
      <xdr:rowOff>104775</xdr:rowOff>
    </xdr:from>
    <xdr:to>
      <xdr:col>22</xdr:col>
      <xdr:colOff>895350</xdr:colOff>
      <xdr:row>289</xdr:row>
      <xdr:rowOff>133350</xdr:rowOff>
    </xdr:to>
    <xdr:pic>
      <xdr:nvPicPr>
        <xdr:cNvPr id="13" name="Picture 12" descr="C:\WINDOWS\TEMP\~0003946.gif">
          <a:extLst>
            <a:ext uri="{FF2B5EF4-FFF2-40B4-BE49-F238E27FC236}">
              <a16:creationId xmlns:a16="http://schemas.microsoft.com/office/drawing/2014/main" id="{842DB136-2A62-40BE-B47A-7E0D10230F8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A4C8C747-1AD2-4CDE-8293-812EE8043E2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FBA309D6-DD69-45C8-AA57-E3F8FA95B76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E4C26E17-EC22-4897-AF26-1C8D554EB46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288</xdr:row>
      <xdr:rowOff>0</xdr:rowOff>
    </xdr:from>
    <xdr:to>
      <xdr:col>21</xdr:col>
      <xdr:colOff>1203325</xdr:colOff>
      <xdr:row>289</xdr:row>
      <xdr:rowOff>123824</xdr:rowOff>
    </xdr:to>
    <xdr:pic>
      <xdr:nvPicPr>
        <xdr:cNvPr id="17" name="Picture 16" descr="logoMTL">
          <a:extLst>
            <a:ext uri="{FF2B5EF4-FFF2-40B4-BE49-F238E27FC236}">
              <a16:creationId xmlns:a16="http://schemas.microsoft.com/office/drawing/2014/main" id="{4F4075E8-527C-42B5-A138-DBE029803DD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321575"/>
          <a:ext cx="809625" cy="323849"/>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22</xdr:col>
      <xdr:colOff>1095375</xdr:colOff>
      <xdr:row>288</xdr:row>
      <xdr:rowOff>123825</xdr:rowOff>
    </xdr:from>
    <xdr:to>
      <xdr:col>22</xdr:col>
      <xdr:colOff>1895475</xdr:colOff>
      <xdr:row>289</xdr:row>
      <xdr:rowOff>152400</xdr:rowOff>
    </xdr:to>
    <xdr:pic>
      <xdr:nvPicPr>
        <xdr:cNvPr id="6" name="Picture 5" descr="C:\WINDOWS\TEMP\~0003946.gif">
          <a:extLst>
            <a:ext uri="{FF2B5EF4-FFF2-40B4-BE49-F238E27FC236}">
              <a16:creationId xmlns:a16="http://schemas.microsoft.com/office/drawing/2014/main" id="{F1A339B0-8FEB-4F67-A5FA-D29E8C98D6B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72430394-CE41-4FFB-A379-B3ACED47F17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47CC6544-79B9-4E1D-9E8A-B37E83F6C5C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C7EE3951-6361-44F3-8F13-4FD8D358479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157536</xdr:rowOff>
    </xdr:to>
    <xdr:pic>
      <xdr:nvPicPr>
        <xdr:cNvPr id="18" name="Picture 17">
          <a:extLst>
            <a:ext uri="{FF2B5EF4-FFF2-40B4-BE49-F238E27FC236}">
              <a16:creationId xmlns:a16="http://schemas.microsoft.com/office/drawing/2014/main" id="{DAF17286-C6B6-457D-9E5B-2C10AD7C4C2A}"/>
            </a:ext>
          </a:extLst>
        </xdr:cNvPr>
        <xdr:cNvPicPr>
          <a:picLocks noChangeAspect="1"/>
        </xdr:cNvPicPr>
      </xdr:nvPicPr>
      <xdr:blipFill>
        <a:blip xmlns:r="http://schemas.openxmlformats.org/officeDocument/2006/relationships" r:embed="rId3"/>
        <a:stretch>
          <a:fillRect/>
        </a:stretch>
      </xdr:blipFill>
      <xdr:spPr>
        <a:xfrm>
          <a:off x="136071" y="12899571"/>
          <a:ext cx="170703" cy="225572"/>
        </a:xfrm>
        <a:prstGeom prst="rect">
          <a:avLst/>
        </a:prstGeom>
      </xdr:spPr>
    </xdr:pic>
    <xdr:clientData/>
  </xdr:twoCellAnchor>
  <xdr:twoCellAnchor editAs="oneCell">
    <xdr:from>
      <xdr:col>0</xdr:col>
      <xdr:colOff>176893</xdr:colOff>
      <xdr:row>134</xdr:row>
      <xdr:rowOff>81643</xdr:rowOff>
    </xdr:from>
    <xdr:to>
      <xdr:col>1</xdr:col>
      <xdr:colOff>7417</xdr:colOff>
      <xdr:row>135</xdr:row>
      <xdr:rowOff>103108</xdr:rowOff>
    </xdr:to>
    <xdr:pic>
      <xdr:nvPicPr>
        <xdr:cNvPr id="20" name="Picture 19">
          <a:extLst>
            <a:ext uri="{FF2B5EF4-FFF2-40B4-BE49-F238E27FC236}">
              <a16:creationId xmlns:a16="http://schemas.microsoft.com/office/drawing/2014/main" id="{E1F8D2D3-ABCD-456F-AB1B-4DFFC28B8661}"/>
            </a:ext>
          </a:extLst>
        </xdr:cNvPr>
        <xdr:cNvPicPr>
          <a:picLocks noChangeAspect="1"/>
        </xdr:cNvPicPr>
      </xdr:nvPicPr>
      <xdr:blipFill>
        <a:blip xmlns:r="http://schemas.openxmlformats.org/officeDocument/2006/relationships" r:embed="rId3"/>
        <a:stretch>
          <a:fillRect/>
        </a:stretch>
      </xdr:blipFill>
      <xdr:spPr>
        <a:xfrm>
          <a:off x="176893" y="27976286"/>
          <a:ext cx="170703" cy="225572"/>
        </a:xfrm>
        <a:prstGeom prst="rect">
          <a:avLst/>
        </a:prstGeom>
      </xdr:spPr>
    </xdr:pic>
    <xdr:clientData/>
  </xdr:twoCellAnchor>
  <xdr:twoCellAnchor editAs="oneCell">
    <xdr:from>
      <xdr:col>0</xdr:col>
      <xdr:colOff>176893</xdr:colOff>
      <xdr:row>194</xdr:row>
      <xdr:rowOff>108857</xdr:rowOff>
    </xdr:from>
    <xdr:to>
      <xdr:col>1</xdr:col>
      <xdr:colOff>7417</xdr:colOff>
      <xdr:row>195</xdr:row>
      <xdr:rowOff>130322</xdr:rowOff>
    </xdr:to>
    <xdr:pic>
      <xdr:nvPicPr>
        <xdr:cNvPr id="21" name="Picture 20">
          <a:extLst>
            <a:ext uri="{FF2B5EF4-FFF2-40B4-BE49-F238E27FC236}">
              <a16:creationId xmlns:a16="http://schemas.microsoft.com/office/drawing/2014/main" id="{D04572A2-FA09-471E-A1DF-52FBC02FF776}"/>
            </a:ext>
          </a:extLst>
        </xdr:cNvPr>
        <xdr:cNvPicPr>
          <a:picLocks noChangeAspect="1"/>
        </xdr:cNvPicPr>
      </xdr:nvPicPr>
      <xdr:blipFill>
        <a:blip xmlns:r="http://schemas.openxmlformats.org/officeDocument/2006/relationships" r:embed="rId3"/>
        <a:stretch>
          <a:fillRect/>
        </a:stretch>
      </xdr:blipFill>
      <xdr:spPr>
        <a:xfrm>
          <a:off x="176893" y="40290750"/>
          <a:ext cx="170703" cy="225572"/>
        </a:xfrm>
        <a:prstGeom prst="rect">
          <a:avLst/>
        </a:prstGeom>
      </xdr:spPr>
    </xdr:pic>
    <xdr:clientData/>
  </xdr:twoCellAnchor>
  <xdr:twoCellAnchor editAs="oneCell">
    <xdr:from>
      <xdr:col>0</xdr:col>
      <xdr:colOff>163286</xdr:colOff>
      <xdr:row>288</xdr:row>
      <xdr:rowOff>149678</xdr:rowOff>
    </xdr:from>
    <xdr:to>
      <xdr:col>0</xdr:col>
      <xdr:colOff>327639</xdr:colOff>
      <xdr:row>289</xdr:row>
      <xdr:rowOff>171143</xdr:rowOff>
    </xdr:to>
    <xdr:pic>
      <xdr:nvPicPr>
        <xdr:cNvPr id="22" name="Picture 21">
          <a:extLst>
            <a:ext uri="{FF2B5EF4-FFF2-40B4-BE49-F238E27FC236}">
              <a16:creationId xmlns:a16="http://schemas.microsoft.com/office/drawing/2014/main" id="{5FA43436-A74B-4F57-B02B-AD62B83144A3}"/>
            </a:ext>
          </a:extLst>
        </xdr:cNvPr>
        <xdr:cNvPicPr>
          <a:picLocks noChangeAspect="1"/>
        </xdr:cNvPicPr>
      </xdr:nvPicPr>
      <xdr:blipFill>
        <a:blip xmlns:r="http://schemas.openxmlformats.org/officeDocument/2006/relationships" r:embed="rId3"/>
        <a:stretch>
          <a:fillRect/>
        </a:stretch>
      </xdr:blipFill>
      <xdr:spPr>
        <a:xfrm>
          <a:off x="163286" y="59599285"/>
          <a:ext cx="170703" cy="225572"/>
        </a:xfrm>
        <a:prstGeom prst="rect">
          <a:avLst/>
        </a:prstGeom>
      </xdr:spPr>
    </xdr:pic>
    <xdr:clientData/>
  </xdr:twoCellAnchor>
  <xdr:twoCellAnchor editAs="oneCell">
    <xdr:from>
      <xdr:col>22</xdr:col>
      <xdr:colOff>0</xdr:colOff>
      <xdr:row>288</xdr:row>
      <xdr:rowOff>54429</xdr:rowOff>
    </xdr:from>
    <xdr:to>
      <xdr:col>22</xdr:col>
      <xdr:colOff>883997</xdr:colOff>
      <xdr:row>289</xdr:row>
      <xdr:rowOff>149052</xdr:rowOff>
    </xdr:to>
    <xdr:pic>
      <xdr:nvPicPr>
        <xdr:cNvPr id="23" name="Picture 22">
          <a:extLst>
            <a:ext uri="{FF2B5EF4-FFF2-40B4-BE49-F238E27FC236}">
              <a16:creationId xmlns:a16="http://schemas.microsoft.com/office/drawing/2014/main" id="{E0C5D3E9-2244-4D85-9E04-387FB8F40CCC}"/>
            </a:ext>
          </a:extLst>
        </xdr:cNvPr>
        <xdr:cNvPicPr>
          <a:picLocks noChangeAspect="1"/>
        </xdr:cNvPicPr>
      </xdr:nvPicPr>
      <xdr:blipFill>
        <a:blip xmlns:r="http://schemas.openxmlformats.org/officeDocument/2006/relationships" r:embed="rId4"/>
        <a:stretch>
          <a:fillRect/>
        </a:stretch>
      </xdr:blipFill>
      <xdr:spPr>
        <a:xfrm>
          <a:off x="24220714" y="59504036"/>
          <a:ext cx="883997" cy="298730"/>
        </a:xfrm>
        <a:prstGeom prst="rect">
          <a:avLst/>
        </a:prstGeom>
      </xdr:spPr>
    </xdr:pic>
    <xdr:clientData/>
  </xdr:twoCellAnchor>
  <xdr:twoCellAnchor editAs="oneCell">
    <xdr:from>
      <xdr:col>22</xdr:col>
      <xdr:colOff>0</xdr:colOff>
      <xdr:row>194</xdr:row>
      <xdr:rowOff>54429</xdr:rowOff>
    </xdr:from>
    <xdr:to>
      <xdr:col>22</xdr:col>
      <xdr:colOff>883997</xdr:colOff>
      <xdr:row>195</xdr:row>
      <xdr:rowOff>149052</xdr:rowOff>
    </xdr:to>
    <xdr:pic>
      <xdr:nvPicPr>
        <xdr:cNvPr id="24" name="Picture 23">
          <a:extLst>
            <a:ext uri="{FF2B5EF4-FFF2-40B4-BE49-F238E27FC236}">
              <a16:creationId xmlns:a16="http://schemas.microsoft.com/office/drawing/2014/main" id="{3D9D0016-AC05-48B8-A0AC-EFDDD3C53144}"/>
            </a:ext>
          </a:extLst>
        </xdr:cNvPr>
        <xdr:cNvPicPr>
          <a:picLocks noChangeAspect="1"/>
        </xdr:cNvPicPr>
      </xdr:nvPicPr>
      <xdr:blipFill>
        <a:blip xmlns:r="http://schemas.openxmlformats.org/officeDocument/2006/relationships" r:embed="rId4"/>
        <a:stretch>
          <a:fillRect/>
        </a:stretch>
      </xdr:blipFill>
      <xdr:spPr>
        <a:xfrm>
          <a:off x="24220714" y="40236322"/>
          <a:ext cx="883997" cy="298730"/>
        </a:xfrm>
        <a:prstGeom prst="rect">
          <a:avLst/>
        </a:prstGeom>
      </xdr:spPr>
    </xdr:pic>
    <xdr:clientData/>
  </xdr:twoCellAnchor>
  <xdr:twoCellAnchor editAs="oneCell">
    <xdr:from>
      <xdr:col>21</xdr:col>
      <xdr:colOff>1238250</xdr:colOff>
      <xdr:row>134</xdr:row>
      <xdr:rowOff>54428</xdr:rowOff>
    </xdr:from>
    <xdr:to>
      <xdr:col>22</xdr:col>
      <xdr:colOff>870390</xdr:colOff>
      <xdr:row>135</xdr:row>
      <xdr:rowOff>149051</xdr:rowOff>
    </xdr:to>
    <xdr:pic>
      <xdr:nvPicPr>
        <xdr:cNvPr id="25" name="Picture 24">
          <a:extLst>
            <a:ext uri="{FF2B5EF4-FFF2-40B4-BE49-F238E27FC236}">
              <a16:creationId xmlns:a16="http://schemas.microsoft.com/office/drawing/2014/main" id="{BACE2E88-1D76-4079-B021-295B73D5B5BD}"/>
            </a:ext>
          </a:extLst>
        </xdr:cNvPr>
        <xdr:cNvPicPr>
          <a:picLocks noChangeAspect="1"/>
        </xdr:cNvPicPr>
      </xdr:nvPicPr>
      <xdr:blipFill>
        <a:blip xmlns:r="http://schemas.openxmlformats.org/officeDocument/2006/relationships" r:embed="rId4"/>
        <a:stretch>
          <a:fillRect/>
        </a:stretch>
      </xdr:blipFill>
      <xdr:spPr>
        <a:xfrm>
          <a:off x="24207107" y="27949071"/>
          <a:ext cx="883997" cy="298730"/>
        </a:xfrm>
        <a:prstGeom prst="rect">
          <a:avLst/>
        </a:prstGeom>
      </xdr:spPr>
    </xdr:pic>
    <xdr:clientData/>
  </xdr:twoCellAnchor>
  <xdr:twoCellAnchor editAs="oneCell">
    <xdr:from>
      <xdr:col>22</xdr:col>
      <xdr:colOff>0</xdr:colOff>
      <xdr:row>62</xdr:row>
      <xdr:rowOff>40821</xdr:rowOff>
    </xdr:from>
    <xdr:to>
      <xdr:col>22</xdr:col>
      <xdr:colOff>883997</xdr:colOff>
      <xdr:row>63</xdr:row>
      <xdr:rowOff>135444</xdr:rowOff>
    </xdr:to>
    <xdr:pic>
      <xdr:nvPicPr>
        <xdr:cNvPr id="26" name="Picture 25">
          <a:extLst>
            <a:ext uri="{FF2B5EF4-FFF2-40B4-BE49-F238E27FC236}">
              <a16:creationId xmlns:a16="http://schemas.microsoft.com/office/drawing/2014/main" id="{6D9D19F1-54AA-4A49-ADC1-3DE5C8949B70}"/>
            </a:ext>
          </a:extLst>
        </xdr:cNvPr>
        <xdr:cNvPicPr>
          <a:picLocks noChangeAspect="1"/>
        </xdr:cNvPicPr>
      </xdr:nvPicPr>
      <xdr:blipFill>
        <a:blip xmlns:r="http://schemas.openxmlformats.org/officeDocument/2006/relationships" r:embed="rId4"/>
        <a:stretch>
          <a:fillRect/>
        </a:stretch>
      </xdr:blipFill>
      <xdr:spPr>
        <a:xfrm>
          <a:off x="24220714" y="12804321"/>
          <a:ext cx="883997" cy="29873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22</xdr:col>
      <xdr:colOff>1095375</xdr:colOff>
      <xdr:row>288</xdr:row>
      <xdr:rowOff>123825</xdr:rowOff>
    </xdr:from>
    <xdr:to>
      <xdr:col>22</xdr:col>
      <xdr:colOff>1895475</xdr:colOff>
      <xdr:row>289</xdr:row>
      <xdr:rowOff>152400</xdr:rowOff>
    </xdr:to>
    <xdr:pic>
      <xdr:nvPicPr>
        <xdr:cNvPr id="2" name="Picture 1" descr="C:\WINDOWS\TEMP\~0003946.gif">
          <a:extLst>
            <a:ext uri="{FF2B5EF4-FFF2-40B4-BE49-F238E27FC236}">
              <a16:creationId xmlns:a16="http://schemas.microsoft.com/office/drawing/2014/main" id="{EE8DD6A9-2642-43C1-BC37-57FC1B6A646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58454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3" name="Picture 2" descr="C:\WINDOWS\TEMP\~0003946.gif">
          <a:extLst>
            <a:ext uri="{FF2B5EF4-FFF2-40B4-BE49-F238E27FC236}">
              <a16:creationId xmlns:a16="http://schemas.microsoft.com/office/drawing/2014/main" id="{833B26D9-809B-4162-ABEC-4933A045CBE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3959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4" name="Picture 3" descr="C:\WINDOWS\TEMP\~0003946.gif">
          <a:extLst>
            <a:ext uri="{FF2B5EF4-FFF2-40B4-BE49-F238E27FC236}">
              <a16:creationId xmlns:a16="http://schemas.microsoft.com/office/drawing/2014/main" id="{53ED7C9A-89F9-428A-A060-5898CC9D085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27527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ECDFE707-7881-4E4A-92BE-1562B37251B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1267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157536</xdr:rowOff>
    </xdr:to>
    <xdr:pic>
      <xdr:nvPicPr>
        <xdr:cNvPr id="6" name="Picture 5">
          <a:extLst>
            <a:ext uri="{FF2B5EF4-FFF2-40B4-BE49-F238E27FC236}">
              <a16:creationId xmlns:a16="http://schemas.microsoft.com/office/drawing/2014/main" id="{5D6BAE1A-DCB5-46C9-9E9F-7CD30D5AAB7D}"/>
            </a:ext>
          </a:extLst>
        </xdr:cNvPr>
        <xdr:cNvPicPr>
          <a:picLocks noChangeAspect="1"/>
        </xdr:cNvPicPr>
      </xdr:nvPicPr>
      <xdr:blipFill>
        <a:blip xmlns:r="http://schemas.openxmlformats.org/officeDocument/2006/relationships" r:embed="rId3"/>
        <a:stretch>
          <a:fillRect/>
        </a:stretch>
      </xdr:blipFill>
      <xdr:spPr>
        <a:xfrm>
          <a:off x="136071" y="12651921"/>
          <a:ext cx="170703" cy="221490"/>
        </a:xfrm>
        <a:prstGeom prst="rect">
          <a:avLst/>
        </a:prstGeom>
      </xdr:spPr>
    </xdr:pic>
    <xdr:clientData/>
  </xdr:twoCellAnchor>
  <xdr:twoCellAnchor editAs="oneCell">
    <xdr:from>
      <xdr:col>0</xdr:col>
      <xdr:colOff>176893</xdr:colOff>
      <xdr:row>134</xdr:row>
      <xdr:rowOff>81643</xdr:rowOff>
    </xdr:from>
    <xdr:to>
      <xdr:col>1</xdr:col>
      <xdr:colOff>7417</xdr:colOff>
      <xdr:row>135</xdr:row>
      <xdr:rowOff>103108</xdr:rowOff>
    </xdr:to>
    <xdr:pic>
      <xdr:nvPicPr>
        <xdr:cNvPr id="7" name="Picture 6">
          <a:extLst>
            <a:ext uri="{FF2B5EF4-FFF2-40B4-BE49-F238E27FC236}">
              <a16:creationId xmlns:a16="http://schemas.microsoft.com/office/drawing/2014/main" id="{7183D1EF-2A7F-4533-9F9D-BEA517A09824}"/>
            </a:ext>
          </a:extLst>
        </xdr:cNvPr>
        <xdr:cNvPicPr>
          <a:picLocks noChangeAspect="1"/>
        </xdr:cNvPicPr>
      </xdr:nvPicPr>
      <xdr:blipFill>
        <a:blip xmlns:r="http://schemas.openxmlformats.org/officeDocument/2006/relationships" r:embed="rId3"/>
        <a:stretch>
          <a:fillRect/>
        </a:stretch>
      </xdr:blipFill>
      <xdr:spPr>
        <a:xfrm>
          <a:off x="176893" y="27446968"/>
          <a:ext cx="173424" cy="221490"/>
        </a:xfrm>
        <a:prstGeom prst="rect">
          <a:avLst/>
        </a:prstGeom>
      </xdr:spPr>
    </xdr:pic>
    <xdr:clientData/>
  </xdr:twoCellAnchor>
  <xdr:twoCellAnchor editAs="oneCell">
    <xdr:from>
      <xdr:col>0</xdr:col>
      <xdr:colOff>176893</xdr:colOff>
      <xdr:row>194</xdr:row>
      <xdr:rowOff>108857</xdr:rowOff>
    </xdr:from>
    <xdr:to>
      <xdr:col>1</xdr:col>
      <xdr:colOff>7417</xdr:colOff>
      <xdr:row>195</xdr:row>
      <xdr:rowOff>130322</xdr:rowOff>
    </xdr:to>
    <xdr:pic>
      <xdr:nvPicPr>
        <xdr:cNvPr id="8" name="Picture 7">
          <a:extLst>
            <a:ext uri="{FF2B5EF4-FFF2-40B4-BE49-F238E27FC236}">
              <a16:creationId xmlns:a16="http://schemas.microsoft.com/office/drawing/2014/main" id="{4CF6E3A9-6AB3-49D4-83F4-4930E5A14B6A}"/>
            </a:ext>
          </a:extLst>
        </xdr:cNvPr>
        <xdr:cNvPicPr>
          <a:picLocks noChangeAspect="1"/>
        </xdr:cNvPicPr>
      </xdr:nvPicPr>
      <xdr:blipFill>
        <a:blip xmlns:r="http://schemas.openxmlformats.org/officeDocument/2006/relationships" r:embed="rId3"/>
        <a:stretch>
          <a:fillRect/>
        </a:stretch>
      </xdr:blipFill>
      <xdr:spPr>
        <a:xfrm>
          <a:off x="176893" y="39551882"/>
          <a:ext cx="173424" cy="221490"/>
        </a:xfrm>
        <a:prstGeom prst="rect">
          <a:avLst/>
        </a:prstGeom>
      </xdr:spPr>
    </xdr:pic>
    <xdr:clientData/>
  </xdr:twoCellAnchor>
  <xdr:twoCellAnchor editAs="oneCell">
    <xdr:from>
      <xdr:col>0</xdr:col>
      <xdr:colOff>163286</xdr:colOff>
      <xdr:row>288</xdr:row>
      <xdr:rowOff>149678</xdr:rowOff>
    </xdr:from>
    <xdr:to>
      <xdr:col>0</xdr:col>
      <xdr:colOff>327639</xdr:colOff>
      <xdr:row>289</xdr:row>
      <xdr:rowOff>171143</xdr:rowOff>
    </xdr:to>
    <xdr:pic>
      <xdr:nvPicPr>
        <xdr:cNvPr id="9" name="Picture 8">
          <a:extLst>
            <a:ext uri="{FF2B5EF4-FFF2-40B4-BE49-F238E27FC236}">
              <a16:creationId xmlns:a16="http://schemas.microsoft.com/office/drawing/2014/main" id="{E3F43DA6-9B85-4D3E-83BF-B7669B0F05DD}"/>
            </a:ext>
          </a:extLst>
        </xdr:cNvPr>
        <xdr:cNvPicPr>
          <a:picLocks noChangeAspect="1"/>
        </xdr:cNvPicPr>
      </xdr:nvPicPr>
      <xdr:blipFill>
        <a:blip xmlns:r="http://schemas.openxmlformats.org/officeDocument/2006/relationships" r:embed="rId3"/>
        <a:stretch>
          <a:fillRect/>
        </a:stretch>
      </xdr:blipFill>
      <xdr:spPr>
        <a:xfrm>
          <a:off x="163286" y="58480778"/>
          <a:ext cx="164353" cy="221490"/>
        </a:xfrm>
        <a:prstGeom prst="rect">
          <a:avLst/>
        </a:prstGeom>
      </xdr:spPr>
    </xdr:pic>
    <xdr:clientData/>
  </xdr:twoCellAnchor>
  <xdr:twoCellAnchor editAs="oneCell">
    <xdr:from>
      <xdr:col>22</xdr:col>
      <xdr:colOff>0</xdr:colOff>
      <xdr:row>288</xdr:row>
      <xdr:rowOff>54429</xdr:rowOff>
    </xdr:from>
    <xdr:to>
      <xdr:col>22</xdr:col>
      <xdr:colOff>883997</xdr:colOff>
      <xdr:row>289</xdr:row>
      <xdr:rowOff>149052</xdr:rowOff>
    </xdr:to>
    <xdr:pic>
      <xdr:nvPicPr>
        <xdr:cNvPr id="10" name="Picture 9">
          <a:extLst>
            <a:ext uri="{FF2B5EF4-FFF2-40B4-BE49-F238E27FC236}">
              <a16:creationId xmlns:a16="http://schemas.microsoft.com/office/drawing/2014/main" id="{0C8E7864-9584-4FDB-8B72-92306980B6AD}"/>
            </a:ext>
          </a:extLst>
        </xdr:cNvPr>
        <xdr:cNvPicPr>
          <a:picLocks noChangeAspect="1"/>
        </xdr:cNvPicPr>
      </xdr:nvPicPr>
      <xdr:blipFill>
        <a:blip xmlns:r="http://schemas.openxmlformats.org/officeDocument/2006/relationships" r:embed="rId4"/>
        <a:stretch>
          <a:fillRect/>
        </a:stretch>
      </xdr:blipFill>
      <xdr:spPr>
        <a:xfrm>
          <a:off x="24307800" y="58385529"/>
          <a:ext cx="883997" cy="294648"/>
        </a:xfrm>
        <a:prstGeom prst="rect">
          <a:avLst/>
        </a:prstGeom>
      </xdr:spPr>
    </xdr:pic>
    <xdr:clientData/>
  </xdr:twoCellAnchor>
  <xdr:twoCellAnchor editAs="oneCell">
    <xdr:from>
      <xdr:col>22</xdr:col>
      <xdr:colOff>0</xdr:colOff>
      <xdr:row>194</xdr:row>
      <xdr:rowOff>54429</xdr:rowOff>
    </xdr:from>
    <xdr:to>
      <xdr:col>22</xdr:col>
      <xdr:colOff>883997</xdr:colOff>
      <xdr:row>195</xdr:row>
      <xdr:rowOff>149052</xdr:rowOff>
    </xdr:to>
    <xdr:pic>
      <xdr:nvPicPr>
        <xdr:cNvPr id="11" name="Picture 10">
          <a:extLst>
            <a:ext uri="{FF2B5EF4-FFF2-40B4-BE49-F238E27FC236}">
              <a16:creationId xmlns:a16="http://schemas.microsoft.com/office/drawing/2014/main" id="{C4C9DBB8-DF9F-4271-8313-F986A090DB74}"/>
            </a:ext>
          </a:extLst>
        </xdr:cNvPr>
        <xdr:cNvPicPr>
          <a:picLocks noChangeAspect="1"/>
        </xdr:cNvPicPr>
      </xdr:nvPicPr>
      <xdr:blipFill>
        <a:blip xmlns:r="http://schemas.openxmlformats.org/officeDocument/2006/relationships" r:embed="rId4"/>
        <a:stretch>
          <a:fillRect/>
        </a:stretch>
      </xdr:blipFill>
      <xdr:spPr>
        <a:xfrm>
          <a:off x="24307800" y="39497454"/>
          <a:ext cx="883997" cy="294648"/>
        </a:xfrm>
        <a:prstGeom prst="rect">
          <a:avLst/>
        </a:prstGeom>
      </xdr:spPr>
    </xdr:pic>
    <xdr:clientData/>
  </xdr:twoCellAnchor>
  <xdr:twoCellAnchor editAs="oneCell">
    <xdr:from>
      <xdr:col>21</xdr:col>
      <xdr:colOff>1238250</xdr:colOff>
      <xdr:row>134</xdr:row>
      <xdr:rowOff>54428</xdr:rowOff>
    </xdr:from>
    <xdr:to>
      <xdr:col>22</xdr:col>
      <xdr:colOff>870390</xdr:colOff>
      <xdr:row>135</xdr:row>
      <xdr:rowOff>149051</xdr:rowOff>
    </xdr:to>
    <xdr:pic>
      <xdr:nvPicPr>
        <xdr:cNvPr id="12" name="Picture 11">
          <a:extLst>
            <a:ext uri="{FF2B5EF4-FFF2-40B4-BE49-F238E27FC236}">
              <a16:creationId xmlns:a16="http://schemas.microsoft.com/office/drawing/2014/main" id="{0BCDBA3C-7B85-48E8-9C5C-63103E22D57A}"/>
            </a:ext>
          </a:extLst>
        </xdr:cNvPr>
        <xdr:cNvPicPr>
          <a:picLocks noChangeAspect="1"/>
        </xdr:cNvPicPr>
      </xdr:nvPicPr>
      <xdr:blipFill>
        <a:blip xmlns:r="http://schemas.openxmlformats.org/officeDocument/2006/relationships" r:embed="rId4"/>
        <a:stretch>
          <a:fillRect/>
        </a:stretch>
      </xdr:blipFill>
      <xdr:spPr>
        <a:xfrm>
          <a:off x="24288750" y="27419753"/>
          <a:ext cx="889440" cy="294648"/>
        </a:xfrm>
        <a:prstGeom prst="rect">
          <a:avLst/>
        </a:prstGeom>
      </xdr:spPr>
    </xdr:pic>
    <xdr:clientData/>
  </xdr:twoCellAnchor>
  <xdr:twoCellAnchor editAs="oneCell">
    <xdr:from>
      <xdr:col>22</xdr:col>
      <xdr:colOff>0</xdr:colOff>
      <xdr:row>62</xdr:row>
      <xdr:rowOff>40821</xdr:rowOff>
    </xdr:from>
    <xdr:to>
      <xdr:col>22</xdr:col>
      <xdr:colOff>883997</xdr:colOff>
      <xdr:row>63</xdr:row>
      <xdr:rowOff>135444</xdr:rowOff>
    </xdr:to>
    <xdr:pic>
      <xdr:nvPicPr>
        <xdr:cNvPr id="13" name="Picture 12">
          <a:extLst>
            <a:ext uri="{FF2B5EF4-FFF2-40B4-BE49-F238E27FC236}">
              <a16:creationId xmlns:a16="http://schemas.microsoft.com/office/drawing/2014/main" id="{0664F1E4-A4FB-4117-8515-002311D89DDC}"/>
            </a:ext>
          </a:extLst>
        </xdr:cNvPr>
        <xdr:cNvPicPr>
          <a:picLocks noChangeAspect="1"/>
        </xdr:cNvPicPr>
      </xdr:nvPicPr>
      <xdr:blipFill>
        <a:blip xmlns:r="http://schemas.openxmlformats.org/officeDocument/2006/relationships" r:embed="rId4"/>
        <a:stretch>
          <a:fillRect/>
        </a:stretch>
      </xdr:blipFill>
      <xdr:spPr>
        <a:xfrm>
          <a:off x="24307800" y="12556671"/>
          <a:ext cx="883997" cy="29464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22</xdr:col>
      <xdr:colOff>1095375</xdr:colOff>
      <xdr:row>288</xdr:row>
      <xdr:rowOff>123825</xdr:rowOff>
    </xdr:from>
    <xdr:to>
      <xdr:col>22</xdr:col>
      <xdr:colOff>1895475</xdr:colOff>
      <xdr:row>289</xdr:row>
      <xdr:rowOff>152400</xdr:rowOff>
    </xdr:to>
    <xdr:pic>
      <xdr:nvPicPr>
        <xdr:cNvPr id="2" name="Picture 1" descr="C:\WINDOWS\TEMP\~0003946.gif">
          <a:extLst>
            <a:ext uri="{FF2B5EF4-FFF2-40B4-BE49-F238E27FC236}">
              <a16:creationId xmlns:a16="http://schemas.microsoft.com/office/drawing/2014/main" id="{0E671D8E-3ACD-4E17-88F7-52CD78E70AA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58454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3" name="Picture 2" descr="C:\WINDOWS\TEMP\~0003946.gif">
          <a:extLst>
            <a:ext uri="{FF2B5EF4-FFF2-40B4-BE49-F238E27FC236}">
              <a16:creationId xmlns:a16="http://schemas.microsoft.com/office/drawing/2014/main" id="{9F046929-97C9-436D-AE7D-DCAA563A395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3959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4" name="Picture 3" descr="C:\WINDOWS\TEMP\~0003946.gif">
          <a:extLst>
            <a:ext uri="{FF2B5EF4-FFF2-40B4-BE49-F238E27FC236}">
              <a16:creationId xmlns:a16="http://schemas.microsoft.com/office/drawing/2014/main" id="{54973561-3E46-43F3-B4B9-32DD7BA56D2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27527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DC7166BC-50A0-4AF4-895D-58CFA11791A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1267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157536</xdr:rowOff>
    </xdr:to>
    <xdr:pic>
      <xdr:nvPicPr>
        <xdr:cNvPr id="6" name="Picture 5">
          <a:extLst>
            <a:ext uri="{FF2B5EF4-FFF2-40B4-BE49-F238E27FC236}">
              <a16:creationId xmlns:a16="http://schemas.microsoft.com/office/drawing/2014/main" id="{67551ADD-6708-468E-8C31-70C762B80738}"/>
            </a:ext>
          </a:extLst>
        </xdr:cNvPr>
        <xdr:cNvPicPr>
          <a:picLocks noChangeAspect="1"/>
        </xdr:cNvPicPr>
      </xdr:nvPicPr>
      <xdr:blipFill>
        <a:blip xmlns:r="http://schemas.openxmlformats.org/officeDocument/2006/relationships" r:embed="rId3"/>
        <a:stretch>
          <a:fillRect/>
        </a:stretch>
      </xdr:blipFill>
      <xdr:spPr>
        <a:xfrm>
          <a:off x="136071" y="12651921"/>
          <a:ext cx="170703" cy="221490"/>
        </a:xfrm>
        <a:prstGeom prst="rect">
          <a:avLst/>
        </a:prstGeom>
      </xdr:spPr>
    </xdr:pic>
    <xdr:clientData/>
  </xdr:twoCellAnchor>
  <xdr:twoCellAnchor editAs="oneCell">
    <xdr:from>
      <xdr:col>0</xdr:col>
      <xdr:colOff>176893</xdr:colOff>
      <xdr:row>134</xdr:row>
      <xdr:rowOff>81643</xdr:rowOff>
    </xdr:from>
    <xdr:to>
      <xdr:col>1</xdr:col>
      <xdr:colOff>7417</xdr:colOff>
      <xdr:row>135</xdr:row>
      <xdr:rowOff>103108</xdr:rowOff>
    </xdr:to>
    <xdr:pic>
      <xdr:nvPicPr>
        <xdr:cNvPr id="7" name="Picture 6">
          <a:extLst>
            <a:ext uri="{FF2B5EF4-FFF2-40B4-BE49-F238E27FC236}">
              <a16:creationId xmlns:a16="http://schemas.microsoft.com/office/drawing/2014/main" id="{5D991450-263D-4988-AD4F-D9611A887A2F}"/>
            </a:ext>
          </a:extLst>
        </xdr:cNvPr>
        <xdr:cNvPicPr>
          <a:picLocks noChangeAspect="1"/>
        </xdr:cNvPicPr>
      </xdr:nvPicPr>
      <xdr:blipFill>
        <a:blip xmlns:r="http://schemas.openxmlformats.org/officeDocument/2006/relationships" r:embed="rId3"/>
        <a:stretch>
          <a:fillRect/>
        </a:stretch>
      </xdr:blipFill>
      <xdr:spPr>
        <a:xfrm>
          <a:off x="176893" y="27446968"/>
          <a:ext cx="173424" cy="221490"/>
        </a:xfrm>
        <a:prstGeom prst="rect">
          <a:avLst/>
        </a:prstGeom>
      </xdr:spPr>
    </xdr:pic>
    <xdr:clientData/>
  </xdr:twoCellAnchor>
  <xdr:twoCellAnchor editAs="oneCell">
    <xdr:from>
      <xdr:col>0</xdr:col>
      <xdr:colOff>176893</xdr:colOff>
      <xdr:row>194</xdr:row>
      <xdr:rowOff>108857</xdr:rowOff>
    </xdr:from>
    <xdr:to>
      <xdr:col>1</xdr:col>
      <xdr:colOff>7417</xdr:colOff>
      <xdr:row>195</xdr:row>
      <xdr:rowOff>130322</xdr:rowOff>
    </xdr:to>
    <xdr:pic>
      <xdr:nvPicPr>
        <xdr:cNvPr id="8" name="Picture 7">
          <a:extLst>
            <a:ext uri="{FF2B5EF4-FFF2-40B4-BE49-F238E27FC236}">
              <a16:creationId xmlns:a16="http://schemas.microsoft.com/office/drawing/2014/main" id="{1BF8F6CF-3624-407A-AF5B-6EB5985ED097}"/>
            </a:ext>
          </a:extLst>
        </xdr:cNvPr>
        <xdr:cNvPicPr>
          <a:picLocks noChangeAspect="1"/>
        </xdr:cNvPicPr>
      </xdr:nvPicPr>
      <xdr:blipFill>
        <a:blip xmlns:r="http://schemas.openxmlformats.org/officeDocument/2006/relationships" r:embed="rId3"/>
        <a:stretch>
          <a:fillRect/>
        </a:stretch>
      </xdr:blipFill>
      <xdr:spPr>
        <a:xfrm>
          <a:off x="176893" y="39551882"/>
          <a:ext cx="173424" cy="221490"/>
        </a:xfrm>
        <a:prstGeom prst="rect">
          <a:avLst/>
        </a:prstGeom>
      </xdr:spPr>
    </xdr:pic>
    <xdr:clientData/>
  </xdr:twoCellAnchor>
  <xdr:twoCellAnchor editAs="oneCell">
    <xdr:from>
      <xdr:col>0</xdr:col>
      <xdr:colOff>163286</xdr:colOff>
      <xdr:row>288</xdr:row>
      <xdr:rowOff>149678</xdr:rowOff>
    </xdr:from>
    <xdr:to>
      <xdr:col>0</xdr:col>
      <xdr:colOff>327639</xdr:colOff>
      <xdr:row>289</xdr:row>
      <xdr:rowOff>171143</xdr:rowOff>
    </xdr:to>
    <xdr:pic>
      <xdr:nvPicPr>
        <xdr:cNvPr id="9" name="Picture 8">
          <a:extLst>
            <a:ext uri="{FF2B5EF4-FFF2-40B4-BE49-F238E27FC236}">
              <a16:creationId xmlns:a16="http://schemas.microsoft.com/office/drawing/2014/main" id="{E98A8DD4-172D-4D8E-87FD-488ED5714191}"/>
            </a:ext>
          </a:extLst>
        </xdr:cNvPr>
        <xdr:cNvPicPr>
          <a:picLocks noChangeAspect="1"/>
        </xdr:cNvPicPr>
      </xdr:nvPicPr>
      <xdr:blipFill>
        <a:blip xmlns:r="http://schemas.openxmlformats.org/officeDocument/2006/relationships" r:embed="rId3"/>
        <a:stretch>
          <a:fillRect/>
        </a:stretch>
      </xdr:blipFill>
      <xdr:spPr>
        <a:xfrm>
          <a:off x="163286" y="58480778"/>
          <a:ext cx="164353" cy="221490"/>
        </a:xfrm>
        <a:prstGeom prst="rect">
          <a:avLst/>
        </a:prstGeom>
      </xdr:spPr>
    </xdr:pic>
    <xdr:clientData/>
  </xdr:twoCellAnchor>
  <xdr:twoCellAnchor editAs="oneCell">
    <xdr:from>
      <xdr:col>22</xdr:col>
      <xdr:colOff>0</xdr:colOff>
      <xdr:row>288</xdr:row>
      <xdr:rowOff>54429</xdr:rowOff>
    </xdr:from>
    <xdr:to>
      <xdr:col>22</xdr:col>
      <xdr:colOff>883997</xdr:colOff>
      <xdr:row>289</xdr:row>
      <xdr:rowOff>149052</xdr:rowOff>
    </xdr:to>
    <xdr:pic>
      <xdr:nvPicPr>
        <xdr:cNvPr id="10" name="Picture 9">
          <a:extLst>
            <a:ext uri="{FF2B5EF4-FFF2-40B4-BE49-F238E27FC236}">
              <a16:creationId xmlns:a16="http://schemas.microsoft.com/office/drawing/2014/main" id="{0C0E7806-5E05-4734-84BC-618F3B222015}"/>
            </a:ext>
          </a:extLst>
        </xdr:cNvPr>
        <xdr:cNvPicPr>
          <a:picLocks noChangeAspect="1"/>
        </xdr:cNvPicPr>
      </xdr:nvPicPr>
      <xdr:blipFill>
        <a:blip xmlns:r="http://schemas.openxmlformats.org/officeDocument/2006/relationships" r:embed="rId4"/>
        <a:stretch>
          <a:fillRect/>
        </a:stretch>
      </xdr:blipFill>
      <xdr:spPr>
        <a:xfrm>
          <a:off x="24307800" y="58385529"/>
          <a:ext cx="883997" cy="294648"/>
        </a:xfrm>
        <a:prstGeom prst="rect">
          <a:avLst/>
        </a:prstGeom>
      </xdr:spPr>
    </xdr:pic>
    <xdr:clientData/>
  </xdr:twoCellAnchor>
  <xdr:twoCellAnchor editAs="oneCell">
    <xdr:from>
      <xdr:col>22</xdr:col>
      <xdr:colOff>0</xdr:colOff>
      <xdr:row>194</xdr:row>
      <xdr:rowOff>54429</xdr:rowOff>
    </xdr:from>
    <xdr:to>
      <xdr:col>22</xdr:col>
      <xdr:colOff>883997</xdr:colOff>
      <xdr:row>195</xdr:row>
      <xdr:rowOff>149052</xdr:rowOff>
    </xdr:to>
    <xdr:pic>
      <xdr:nvPicPr>
        <xdr:cNvPr id="11" name="Picture 10">
          <a:extLst>
            <a:ext uri="{FF2B5EF4-FFF2-40B4-BE49-F238E27FC236}">
              <a16:creationId xmlns:a16="http://schemas.microsoft.com/office/drawing/2014/main" id="{06C5DB1E-17EE-4444-9DCA-32F5361AB174}"/>
            </a:ext>
          </a:extLst>
        </xdr:cNvPr>
        <xdr:cNvPicPr>
          <a:picLocks noChangeAspect="1"/>
        </xdr:cNvPicPr>
      </xdr:nvPicPr>
      <xdr:blipFill>
        <a:blip xmlns:r="http://schemas.openxmlformats.org/officeDocument/2006/relationships" r:embed="rId4"/>
        <a:stretch>
          <a:fillRect/>
        </a:stretch>
      </xdr:blipFill>
      <xdr:spPr>
        <a:xfrm>
          <a:off x="24307800" y="39497454"/>
          <a:ext cx="883997" cy="294648"/>
        </a:xfrm>
        <a:prstGeom prst="rect">
          <a:avLst/>
        </a:prstGeom>
      </xdr:spPr>
    </xdr:pic>
    <xdr:clientData/>
  </xdr:twoCellAnchor>
  <xdr:twoCellAnchor editAs="oneCell">
    <xdr:from>
      <xdr:col>21</xdr:col>
      <xdr:colOff>1238250</xdr:colOff>
      <xdr:row>134</xdr:row>
      <xdr:rowOff>54428</xdr:rowOff>
    </xdr:from>
    <xdr:to>
      <xdr:col>22</xdr:col>
      <xdr:colOff>870390</xdr:colOff>
      <xdr:row>135</xdr:row>
      <xdr:rowOff>149051</xdr:rowOff>
    </xdr:to>
    <xdr:pic>
      <xdr:nvPicPr>
        <xdr:cNvPr id="12" name="Picture 11">
          <a:extLst>
            <a:ext uri="{FF2B5EF4-FFF2-40B4-BE49-F238E27FC236}">
              <a16:creationId xmlns:a16="http://schemas.microsoft.com/office/drawing/2014/main" id="{C9FC8F71-2F91-44AF-ACF2-1C83C4A5D5AB}"/>
            </a:ext>
          </a:extLst>
        </xdr:cNvPr>
        <xdr:cNvPicPr>
          <a:picLocks noChangeAspect="1"/>
        </xdr:cNvPicPr>
      </xdr:nvPicPr>
      <xdr:blipFill>
        <a:blip xmlns:r="http://schemas.openxmlformats.org/officeDocument/2006/relationships" r:embed="rId4"/>
        <a:stretch>
          <a:fillRect/>
        </a:stretch>
      </xdr:blipFill>
      <xdr:spPr>
        <a:xfrm>
          <a:off x="24288750" y="27419753"/>
          <a:ext cx="889440" cy="294648"/>
        </a:xfrm>
        <a:prstGeom prst="rect">
          <a:avLst/>
        </a:prstGeom>
      </xdr:spPr>
    </xdr:pic>
    <xdr:clientData/>
  </xdr:twoCellAnchor>
  <xdr:twoCellAnchor editAs="oneCell">
    <xdr:from>
      <xdr:col>22</xdr:col>
      <xdr:colOff>0</xdr:colOff>
      <xdr:row>62</xdr:row>
      <xdr:rowOff>40821</xdr:rowOff>
    </xdr:from>
    <xdr:to>
      <xdr:col>22</xdr:col>
      <xdr:colOff>883997</xdr:colOff>
      <xdr:row>63</xdr:row>
      <xdr:rowOff>135444</xdr:rowOff>
    </xdr:to>
    <xdr:pic>
      <xdr:nvPicPr>
        <xdr:cNvPr id="13" name="Picture 12">
          <a:extLst>
            <a:ext uri="{FF2B5EF4-FFF2-40B4-BE49-F238E27FC236}">
              <a16:creationId xmlns:a16="http://schemas.microsoft.com/office/drawing/2014/main" id="{B07A4481-B62A-4ED6-A6CE-B209E65F5F82}"/>
            </a:ext>
          </a:extLst>
        </xdr:cNvPr>
        <xdr:cNvPicPr>
          <a:picLocks noChangeAspect="1"/>
        </xdr:cNvPicPr>
      </xdr:nvPicPr>
      <xdr:blipFill>
        <a:blip xmlns:r="http://schemas.openxmlformats.org/officeDocument/2006/relationships" r:embed="rId4"/>
        <a:stretch>
          <a:fillRect/>
        </a:stretch>
      </xdr:blipFill>
      <xdr:spPr>
        <a:xfrm>
          <a:off x="24307800" y="12556671"/>
          <a:ext cx="883997" cy="294648"/>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22</xdr:col>
      <xdr:colOff>1095375</xdr:colOff>
      <xdr:row>288</xdr:row>
      <xdr:rowOff>123825</xdr:rowOff>
    </xdr:from>
    <xdr:to>
      <xdr:col>22</xdr:col>
      <xdr:colOff>1895475</xdr:colOff>
      <xdr:row>289</xdr:row>
      <xdr:rowOff>152400</xdr:rowOff>
    </xdr:to>
    <xdr:pic>
      <xdr:nvPicPr>
        <xdr:cNvPr id="2" name="Picture 1" descr="C:\WINDOWS\TEMP\~0003946.gif">
          <a:extLst>
            <a:ext uri="{FF2B5EF4-FFF2-40B4-BE49-F238E27FC236}">
              <a16:creationId xmlns:a16="http://schemas.microsoft.com/office/drawing/2014/main" id="{B29E1F05-2C78-4397-BBCF-060049A5DB1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58454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3" name="Picture 2" descr="C:\WINDOWS\TEMP\~0003946.gif">
          <a:extLst>
            <a:ext uri="{FF2B5EF4-FFF2-40B4-BE49-F238E27FC236}">
              <a16:creationId xmlns:a16="http://schemas.microsoft.com/office/drawing/2014/main" id="{CB30FAAC-E604-45DA-8BD7-E1B37B736E3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3959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4" name="Picture 3" descr="C:\WINDOWS\TEMP\~0003946.gif">
          <a:extLst>
            <a:ext uri="{FF2B5EF4-FFF2-40B4-BE49-F238E27FC236}">
              <a16:creationId xmlns:a16="http://schemas.microsoft.com/office/drawing/2014/main" id="{72AAD811-2EF4-4B93-BDC8-3239E954D84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27527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B0D966C6-CAB1-4657-B70B-64B686D980E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1267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157536</xdr:rowOff>
    </xdr:to>
    <xdr:pic>
      <xdr:nvPicPr>
        <xdr:cNvPr id="6" name="Picture 5">
          <a:extLst>
            <a:ext uri="{FF2B5EF4-FFF2-40B4-BE49-F238E27FC236}">
              <a16:creationId xmlns:a16="http://schemas.microsoft.com/office/drawing/2014/main" id="{73D1052D-CD12-4052-8EA0-F86E3B9F4145}"/>
            </a:ext>
          </a:extLst>
        </xdr:cNvPr>
        <xdr:cNvPicPr>
          <a:picLocks noChangeAspect="1"/>
        </xdr:cNvPicPr>
      </xdr:nvPicPr>
      <xdr:blipFill>
        <a:blip xmlns:r="http://schemas.openxmlformats.org/officeDocument/2006/relationships" r:embed="rId3"/>
        <a:stretch>
          <a:fillRect/>
        </a:stretch>
      </xdr:blipFill>
      <xdr:spPr>
        <a:xfrm>
          <a:off x="136071" y="12651921"/>
          <a:ext cx="170703" cy="221490"/>
        </a:xfrm>
        <a:prstGeom prst="rect">
          <a:avLst/>
        </a:prstGeom>
      </xdr:spPr>
    </xdr:pic>
    <xdr:clientData/>
  </xdr:twoCellAnchor>
  <xdr:twoCellAnchor editAs="oneCell">
    <xdr:from>
      <xdr:col>0</xdr:col>
      <xdr:colOff>176893</xdr:colOff>
      <xdr:row>134</xdr:row>
      <xdr:rowOff>81643</xdr:rowOff>
    </xdr:from>
    <xdr:to>
      <xdr:col>1</xdr:col>
      <xdr:colOff>7417</xdr:colOff>
      <xdr:row>135</xdr:row>
      <xdr:rowOff>103108</xdr:rowOff>
    </xdr:to>
    <xdr:pic>
      <xdr:nvPicPr>
        <xdr:cNvPr id="7" name="Picture 6">
          <a:extLst>
            <a:ext uri="{FF2B5EF4-FFF2-40B4-BE49-F238E27FC236}">
              <a16:creationId xmlns:a16="http://schemas.microsoft.com/office/drawing/2014/main" id="{5335A76E-C154-4062-8665-3C4C5C5225BA}"/>
            </a:ext>
          </a:extLst>
        </xdr:cNvPr>
        <xdr:cNvPicPr>
          <a:picLocks noChangeAspect="1"/>
        </xdr:cNvPicPr>
      </xdr:nvPicPr>
      <xdr:blipFill>
        <a:blip xmlns:r="http://schemas.openxmlformats.org/officeDocument/2006/relationships" r:embed="rId3"/>
        <a:stretch>
          <a:fillRect/>
        </a:stretch>
      </xdr:blipFill>
      <xdr:spPr>
        <a:xfrm>
          <a:off x="176893" y="27446968"/>
          <a:ext cx="173424" cy="221490"/>
        </a:xfrm>
        <a:prstGeom prst="rect">
          <a:avLst/>
        </a:prstGeom>
      </xdr:spPr>
    </xdr:pic>
    <xdr:clientData/>
  </xdr:twoCellAnchor>
  <xdr:twoCellAnchor editAs="oneCell">
    <xdr:from>
      <xdr:col>0</xdr:col>
      <xdr:colOff>176893</xdr:colOff>
      <xdr:row>194</xdr:row>
      <xdr:rowOff>108857</xdr:rowOff>
    </xdr:from>
    <xdr:to>
      <xdr:col>1</xdr:col>
      <xdr:colOff>7417</xdr:colOff>
      <xdr:row>195</xdr:row>
      <xdr:rowOff>130322</xdr:rowOff>
    </xdr:to>
    <xdr:pic>
      <xdr:nvPicPr>
        <xdr:cNvPr id="8" name="Picture 7">
          <a:extLst>
            <a:ext uri="{FF2B5EF4-FFF2-40B4-BE49-F238E27FC236}">
              <a16:creationId xmlns:a16="http://schemas.microsoft.com/office/drawing/2014/main" id="{405D16FA-AB5A-4EE8-8EC2-195064A3BEF8}"/>
            </a:ext>
          </a:extLst>
        </xdr:cNvPr>
        <xdr:cNvPicPr>
          <a:picLocks noChangeAspect="1"/>
        </xdr:cNvPicPr>
      </xdr:nvPicPr>
      <xdr:blipFill>
        <a:blip xmlns:r="http://schemas.openxmlformats.org/officeDocument/2006/relationships" r:embed="rId3"/>
        <a:stretch>
          <a:fillRect/>
        </a:stretch>
      </xdr:blipFill>
      <xdr:spPr>
        <a:xfrm>
          <a:off x="176893" y="39551882"/>
          <a:ext cx="173424" cy="221490"/>
        </a:xfrm>
        <a:prstGeom prst="rect">
          <a:avLst/>
        </a:prstGeom>
      </xdr:spPr>
    </xdr:pic>
    <xdr:clientData/>
  </xdr:twoCellAnchor>
  <xdr:twoCellAnchor editAs="oneCell">
    <xdr:from>
      <xdr:col>0</xdr:col>
      <xdr:colOff>163286</xdr:colOff>
      <xdr:row>288</xdr:row>
      <xdr:rowOff>149678</xdr:rowOff>
    </xdr:from>
    <xdr:to>
      <xdr:col>1</xdr:col>
      <xdr:colOff>1068</xdr:colOff>
      <xdr:row>289</xdr:row>
      <xdr:rowOff>171143</xdr:rowOff>
    </xdr:to>
    <xdr:pic>
      <xdr:nvPicPr>
        <xdr:cNvPr id="9" name="Picture 8">
          <a:extLst>
            <a:ext uri="{FF2B5EF4-FFF2-40B4-BE49-F238E27FC236}">
              <a16:creationId xmlns:a16="http://schemas.microsoft.com/office/drawing/2014/main" id="{9C7F4808-2354-4BF0-9426-DE5B217A013B}"/>
            </a:ext>
          </a:extLst>
        </xdr:cNvPr>
        <xdr:cNvPicPr>
          <a:picLocks noChangeAspect="1"/>
        </xdr:cNvPicPr>
      </xdr:nvPicPr>
      <xdr:blipFill>
        <a:blip xmlns:r="http://schemas.openxmlformats.org/officeDocument/2006/relationships" r:embed="rId3"/>
        <a:stretch>
          <a:fillRect/>
        </a:stretch>
      </xdr:blipFill>
      <xdr:spPr>
        <a:xfrm>
          <a:off x="163286" y="58480778"/>
          <a:ext cx="164353" cy="221490"/>
        </a:xfrm>
        <a:prstGeom prst="rect">
          <a:avLst/>
        </a:prstGeom>
      </xdr:spPr>
    </xdr:pic>
    <xdr:clientData/>
  </xdr:twoCellAnchor>
  <xdr:twoCellAnchor editAs="oneCell">
    <xdr:from>
      <xdr:col>22</xdr:col>
      <xdr:colOff>0</xdr:colOff>
      <xdr:row>288</xdr:row>
      <xdr:rowOff>54429</xdr:rowOff>
    </xdr:from>
    <xdr:to>
      <xdr:col>22</xdr:col>
      <xdr:colOff>883997</xdr:colOff>
      <xdr:row>289</xdr:row>
      <xdr:rowOff>149052</xdr:rowOff>
    </xdr:to>
    <xdr:pic>
      <xdr:nvPicPr>
        <xdr:cNvPr id="10" name="Picture 9">
          <a:extLst>
            <a:ext uri="{FF2B5EF4-FFF2-40B4-BE49-F238E27FC236}">
              <a16:creationId xmlns:a16="http://schemas.microsoft.com/office/drawing/2014/main" id="{10A2FBF3-91E5-4FF3-814B-D442F0FB7C25}"/>
            </a:ext>
          </a:extLst>
        </xdr:cNvPr>
        <xdr:cNvPicPr>
          <a:picLocks noChangeAspect="1"/>
        </xdr:cNvPicPr>
      </xdr:nvPicPr>
      <xdr:blipFill>
        <a:blip xmlns:r="http://schemas.openxmlformats.org/officeDocument/2006/relationships" r:embed="rId4"/>
        <a:stretch>
          <a:fillRect/>
        </a:stretch>
      </xdr:blipFill>
      <xdr:spPr>
        <a:xfrm>
          <a:off x="24307800" y="58385529"/>
          <a:ext cx="883997" cy="294648"/>
        </a:xfrm>
        <a:prstGeom prst="rect">
          <a:avLst/>
        </a:prstGeom>
      </xdr:spPr>
    </xdr:pic>
    <xdr:clientData/>
  </xdr:twoCellAnchor>
  <xdr:twoCellAnchor editAs="oneCell">
    <xdr:from>
      <xdr:col>22</xdr:col>
      <xdr:colOff>0</xdr:colOff>
      <xdr:row>194</xdr:row>
      <xdr:rowOff>54429</xdr:rowOff>
    </xdr:from>
    <xdr:to>
      <xdr:col>22</xdr:col>
      <xdr:colOff>883997</xdr:colOff>
      <xdr:row>195</xdr:row>
      <xdr:rowOff>149052</xdr:rowOff>
    </xdr:to>
    <xdr:pic>
      <xdr:nvPicPr>
        <xdr:cNvPr id="11" name="Picture 10">
          <a:extLst>
            <a:ext uri="{FF2B5EF4-FFF2-40B4-BE49-F238E27FC236}">
              <a16:creationId xmlns:a16="http://schemas.microsoft.com/office/drawing/2014/main" id="{1A2DBF94-469B-43A7-A98B-5839EF29D463}"/>
            </a:ext>
          </a:extLst>
        </xdr:cNvPr>
        <xdr:cNvPicPr>
          <a:picLocks noChangeAspect="1"/>
        </xdr:cNvPicPr>
      </xdr:nvPicPr>
      <xdr:blipFill>
        <a:blip xmlns:r="http://schemas.openxmlformats.org/officeDocument/2006/relationships" r:embed="rId4"/>
        <a:stretch>
          <a:fillRect/>
        </a:stretch>
      </xdr:blipFill>
      <xdr:spPr>
        <a:xfrm>
          <a:off x="24307800" y="39497454"/>
          <a:ext cx="883997" cy="294648"/>
        </a:xfrm>
        <a:prstGeom prst="rect">
          <a:avLst/>
        </a:prstGeom>
      </xdr:spPr>
    </xdr:pic>
    <xdr:clientData/>
  </xdr:twoCellAnchor>
  <xdr:twoCellAnchor editAs="oneCell">
    <xdr:from>
      <xdr:col>21</xdr:col>
      <xdr:colOff>1238250</xdr:colOff>
      <xdr:row>134</xdr:row>
      <xdr:rowOff>54428</xdr:rowOff>
    </xdr:from>
    <xdr:to>
      <xdr:col>22</xdr:col>
      <xdr:colOff>870390</xdr:colOff>
      <xdr:row>135</xdr:row>
      <xdr:rowOff>149051</xdr:rowOff>
    </xdr:to>
    <xdr:pic>
      <xdr:nvPicPr>
        <xdr:cNvPr id="12" name="Picture 11">
          <a:extLst>
            <a:ext uri="{FF2B5EF4-FFF2-40B4-BE49-F238E27FC236}">
              <a16:creationId xmlns:a16="http://schemas.microsoft.com/office/drawing/2014/main" id="{C8D483AE-229C-46F2-A4E1-36D7B82F46A6}"/>
            </a:ext>
          </a:extLst>
        </xdr:cNvPr>
        <xdr:cNvPicPr>
          <a:picLocks noChangeAspect="1"/>
        </xdr:cNvPicPr>
      </xdr:nvPicPr>
      <xdr:blipFill>
        <a:blip xmlns:r="http://schemas.openxmlformats.org/officeDocument/2006/relationships" r:embed="rId4"/>
        <a:stretch>
          <a:fillRect/>
        </a:stretch>
      </xdr:blipFill>
      <xdr:spPr>
        <a:xfrm>
          <a:off x="24288750" y="27419753"/>
          <a:ext cx="889440" cy="294648"/>
        </a:xfrm>
        <a:prstGeom prst="rect">
          <a:avLst/>
        </a:prstGeom>
      </xdr:spPr>
    </xdr:pic>
    <xdr:clientData/>
  </xdr:twoCellAnchor>
  <xdr:twoCellAnchor editAs="oneCell">
    <xdr:from>
      <xdr:col>22</xdr:col>
      <xdr:colOff>0</xdr:colOff>
      <xdr:row>62</xdr:row>
      <xdr:rowOff>40821</xdr:rowOff>
    </xdr:from>
    <xdr:to>
      <xdr:col>22</xdr:col>
      <xdr:colOff>883997</xdr:colOff>
      <xdr:row>63</xdr:row>
      <xdr:rowOff>135444</xdr:rowOff>
    </xdr:to>
    <xdr:pic>
      <xdr:nvPicPr>
        <xdr:cNvPr id="13" name="Picture 12">
          <a:extLst>
            <a:ext uri="{FF2B5EF4-FFF2-40B4-BE49-F238E27FC236}">
              <a16:creationId xmlns:a16="http://schemas.microsoft.com/office/drawing/2014/main" id="{FADB6EE8-D524-46AA-8D93-023B8A5757BD}"/>
            </a:ext>
          </a:extLst>
        </xdr:cNvPr>
        <xdr:cNvPicPr>
          <a:picLocks noChangeAspect="1"/>
        </xdr:cNvPicPr>
      </xdr:nvPicPr>
      <xdr:blipFill>
        <a:blip xmlns:r="http://schemas.openxmlformats.org/officeDocument/2006/relationships" r:embed="rId4"/>
        <a:stretch>
          <a:fillRect/>
        </a:stretch>
      </xdr:blipFill>
      <xdr:spPr>
        <a:xfrm>
          <a:off x="24307800" y="12556671"/>
          <a:ext cx="883997" cy="29464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22</xdr:col>
      <xdr:colOff>1095375</xdr:colOff>
      <xdr:row>288</xdr:row>
      <xdr:rowOff>123825</xdr:rowOff>
    </xdr:from>
    <xdr:to>
      <xdr:col>22</xdr:col>
      <xdr:colOff>1895475</xdr:colOff>
      <xdr:row>289</xdr:row>
      <xdr:rowOff>152400</xdr:rowOff>
    </xdr:to>
    <xdr:pic>
      <xdr:nvPicPr>
        <xdr:cNvPr id="2" name="Picture 1" descr="C:\WINDOWS\TEMP\~0003946.gif">
          <a:extLst>
            <a:ext uri="{FF2B5EF4-FFF2-40B4-BE49-F238E27FC236}">
              <a16:creationId xmlns:a16="http://schemas.microsoft.com/office/drawing/2014/main" id="{ED428A64-C130-468E-A664-2C0F896369D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58454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3" name="Picture 2" descr="C:\WINDOWS\TEMP\~0003946.gif">
          <a:extLst>
            <a:ext uri="{FF2B5EF4-FFF2-40B4-BE49-F238E27FC236}">
              <a16:creationId xmlns:a16="http://schemas.microsoft.com/office/drawing/2014/main" id="{3CF6CC18-EABE-42B2-820C-5E37364E666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3959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4" name="Picture 3" descr="C:\WINDOWS\TEMP\~0003946.gif">
          <a:extLst>
            <a:ext uri="{FF2B5EF4-FFF2-40B4-BE49-F238E27FC236}">
              <a16:creationId xmlns:a16="http://schemas.microsoft.com/office/drawing/2014/main" id="{A9B537B0-2E0C-4147-A218-0DE904AD8E0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27527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59026E5F-9B9A-4D90-B3D2-20F9E415B6D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1267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157536</xdr:rowOff>
    </xdr:to>
    <xdr:pic>
      <xdr:nvPicPr>
        <xdr:cNvPr id="6" name="Picture 5">
          <a:extLst>
            <a:ext uri="{FF2B5EF4-FFF2-40B4-BE49-F238E27FC236}">
              <a16:creationId xmlns:a16="http://schemas.microsoft.com/office/drawing/2014/main" id="{22E6A69A-87B4-43FC-A4A5-6688A541AE5C}"/>
            </a:ext>
          </a:extLst>
        </xdr:cNvPr>
        <xdr:cNvPicPr>
          <a:picLocks noChangeAspect="1"/>
        </xdr:cNvPicPr>
      </xdr:nvPicPr>
      <xdr:blipFill>
        <a:blip xmlns:r="http://schemas.openxmlformats.org/officeDocument/2006/relationships" r:embed="rId3"/>
        <a:stretch>
          <a:fillRect/>
        </a:stretch>
      </xdr:blipFill>
      <xdr:spPr>
        <a:xfrm>
          <a:off x="136071" y="12651921"/>
          <a:ext cx="170703" cy="221490"/>
        </a:xfrm>
        <a:prstGeom prst="rect">
          <a:avLst/>
        </a:prstGeom>
      </xdr:spPr>
    </xdr:pic>
    <xdr:clientData/>
  </xdr:twoCellAnchor>
  <xdr:twoCellAnchor editAs="oneCell">
    <xdr:from>
      <xdr:col>0</xdr:col>
      <xdr:colOff>176893</xdr:colOff>
      <xdr:row>134</xdr:row>
      <xdr:rowOff>81643</xdr:rowOff>
    </xdr:from>
    <xdr:to>
      <xdr:col>1</xdr:col>
      <xdr:colOff>7417</xdr:colOff>
      <xdr:row>135</xdr:row>
      <xdr:rowOff>103108</xdr:rowOff>
    </xdr:to>
    <xdr:pic>
      <xdr:nvPicPr>
        <xdr:cNvPr id="7" name="Picture 6">
          <a:extLst>
            <a:ext uri="{FF2B5EF4-FFF2-40B4-BE49-F238E27FC236}">
              <a16:creationId xmlns:a16="http://schemas.microsoft.com/office/drawing/2014/main" id="{EDD7F104-9C99-47A8-9E6E-46B7270A531D}"/>
            </a:ext>
          </a:extLst>
        </xdr:cNvPr>
        <xdr:cNvPicPr>
          <a:picLocks noChangeAspect="1"/>
        </xdr:cNvPicPr>
      </xdr:nvPicPr>
      <xdr:blipFill>
        <a:blip xmlns:r="http://schemas.openxmlformats.org/officeDocument/2006/relationships" r:embed="rId3"/>
        <a:stretch>
          <a:fillRect/>
        </a:stretch>
      </xdr:blipFill>
      <xdr:spPr>
        <a:xfrm>
          <a:off x="176893" y="27446968"/>
          <a:ext cx="173424" cy="221490"/>
        </a:xfrm>
        <a:prstGeom prst="rect">
          <a:avLst/>
        </a:prstGeom>
      </xdr:spPr>
    </xdr:pic>
    <xdr:clientData/>
  </xdr:twoCellAnchor>
  <xdr:twoCellAnchor editAs="oneCell">
    <xdr:from>
      <xdr:col>0</xdr:col>
      <xdr:colOff>176893</xdr:colOff>
      <xdr:row>194</xdr:row>
      <xdr:rowOff>108857</xdr:rowOff>
    </xdr:from>
    <xdr:to>
      <xdr:col>1</xdr:col>
      <xdr:colOff>7417</xdr:colOff>
      <xdr:row>195</xdr:row>
      <xdr:rowOff>130322</xdr:rowOff>
    </xdr:to>
    <xdr:pic>
      <xdr:nvPicPr>
        <xdr:cNvPr id="8" name="Picture 7">
          <a:extLst>
            <a:ext uri="{FF2B5EF4-FFF2-40B4-BE49-F238E27FC236}">
              <a16:creationId xmlns:a16="http://schemas.microsoft.com/office/drawing/2014/main" id="{52464752-B7D8-4846-B2F1-C3C2280A1818}"/>
            </a:ext>
          </a:extLst>
        </xdr:cNvPr>
        <xdr:cNvPicPr>
          <a:picLocks noChangeAspect="1"/>
        </xdr:cNvPicPr>
      </xdr:nvPicPr>
      <xdr:blipFill>
        <a:blip xmlns:r="http://schemas.openxmlformats.org/officeDocument/2006/relationships" r:embed="rId3"/>
        <a:stretch>
          <a:fillRect/>
        </a:stretch>
      </xdr:blipFill>
      <xdr:spPr>
        <a:xfrm>
          <a:off x="176893" y="39551882"/>
          <a:ext cx="173424" cy="221490"/>
        </a:xfrm>
        <a:prstGeom prst="rect">
          <a:avLst/>
        </a:prstGeom>
      </xdr:spPr>
    </xdr:pic>
    <xdr:clientData/>
  </xdr:twoCellAnchor>
  <xdr:twoCellAnchor editAs="oneCell">
    <xdr:from>
      <xdr:col>0</xdr:col>
      <xdr:colOff>163286</xdr:colOff>
      <xdr:row>288</xdr:row>
      <xdr:rowOff>149678</xdr:rowOff>
    </xdr:from>
    <xdr:to>
      <xdr:col>1</xdr:col>
      <xdr:colOff>1068</xdr:colOff>
      <xdr:row>289</xdr:row>
      <xdr:rowOff>171143</xdr:rowOff>
    </xdr:to>
    <xdr:pic>
      <xdr:nvPicPr>
        <xdr:cNvPr id="9" name="Picture 8">
          <a:extLst>
            <a:ext uri="{FF2B5EF4-FFF2-40B4-BE49-F238E27FC236}">
              <a16:creationId xmlns:a16="http://schemas.microsoft.com/office/drawing/2014/main" id="{1D29B0CA-DF60-45CA-8FAE-7956D539B6CC}"/>
            </a:ext>
          </a:extLst>
        </xdr:cNvPr>
        <xdr:cNvPicPr>
          <a:picLocks noChangeAspect="1"/>
        </xdr:cNvPicPr>
      </xdr:nvPicPr>
      <xdr:blipFill>
        <a:blip xmlns:r="http://schemas.openxmlformats.org/officeDocument/2006/relationships" r:embed="rId3"/>
        <a:stretch>
          <a:fillRect/>
        </a:stretch>
      </xdr:blipFill>
      <xdr:spPr>
        <a:xfrm>
          <a:off x="163286" y="58480778"/>
          <a:ext cx="180682" cy="221490"/>
        </a:xfrm>
        <a:prstGeom prst="rect">
          <a:avLst/>
        </a:prstGeom>
      </xdr:spPr>
    </xdr:pic>
    <xdr:clientData/>
  </xdr:twoCellAnchor>
  <xdr:twoCellAnchor editAs="oneCell">
    <xdr:from>
      <xdr:col>22</xdr:col>
      <xdr:colOff>0</xdr:colOff>
      <xdr:row>288</xdr:row>
      <xdr:rowOff>54429</xdr:rowOff>
    </xdr:from>
    <xdr:to>
      <xdr:col>22</xdr:col>
      <xdr:colOff>883997</xdr:colOff>
      <xdr:row>289</xdr:row>
      <xdr:rowOff>149052</xdr:rowOff>
    </xdr:to>
    <xdr:pic>
      <xdr:nvPicPr>
        <xdr:cNvPr id="10" name="Picture 9">
          <a:extLst>
            <a:ext uri="{FF2B5EF4-FFF2-40B4-BE49-F238E27FC236}">
              <a16:creationId xmlns:a16="http://schemas.microsoft.com/office/drawing/2014/main" id="{5CDB5851-8AC1-4958-9B09-8C402F23D8B1}"/>
            </a:ext>
          </a:extLst>
        </xdr:cNvPr>
        <xdr:cNvPicPr>
          <a:picLocks noChangeAspect="1"/>
        </xdr:cNvPicPr>
      </xdr:nvPicPr>
      <xdr:blipFill>
        <a:blip xmlns:r="http://schemas.openxmlformats.org/officeDocument/2006/relationships" r:embed="rId4"/>
        <a:stretch>
          <a:fillRect/>
        </a:stretch>
      </xdr:blipFill>
      <xdr:spPr>
        <a:xfrm>
          <a:off x="24307800" y="58385529"/>
          <a:ext cx="883997" cy="294648"/>
        </a:xfrm>
        <a:prstGeom prst="rect">
          <a:avLst/>
        </a:prstGeom>
      </xdr:spPr>
    </xdr:pic>
    <xdr:clientData/>
  </xdr:twoCellAnchor>
  <xdr:twoCellAnchor editAs="oneCell">
    <xdr:from>
      <xdr:col>22</xdr:col>
      <xdr:colOff>0</xdr:colOff>
      <xdr:row>194</xdr:row>
      <xdr:rowOff>54429</xdr:rowOff>
    </xdr:from>
    <xdr:to>
      <xdr:col>22</xdr:col>
      <xdr:colOff>883997</xdr:colOff>
      <xdr:row>195</xdr:row>
      <xdr:rowOff>149052</xdr:rowOff>
    </xdr:to>
    <xdr:pic>
      <xdr:nvPicPr>
        <xdr:cNvPr id="11" name="Picture 10">
          <a:extLst>
            <a:ext uri="{FF2B5EF4-FFF2-40B4-BE49-F238E27FC236}">
              <a16:creationId xmlns:a16="http://schemas.microsoft.com/office/drawing/2014/main" id="{007B4695-FD5D-41C6-BBD9-07AA21CF818F}"/>
            </a:ext>
          </a:extLst>
        </xdr:cNvPr>
        <xdr:cNvPicPr>
          <a:picLocks noChangeAspect="1"/>
        </xdr:cNvPicPr>
      </xdr:nvPicPr>
      <xdr:blipFill>
        <a:blip xmlns:r="http://schemas.openxmlformats.org/officeDocument/2006/relationships" r:embed="rId4"/>
        <a:stretch>
          <a:fillRect/>
        </a:stretch>
      </xdr:blipFill>
      <xdr:spPr>
        <a:xfrm>
          <a:off x="24307800" y="39497454"/>
          <a:ext cx="883997" cy="294648"/>
        </a:xfrm>
        <a:prstGeom prst="rect">
          <a:avLst/>
        </a:prstGeom>
      </xdr:spPr>
    </xdr:pic>
    <xdr:clientData/>
  </xdr:twoCellAnchor>
  <xdr:twoCellAnchor editAs="oneCell">
    <xdr:from>
      <xdr:col>21</xdr:col>
      <xdr:colOff>1238250</xdr:colOff>
      <xdr:row>134</xdr:row>
      <xdr:rowOff>54428</xdr:rowOff>
    </xdr:from>
    <xdr:to>
      <xdr:col>22</xdr:col>
      <xdr:colOff>870390</xdr:colOff>
      <xdr:row>135</xdr:row>
      <xdr:rowOff>149051</xdr:rowOff>
    </xdr:to>
    <xdr:pic>
      <xdr:nvPicPr>
        <xdr:cNvPr id="12" name="Picture 11">
          <a:extLst>
            <a:ext uri="{FF2B5EF4-FFF2-40B4-BE49-F238E27FC236}">
              <a16:creationId xmlns:a16="http://schemas.microsoft.com/office/drawing/2014/main" id="{FD1715F2-C496-4B0D-9E25-95219CD8B74A}"/>
            </a:ext>
          </a:extLst>
        </xdr:cNvPr>
        <xdr:cNvPicPr>
          <a:picLocks noChangeAspect="1"/>
        </xdr:cNvPicPr>
      </xdr:nvPicPr>
      <xdr:blipFill>
        <a:blip xmlns:r="http://schemas.openxmlformats.org/officeDocument/2006/relationships" r:embed="rId4"/>
        <a:stretch>
          <a:fillRect/>
        </a:stretch>
      </xdr:blipFill>
      <xdr:spPr>
        <a:xfrm>
          <a:off x="24288750" y="27419753"/>
          <a:ext cx="889440" cy="294648"/>
        </a:xfrm>
        <a:prstGeom prst="rect">
          <a:avLst/>
        </a:prstGeom>
      </xdr:spPr>
    </xdr:pic>
    <xdr:clientData/>
  </xdr:twoCellAnchor>
  <xdr:twoCellAnchor editAs="oneCell">
    <xdr:from>
      <xdr:col>22</xdr:col>
      <xdr:colOff>0</xdr:colOff>
      <xdr:row>62</xdr:row>
      <xdr:rowOff>40821</xdr:rowOff>
    </xdr:from>
    <xdr:to>
      <xdr:col>22</xdr:col>
      <xdr:colOff>883997</xdr:colOff>
      <xdr:row>63</xdr:row>
      <xdr:rowOff>135444</xdr:rowOff>
    </xdr:to>
    <xdr:pic>
      <xdr:nvPicPr>
        <xdr:cNvPr id="13" name="Picture 12">
          <a:extLst>
            <a:ext uri="{FF2B5EF4-FFF2-40B4-BE49-F238E27FC236}">
              <a16:creationId xmlns:a16="http://schemas.microsoft.com/office/drawing/2014/main" id="{CFF27525-C6CE-4230-9B00-84907C01D097}"/>
            </a:ext>
          </a:extLst>
        </xdr:cNvPr>
        <xdr:cNvPicPr>
          <a:picLocks noChangeAspect="1"/>
        </xdr:cNvPicPr>
      </xdr:nvPicPr>
      <xdr:blipFill>
        <a:blip xmlns:r="http://schemas.openxmlformats.org/officeDocument/2006/relationships" r:embed="rId4"/>
        <a:stretch>
          <a:fillRect/>
        </a:stretch>
      </xdr:blipFill>
      <xdr:spPr>
        <a:xfrm>
          <a:off x="24307800" y="12556671"/>
          <a:ext cx="883997" cy="2946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9553" name="Picture 1" descr="C:\WINDOWS\TEMP\Symbol.gif">
          <a:extLst>
            <a:ext uri="{FF2B5EF4-FFF2-40B4-BE49-F238E27FC236}">
              <a16:creationId xmlns:a16="http://schemas.microsoft.com/office/drawing/2014/main" id="{00000000-0008-0000-0400-0000A1E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59554" name="Picture 2" descr="C:\WINDOWS\TEMP\Symbol.gif">
          <a:extLst>
            <a:ext uri="{FF2B5EF4-FFF2-40B4-BE49-F238E27FC236}">
              <a16:creationId xmlns:a16="http://schemas.microsoft.com/office/drawing/2014/main" id="{00000000-0008-0000-0400-0000A2E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59555" name="Picture 3" descr="C:\WINDOWS\TEMP\Symbol.gif">
          <a:extLst>
            <a:ext uri="{FF2B5EF4-FFF2-40B4-BE49-F238E27FC236}">
              <a16:creationId xmlns:a16="http://schemas.microsoft.com/office/drawing/2014/main" id="{00000000-0008-0000-0400-0000A3E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59556" name="Picture 4" descr="C:\WINDOWS\TEMP\Symbol.gif">
          <a:extLst>
            <a:ext uri="{FF2B5EF4-FFF2-40B4-BE49-F238E27FC236}">
              <a16:creationId xmlns:a16="http://schemas.microsoft.com/office/drawing/2014/main" id="{00000000-0008-0000-0400-0000A4E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88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275</xdr:row>
      <xdr:rowOff>123825</xdr:rowOff>
    </xdr:from>
    <xdr:to>
      <xdr:col>22</xdr:col>
      <xdr:colOff>1895475</xdr:colOff>
      <xdr:row>276</xdr:row>
      <xdr:rowOff>152400</xdr:rowOff>
    </xdr:to>
    <xdr:pic>
      <xdr:nvPicPr>
        <xdr:cNvPr id="59557" name="Picture 5" descr="C:\WINDOWS\TEMP\~0003946.gif">
          <a:extLst>
            <a:ext uri="{FF2B5EF4-FFF2-40B4-BE49-F238E27FC236}">
              <a16:creationId xmlns:a16="http://schemas.microsoft.com/office/drawing/2014/main" id="{00000000-0008-0000-0400-0000A5E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584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192</xdr:row>
      <xdr:rowOff>152400</xdr:rowOff>
    </xdr:from>
    <xdr:to>
      <xdr:col>22</xdr:col>
      <xdr:colOff>1924050</xdr:colOff>
      <xdr:row>193</xdr:row>
      <xdr:rowOff>180975</xdr:rowOff>
    </xdr:to>
    <xdr:pic>
      <xdr:nvPicPr>
        <xdr:cNvPr id="59558" name="Picture 6" descr="C:\WINDOWS\TEMP\~0003946.gif">
          <a:extLst>
            <a:ext uri="{FF2B5EF4-FFF2-40B4-BE49-F238E27FC236}">
              <a16:creationId xmlns:a16="http://schemas.microsoft.com/office/drawing/2014/main" id="{00000000-0008-0000-0400-0000A6E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59559" name="Picture 7" descr="C:\WINDOWS\TEMP\~0003946.gif">
          <a:extLst>
            <a:ext uri="{FF2B5EF4-FFF2-40B4-BE49-F238E27FC236}">
              <a16:creationId xmlns:a16="http://schemas.microsoft.com/office/drawing/2014/main" id="{00000000-0008-0000-0400-0000A7E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9560" name="Picture 8" descr="C:\WINDOWS\TEMP\~0003946.gif">
          <a:extLst>
            <a:ext uri="{FF2B5EF4-FFF2-40B4-BE49-F238E27FC236}">
              <a16:creationId xmlns:a16="http://schemas.microsoft.com/office/drawing/2014/main" id="{00000000-0008-0000-0400-0000A8E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59561" name="Picture 9" descr="C:\WINDOWS\TEMP\~0003946.gif">
          <a:extLst>
            <a:ext uri="{FF2B5EF4-FFF2-40B4-BE49-F238E27FC236}">
              <a16:creationId xmlns:a16="http://schemas.microsoft.com/office/drawing/2014/main" id="{00000000-0008-0000-0400-0000A9E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59562" name="Picture 10" descr="C:\WINDOWS\TEMP\~0003946.gif">
          <a:extLst>
            <a:ext uri="{FF2B5EF4-FFF2-40B4-BE49-F238E27FC236}">
              <a16:creationId xmlns:a16="http://schemas.microsoft.com/office/drawing/2014/main" id="{00000000-0008-0000-0400-0000AAE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192</xdr:row>
      <xdr:rowOff>104775</xdr:rowOff>
    </xdr:from>
    <xdr:to>
      <xdr:col>22</xdr:col>
      <xdr:colOff>809625</xdr:colOff>
      <xdr:row>193</xdr:row>
      <xdr:rowOff>133350</xdr:rowOff>
    </xdr:to>
    <xdr:pic>
      <xdr:nvPicPr>
        <xdr:cNvPr id="59563" name="Picture 11" descr="C:\WINDOWS\TEMP\~0003946.gif">
          <a:extLst>
            <a:ext uri="{FF2B5EF4-FFF2-40B4-BE49-F238E27FC236}">
              <a16:creationId xmlns:a16="http://schemas.microsoft.com/office/drawing/2014/main" id="{00000000-0008-0000-0400-0000ABE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275</xdr:row>
      <xdr:rowOff>104775</xdr:rowOff>
    </xdr:from>
    <xdr:to>
      <xdr:col>22</xdr:col>
      <xdr:colOff>895350</xdr:colOff>
      <xdr:row>276</xdr:row>
      <xdr:rowOff>133350</xdr:rowOff>
    </xdr:to>
    <xdr:pic>
      <xdr:nvPicPr>
        <xdr:cNvPr id="59564" name="Picture 12" descr="C:\WINDOWS\TEMP\~0003946.gif">
          <a:extLst>
            <a:ext uri="{FF2B5EF4-FFF2-40B4-BE49-F238E27FC236}">
              <a16:creationId xmlns:a16="http://schemas.microsoft.com/office/drawing/2014/main" id="{00000000-0008-0000-0400-0000ACE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582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59565" name="Picture 13" descr="logoMTL">
          <a:extLst>
            <a:ext uri="{FF2B5EF4-FFF2-40B4-BE49-F238E27FC236}">
              <a16:creationId xmlns:a16="http://schemas.microsoft.com/office/drawing/2014/main" id="{00000000-0008-0000-0400-0000ADE8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59566" name="Picture 14" descr="logoMTL">
          <a:extLst>
            <a:ext uri="{FF2B5EF4-FFF2-40B4-BE49-F238E27FC236}">
              <a16:creationId xmlns:a16="http://schemas.microsoft.com/office/drawing/2014/main" id="{00000000-0008-0000-0400-0000AEE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192</xdr:row>
      <xdr:rowOff>28575</xdr:rowOff>
    </xdr:from>
    <xdr:to>
      <xdr:col>21</xdr:col>
      <xdr:colOff>1171575</xdr:colOff>
      <xdr:row>193</xdr:row>
      <xdr:rowOff>152400</xdr:rowOff>
    </xdr:to>
    <xdr:pic>
      <xdr:nvPicPr>
        <xdr:cNvPr id="59567" name="Picture 15" descr="logoMTL">
          <a:extLst>
            <a:ext uri="{FF2B5EF4-FFF2-40B4-BE49-F238E27FC236}">
              <a16:creationId xmlns:a16="http://schemas.microsoft.com/office/drawing/2014/main" id="{00000000-0008-0000-0400-0000AFE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275</xdr:row>
      <xdr:rowOff>0</xdr:rowOff>
    </xdr:from>
    <xdr:to>
      <xdr:col>21</xdr:col>
      <xdr:colOff>1228725</xdr:colOff>
      <xdr:row>276</xdr:row>
      <xdr:rowOff>123825</xdr:rowOff>
    </xdr:to>
    <xdr:pic>
      <xdr:nvPicPr>
        <xdr:cNvPr id="59568" name="Picture 16" descr="logoMTL">
          <a:extLst>
            <a:ext uri="{FF2B5EF4-FFF2-40B4-BE49-F238E27FC236}">
              <a16:creationId xmlns:a16="http://schemas.microsoft.com/office/drawing/2014/main" id="{00000000-0008-0000-0400-0000B0E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572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22</xdr:col>
      <xdr:colOff>1095375</xdr:colOff>
      <xdr:row>288</xdr:row>
      <xdr:rowOff>123825</xdr:rowOff>
    </xdr:from>
    <xdr:to>
      <xdr:col>22</xdr:col>
      <xdr:colOff>1895475</xdr:colOff>
      <xdr:row>289</xdr:row>
      <xdr:rowOff>152400</xdr:rowOff>
    </xdr:to>
    <xdr:pic>
      <xdr:nvPicPr>
        <xdr:cNvPr id="2" name="Picture 1" descr="C:\WINDOWS\TEMP\~0003946.gif">
          <a:extLst>
            <a:ext uri="{FF2B5EF4-FFF2-40B4-BE49-F238E27FC236}">
              <a16:creationId xmlns:a16="http://schemas.microsoft.com/office/drawing/2014/main" id="{80E22E2C-F36B-48CF-AC46-6953A04535E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58454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3" name="Picture 2" descr="C:\WINDOWS\TEMP\~0003946.gif">
          <a:extLst>
            <a:ext uri="{FF2B5EF4-FFF2-40B4-BE49-F238E27FC236}">
              <a16:creationId xmlns:a16="http://schemas.microsoft.com/office/drawing/2014/main" id="{D58B6E7C-370F-4593-B8B9-0A66900ED2C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3959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4" name="Picture 3" descr="C:\WINDOWS\TEMP\~0003946.gif">
          <a:extLst>
            <a:ext uri="{FF2B5EF4-FFF2-40B4-BE49-F238E27FC236}">
              <a16:creationId xmlns:a16="http://schemas.microsoft.com/office/drawing/2014/main" id="{51C9529C-4A3C-4878-9F2A-49CA71AF8CD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27527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526E682A-0D33-43A7-91F0-55D2655FF7F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1267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157536</xdr:rowOff>
    </xdr:to>
    <xdr:pic>
      <xdr:nvPicPr>
        <xdr:cNvPr id="6" name="Picture 5">
          <a:extLst>
            <a:ext uri="{FF2B5EF4-FFF2-40B4-BE49-F238E27FC236}">
              <a16:creationId xmlns:a16="http://schemas.microsoft.com/office/drawing/2014/main" id="{3D7E0739-4794-42AF-A9DB-F532B822832D}"/>
            </a:ext>
          </a:extLst>
        </xdr:cNvPr>
        <xdr:cNvPicPr>
          <a:picLocks noChangeAspect="1"/>
        </xdr:cNvPicPr>
      </xdr:nvPicPr>
      <xdr:blipFill>
        <a:blip xmlns:r="http://schemas.openxmlformats.org/officeDocument/2006/relationships" r:embed="rId3"/>
        <a:stretch>
          <a:fillRect/>
        </a:stretch>
      </xdr:blipFill>
      <xdr:spPr>
        <a:xfrm>
          <a:off x="136071" y="12651921"/>
          <a:ext cx="170703" cy="221490"/>
        </a:xfrm>
        <a:prstGeom prst="rect">
          <a:avLst/>
        </a:prstGeom>
      </xdr:spPr>
    </xdr:pic>
    <xdr:clientData/>
  </xdr:twoCellAnchor>
  <xdr:twoCellAnchor editAs="oneCell">
    <xdr:from>
      <xdr:col>0</xdr:col>
      <xdr:colOff>176893</xdr:colOff>
      <xdr:row>134</xdr:row>
      <xdr:rowOff>81643</xdr:rowOff>
    </xdr:from>
    <xdr:to>
      <xdr:col>1</xdr:col>
      <xdr:colOff>7417</xdr:colOff>
      <xdr:row>135</xdr:row>
      <xdr:rowOff>103108</xdr:rowOff>
    </xdr:to>
    <xdr:pic>
      <xdr:nvPicPr>
        <xdr:cNvPr id="7" name="Picture 6">
          <a:extLst>
            <a:ext uri="{FF2B5EF4-FFF2-40B4-BE49-F238E27FC236}">
              <a16:creationId xmlns:a16="http://schemas.microsoft.com/office/drawing/2014/main" id="{B0FCE331-2777-46AE-8871-C94559C1D8BB}"/>
            </a:ext>
          </a:extLst>
        </xdr:cNvPr>
        <xdr:cNvPicPr>
          <a:picLocks noChangeAspect="1"/>
        </xdr:cNvPicPr>
      </xdr:nvPicPr>
      <xdr:blipFill>
        <a:blip xmlns:r="http://schemas.openxmlformats.org/officeDocument/2006/relationships" r:embed="rId3"/>
        <a:stretch>
          <a:fillRect/>
        </a:stretch>
      </xdr:blipFill>
      <xdr:spPr>
        <a:xfrm>
          <a:off x="176893" y="27446968"/>
          <a:ext cx="173424" cy="221490"/>
        </a:xfrm>
        <a:prstGeom prst="rect">
          <a:avLst/>
        </a:prstGeom>
      </xdr:spPr>
    </xdr:pic>
    <xdr:clientData/>
  </xdr:twoCellAnchor>
  <xdr:twoCellAnchor editAs="oneCell">
    <xdr:from>
      <xdr:col>0</xdr:col>
      <xdr:colOff>176893</xdr:colOff>
      <xdr:row>194</xdr:row>
      <xdr:rowOff>108857</xdr:rowOff>
    </xdr:from>
    <xdr:to>
      <xdr:col>1</xdr:col>
      <xdr:colOff>7417</xdr:colOff>
      <xdr:row>195</xdr:row>
      <xdr:rowOff>130322</xdr:rowOff>
    </xdr:to>
    <xdr:pic>
      <xdr:nvPicPr>
        <xdr:cNvPr id="8" name="Picture 7">
          <a:extLst>
            <a:ext uri="{FF2B5EF4-FFF2-40B4-BE49-F238E27FC236}">
              <a16:creationId xmlns:a16="http://schemas.microsoft.com/office/drawing/2014/main" id="{95CDA2CB-AAA0-4D35-8A0A-34C75BF83E7C}"/>
            </a:ext>
          </a:extLst>
        </xdr:cNvPr>
        <xdr:cNvPicPr>
          <a:picLocks noChangeAspect="1"/>
        </xdr:cNvPicPr>
      </xdr:nvPicPr>
      <xdr:blipFill>
        <a:blip xmlns:r="http://schemas.openxmlformats.org/officeDocument/2006/relationships" r:embed="rId3"/>
        <a:stretch>
          <a:fillRect/>
        </a:stretch>
      </xdr:blipFill>
      <xdr:spPr>
        <a:xfrm>
          <a:off x="176893" y="39551882"/>
          <a:ext cx="173424" cy="221490"/>
        </a:xfrm>
        <a:prstGeom prst="rect">
          <a:avLst/>
        </a:prstGeom>
      </xdr:spPr>
    </xdr:pic>
    <xdr:clientData/>
  </xdr:twoCellAnchor>
  <xdr:twoCellAnchor editAs="oneCell">
    <xdr:from>
      <xdr:col>0</xdr:col>
      <xdr:colOff>163286</xdr:colOff>
      <xdr:row>288</xdr:row>
      <xdr:rowOff>149678</xdr:rowOff>
    </xdr:from>
    <xdr:to>
      <xdr:col>1</xdr:col>
      <xdr:colOff>1068</xdr:colOff>
      <xdr:row>289</xdr:row>
      <xdr:rowOff>171143</xdr:rowOff>
    </xdr:to>
    <xdr:pic>
      <xdr:nvPicPr>
        <xdr:cNvPr id="9" name="Picture 8">
          <a:extLst>
            <a:ext uri="{FF2B5EF4-FFF2-40B4-BE49-F238E27FC236}">
              <a16:creationId xmlns:a16="http://schemas.microsoft.com/office/drawing/2014/main" id="{47A358B1-3145-4DCD-B28A-FD8308481225}"/>
            </a:ext>
          </a:extLst>
        </xdr:cNvPr>
        <xdr:cNvPicPr>
          <a:picLocks noChangeAspect="1"/>
        </xdr:cNvPicPr>
      </xdr:nvPicPr>
      <xdr:blipFill>
        <a:blip xmlns:r="http://schemas.openxmlformats.org/officeDocument/2006/relationships" r:embed="rId3"/>
        <a:stretch>
          <a:fillRect/>
        </a:stretch>
      </xdr:blipFill>
      <xdr:spPr>
        <a:xfrm>
          <a:off x="163286" y="58480778"/>
          <a:ext cx="180682" cy="221490"/>
        </a:xfrm>
        <a:prstGeom prst="rect">
          <a:avLst/>
        </a:prstGeom>
      </xdr:spPr>
    </xdr:pic>
    <xdr:clientData/>
  </xdr:twoCellAnchor>
  <xdr:twoCellAnchor editAs="oneCell">
    <xdr:from>
      <xdr:col>22</xdr:col>
      <xdr:colOff>0</xdr:colOff>
      <xdr:row>288</xdr:row>
      <xdr:rowOff>54429</xdr:rowOff>
    </xdr:from>
    <xdr:to>
      <xdr:col>22</xdr:col>
      <xdr:colOff>883997</xdr:colOff>
      <xdr:row>289</xdr:row>
      <xdr:rowOff>149052</xdr:rowOff>
    </xdr:to>
    <xdr:pic>
      <xdr:nvPicPr>
        <xdr:cNvPr id="10" name="Picture 9">
          <a:extLst>
            <a:ext uri="{FF2B5EF4-FFF2-40B4-BE49-F238E27FC236}">
              <a16:creationId xmlns:a16="http://schemas.microsoft.com/office/drawing/2014/main" id="{A036E192-1148-494A-97F1-30A00C928FF0}"/>
            </a:ext>
          </a:extLst>
        </xdr:cNvPr>
        <xdr:cNvPicPr>
          <a:picLocks noChangeAspect="1"/>
        </xdr:cNvPicPr>
      </xdr:nvPicPr>
      <xdr:blipFill>
        <a:blip xmlns:r="http://schemas.openxmlformats.org/officeDocument/2006/relationships" r:embed="rId4"/>
        <a:stretch>
          <a:fillRect/>
        </a:stretch>
      </xdr:blipFill>
      <xdr:spPr>
        <a:xfrm>
          <a:off x="24307800" y="58385529"/>
          <a:ext cx="883997" cy="294648"/>
        </a:xfrm>
        <a:prstGeom prst="rect">
          <a:avLst/>
        </a:prstGeom>
      </xdr:spPr>
    </xdr:pic>
    <xdr:clientData/>
  </xdr:twoCellAnchor>
  <xdr:twoCellAnchor editAs="oneCell">
    <xdr:from>
      <xdr:col>22</xdr:col>
      <xdr:colOff>0</xdr:colOff>
      <xdr:row>194</xdr:row>
      <xdr:rowOff>54429</xdr:rowOff>
    </xdr:from>
    <xdr:to>
      <xdr:col>22</xdr:col>
      <xdr:colOff>883997</xdr:colOff>
      <xdr:row>195</xdr:row>
      <xdr:rowOff>149052</xdr:rowOff>
    </xdr:to>
    <xdr:pic>
      <xdr:nvPicPr>
        <xdr:cNvPr id="11" name="Picture 10">
          <a:extLst>
            <a:ext uri="{FF2B5EF4-FFF2-40B4-BE49-F238E27FC236}">
              <a16:creationId xmlns:a16="http://schemas.microsoft.com/office/drawing/2014/main" id="{FF56AD12-4AE6-46AA-91D2-E9769C176332}"/>
            </a:ext>
          </a:extLst>
        </xdr:cNvPr>
        <xdr:cNvPicPr>
          <a:picLocks noChangeAspect="1"/>
        </xdr:cNvPicPr>
      </xdr:nvPicPr>
      <xdr:blipFill>
        <a:blip xmlns:r="http://schemas.openxmlformats.org/officeDocument/2006/relationships" r:embed="rId4"/>
        <a:stretch>
          <a:fillRect/>
        </a:stretch>
      </xdr:blipFill>
      <xdr:spPr>
        <a:xfrm>
          <a:off x="24307800" y="39497454"/>
          <a:ext cx="883997" cy="294648"/>
        </a:xfrm>
        <a:prstGeom prst="rect">
          <a:avLst/>
        </a:prstGeom>
      </xdr:spPr>
    </xdr:pic>
    <xdr:clientData/>
  </xdr:twoCellAnchor>
  <xdr:twoCellAnchor editAs="oneCell">
    <xdr:from>
      <xdr:col>21</xdr:col>
      <xdr:colOff>1238250</xdr:colOff>
      <xdr:row>134</xdr:row>
      <xdr:rowOff>54428</xdr:rowOff>
    </xdr:from>
    <xdr:to>
      <xdr:col>22</xdr:col>
      <xdr:colOff>870390</xdr:colOff>
      <xdr:row>135</xdr:row>
      <xdr:rowOff>149051</xdr:rowOff>
    </xdr:to>
    <xdr:pic>
      <xdr:nvPicPr>
        <xdr:cNvPr id="12" name="Picture 11">
          <a:extLst>
            <a:ext uri="{FF2B5EF4-FFF2-40B4-BE49-F238E27FC236}">
              <a16:creationId xmlns:a16="http://schemas.microsoft.com/office/drawing/2014/main" id="{FC717231-A9EA-4073-9CA3-2E57385F5715}"/>
            </a:ext>
          </a:extLst>
        </xdr:cNvPr>
        <xdr:cNvPicPr>
          <a:picLocks noChangeAspect="1"/>
        </xdr:cNvPicPr>
      </xdr:nvPicPr>
      <xdr:blipFill>
        <a:blip xmlns:r="http://schemas.openxmlformats.org/officeDocument/2006/relationships" r:embed="rId4"/>
        <a:stretch>
          <a:fillRect/>
        </a:stretch>
      </xdr:blipFill>
      <xdr:spPr>
        <a:xfrm>
          <a:off x="24288750" y="27419753"/>
          <a:ext cx="889440" cy="294648"/>
        </a:xfrm>
        <a:prstGeom prst="rect">
          <a:avLst/>
        </a:prstGeom>
      </xdr:spPr>
    </xdr:pic>
    <xdr:clientData/>
  </xdr:twoCellAnchor>
  <xdr:twoCellAnchor editAs="oneCell">
    <xdr:from>
      <xdr:col>22</xdr:col>
      <xdr:colOff>0</xdr:colOff>
      <xdr:row>62</xdr:row>
      <xdr:rowOff>40821</xdr:rowOff>
    </xdr:from>
    <xdr:to>
      <xdr:col>22</xdr:col>
      <xdr:colOff>883997</xdr:colOff>
      <xdr:row>63</xdr:row>
      <xdr:rowOff>135444</xdr:rowOff>
    </xdr:to>
    <xdr:pic>
      <xdr:nvPicPr>
        <xdr:cNvPr id="13" name="Picture 12">
          <a:extLst>
            <a:ext uri="{FF2B5EF4-FFF2-40B4-BE49-F238E27FC236}">
              <a16:creationId xmlns:a16="http://schemas.microsoft.com/office/drawing/2014/main" id="{86DFC56E-8CB2-4147-ABC1-E1C00F44AA75}"/>
            </a:ext>
          </a:extLst>
        </xdr:cNvPr>
        <xdr:cNvPicPr>
          <a:picLocks noChangeAspect="1"/>
        </xdr:cNvPicPr>
      </xdr:nvPicPr>
      <xdr:blipFill>
        <a:blip xmlns:r="http://schemas.openxmlformats.org/officeDocument/2006/relationships" r:embed="rId4"/>
        <a:stretch>
          <a:fillRect/>
        </a:stretch>
      </xdr:blipFill>
      <xdr:spPr>
        <a:xfrm>
          <a:off x="24307800" y="12556671"/>
          <a:ext cx="883997" cy="294648"/>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22</xdr:col>
      <xdr:colOff>1095375</xdr:colOff>
      <xdr:row>290</xdr:row>
      <xdr:rowOff>123825</xdr:rowOff>
    </xdr:from>
    <xdr:to>
      <xdr:col>22</xdr:col>
      <xdr:colOff>1895475</xdr:colOff>
      <xdr:row>291</xdr:row>
      <xdr:rowOff>152400</xdr:rowOff>
    </xdr:to>
    <xdr:pic>
      <xdr:nvPicPr>
        <xdr:cNvPr id="2" name="Picture 1" descr="C:\WINDOWS\TEMP\~0003946.gif">
          <a:extLst>
            <a:ext uri="{FF2B5EF4-FFF2-40B4-BE49-F238E27FC236}">
              <a16:creationId xmlns:a16="http://schemas.microsoft.com/office/drawing/2014/main" id="{02740D73-246B-4E06-9E45-F290D60888D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58454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3" name="Picture 2" descr="C:\WINDOWS\TEMP\~0003946.gif">
          <a:extLst>
            <a:ext uri="{FF2B5EF4-FFF2-40B4-BE49-F238E27FC236}">
              <a16:creationId xmlns:a16="http://schemas.microsoft.com/office/drawing/2014/main" id="{FF8312BB-5607-4C57-9F75-F7EFA2021BA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3959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4" name="Picture 3" descr="C:\WINDOWS\TEMP\~0003946.gif">
          <a:extLst>
            <a:ext uri="{FF2B5EF4-FFF2-40B4-BE49-F238E27FC236}">
              <a16:creationId xmlns:a16="http://schemas.microsoft.com/office/drawing/2014/main" id="{DB5BA556-5A0A-4499-A53F-287D8F6456F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27527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A35D39C6-1E8E-4EBD-8EB5-E2078E0E7D1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1267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157536</xdr:rowOff>
    </xdr:to>
    <xdr:pic>
      <xdr:nvPicPr>
        <xdr:cNvPr id="6" name="Picture 5">
          <a:extLst>
            <a:ext uri="{FF2B5EF4-FFF2-40B4-BE49-F238E27FC236}">
              <a16:creationId xmlns:a16="http://schemas.microsoft.com/office/drawing/2014/main" id="{FCF8A061-9D3F-4D43-B9CC-559CFD6E771B}"/>
            </a:ext>
          </a:extLst>
        </xdr:cNvPr>
        <xdr:cNvPicPr>
          <a:picLocks noChangeAspect="1"/>
        </xdr:cNvPicPr>
      </xdr:nvPicPr>
      <xdr:blipFill>
        <a:blip xmlns:r="http://schemas.openxmlformats.org/officeDocument/2006/relationships" r:embed="rId3"/>
        <a:stretch>
          <a:fillRect/>
        </a:stretch>
      </xdr:blipFill>
      <xdr:spPr>
        <a:xfrm>
          <a:off x="136071" y="12651921"/>
          <a:ext cx="170703" cy="221490"/>
        </a:xfrm>
        <a:prstGeom prst="rect">
          <a:avLst/>
        </a:prstGeom>
      </xdr:spPr>
    </xdr:pic>
    <xdr:clientData/>
  </xdr:twoCellAnchor>
  <xdr:twoCellAnchor editAs="oneCell">
    <xdr:from>
      <xdr:col>0</xdr:col>
      <xdr:colOff>176893</xdr:colOff>
      <xdr:row>134</xdr:row>
      <xdr:rowOff>81643</xdr:rowOff>
    </xdr:from>
    <xdr:to>
      <xdr:col>1</xdr:col>
      <xdr:colOff>7417</xdr:colOff>
      <xdr:row>135</xdr:row>
      <xdr:rowOff>103108</xdr:rowOff>
    </xdr:to>
    <xdr:pic>
      <xdr:nvPicPr>
        <xdr:cNvPr id="7" name="Picture 6">
          <a:extLst>
            <a:ext uri="{FF2B5EF4-FFF2-40B4-BE49-F238E27FC236}">
              <a16:creationId xmlns:a16="http://schemas.microsoft.com/office/drawing/2014/main" id="{6A2AA66B-36F8-4F74-8A13-EB54B9E8E568}"/>
            </a:ext>
          </a:extLst>
        </xdr:cNvPr>
        <xdr:cNvPicPr>
          <a:picLocks noChangeAspect="1"/>
        </xdr:cNvPicPr>
      </xdr:nvPicPr>
      <xdr:blipFill>
        <a:blip xmlns:r="http://schemas.openxmlformats.org/officeDocument/2006/relationships" r:embed="rId3"/>
        <a:stretch>
          <a:fillRect/>
        </a:stretch>
      </xdr:blipFill>
      <xdr:spPr>
        <a:xfrm>
          <a:off x="176893" y="27446968"/>
          <a:ext cx="173424" cy="221490"/>
        </a:xfrm>
        <a:prstGeom prst="rect">
          <a:avLst/>
        </a:prstGeom>
      </xdr:spPr>
    </xdr:pic>
    <xdr:clientData/>
  </xdr:twoCellAnchor>
  <xdr:twoCellAnchor editAs="oneCell">
    <xdr:from>
      <xdr:col>0</xdr:col>
      <xdr:colOff>176893</xdr:colOff>
      <xdr:row>194</xdr:row>
      <xdr:rowOff>108857</xdr:rowOff>
    </xdr:from>
    <xdr:to>
      <xdr:col>1</xdr:col>
      <xdr:colOff>7417</xdr:colOff>
      <xdr:row>195</xdr:row>
      <xdr:rowOff>130322</xdr:rowOff>
    </xdr:to>
    <xdr:pic>
      <xdr:nvPicPr>
        <xdr:cNvPr id="8" name="Picture 7">
          <a:extLst>
            <a:ext uri="{FF2B5EF4-FFF2-40B4-BE49-F238E27FC236}">
              <a16:creationId xmlns:a16="http://schemas.microsoft.com/office/drawing/2014/main" id="{2BA0CBC3-59D9-468B-842E-09A2F17628F8}"/>
            </a:ext>
          </a:extLst>
        </xdr:cNvPr>
        <xdr:cNvPicPr>
          <a:picLocks noChangeAspect="1"/>
        </xdr:cNvPicPr>
      </xdr:nvPicPr>
      <xdr:blipFill>
        <a:blip xmlns:r="http://schemas.openxmlformats.org/officeDocument/2006/relationships" r:embed="rId3"/>
        <a:stretch>
          <a:fillRect/>
        </a:stretch>
      </xdr:blipFill>
      <xdr:spPr>
        <a:xfrm>
          <a:off x="176893" y="39551882"/>
          <a:ext cx="173424" cy="221490"/>
        </a:xfrm>
        <a:prstGeom prst="rect">
          <a:avLst/>
        </a:prstGeom>
      </xdr:spPr>
    </xdr:pic>
    <xdr:clientData/>
  </xdr:twoCellAnchor>
  <xdr:twoCellAnchor editAs="oneCell">
    <xdr:from>
      <xdr:col>0</xdr:col>
      <xdr:colOff>163286</xdr:colOff>
      <xdr:row>290</xdr:row>
      <xdr:rowOff>149678</xdr:rowOff>
    </xdr:from>
    <xdr:to>
      <xdr:col>1</xdr:col>
      <xdr:colOff>1068</xdr:colOff>
      <xdr:row>291</xdr:row>
      <xdr:rowOff>171143</xdr:rowOff>
    </xdr:to>
    <xdr:pic>
      <xdr:nvPicPr>
        <xdr:cNvPr id="9" name="Picture 8">
          <a:extLst>
            <a:ext uri="{FF2B5EF4-FFF2-40B4-BE49-F238E27FC236}">
              <a16:creationId xmlns:a16="http://schemas.microsoft.com/office/drawing/2014/main" id="{549EC494-07A5-454F-A2FB-F4C829429AC4}"/>
            </a:ext>
          </a:extLst>
        </xdr:cNvPr>
        <xdr:cNvPicPr>
          <a:picLocks noChangeAspect="1"/>
        </xdr:cNvPicPr>
      </xdr:nvPicPr>
      <xdr:blipFill>
        <a:blip xmlns:r="http://schemas.openxmlformats.org/officeDocument/2006/relationships" r:embed="rId3"/>
        <a:stretch>
          <a:fillRect/>
        </a:stretch>
      </xdr:blipFill>
      <xdr:spPr>
        <a:xfrm>
          <a:off x="163286" y="58480778"/>
          <a:ext cx="180682" cy="221490"/>
        </a:xfrm>
        <a:prstGeom prst="rect">
          <a:avLst/>
        </a:prstGeom>
      </xdr:spPr>
    </xdr:pic>
    <xdr:clientData/>
  </xdr:twoCellAnchor>
  <xdr:twoCellAnchor editAs="oneCell">
    <xdr:from>
      <xdr:col>22</xdr:col>
      <xdr:colOff>0</xdr:colOff>
      <xdr:row>290</xdr:row>
      <xdr:rowOff>54429</xdr:rowOff>
    </xdr:from>
    <xdr:to>
      <xdr:col>22</xdr:col>
      <xdr:colOff>883997</xdr:colOff>
      <xdr:row>291</xdr:row>
      <xdr:rowOff>149052</xdr:rowOff>
    </xdr:to>
    <xdr:pic>
      <xdr:nvPicPr>
        <xdr:cNvPr id="10" name="Picture 9">
          <a:extLst>
            <a:ext uri="{FF2B5EF4-FFF2-40B4-BE49-F238E27FC236}">
              <a16:creationId xmlns:a16="http://schemas.microsoft.com/office/drawing/2014/main" id="{3333656E-11F1-4035-9455-CEDD4EC8FEB0}"/>
            </a:ext>
          </a:extLst>
        </xdr:cNvPr>
        <xdr:cNvPicPr>
          <a:picLocks noChangeAspect="1"/>
        </xdr:cNvPicPr>
      </xdr:nvPicPr>
      <xdr:blipFill>
        <a:blip xmlns:r="http://schemas.openxmlformats.org/officeDocument/2006/relationships" r:embed="rId4"/>
        <a:stretch>
          <a:fillRect/>
        </a:stretch>
      </xdr:blipFill>
      <xdr:spPr>
        <a:xfrm>
          <a:off x="24307800" y="58385529"/>
          <a:ext cx="883997" cy="294648"/>
        </a:xfrm>
        <a:prstGeom prst="rect">
          <a:avLst/>
        </a:prstGeom>
      </xdr:spPr>
    </xdr:pic>
    <xdr:clientData/>
  </xdr:twoCellAnchor>
  <xdr:twoCellAnchor editAs="oneCell">
    <xdr:from>
      <xdr:col>22</xdr:col>
      <xdr:colOff>0</xdr:colOff>
      <xdr:row>194</xdr:row>
      <xdr:rowOff>54429</xdr:rowOff>
    </xdr:from>
    <xdr:to>
      <xdr:col>22</xdr:col>
      <xdr:colOff>883997</xdr:colOff>
      <xdr:row>195</xdr:row>
      <xdr:rowOff>149052</xdr:rowOff>
    </xdr:to>
    <xdr:pic>
      <xdr:nvPicPr>
        <xdr:cNvPr id="11" name="Picture 10">
          <a:extLst>
            <a:ext uri="{FF2B5EF4-FFF2-40B4-BE49-F238E27FC236}">
              <a16:creationId xmlns:a16="http://schemas.microsoft.com/office/drawing/2014/main" id="{6774A5EC-63DF-4C7F-A3E6-8A24CC9F78BF}"/>
            </a:ext>
          </a:extLst>
        </xdr:cNvPr>
        <xdr:cNvPicPr>
          <a:picLocks noChangeAspect="1"/>
        </xdr:cNvPicPr>
      </xdr:nvPicPr>
      <xdr:blipFill>
        <a:blip xmlns:r="http://schemas.openxmlformats.org/officeDocument/2006/relationships" r:embed="rId4"/>
        <a:stretch>
          <a:fillRect/>
        </a:stretch>
      </xdr:blipFill>
      <xdr:spPr>
        <a:xfrm>
          <a:off x="24307800" y="39497454"/>
          <a:ext cx="883997" cy="294648"/>
        </a:xfrm>
        <a:prstGeom prst="rect">
          <a:avLst/>
        </a:prstGeom>
      </xdr:spPr>
    </xdr:pic>
    <xdr:clientData/>
  </xdr:twoCellAnchor>
  <xdr:twoCellAnchor editAs="oneCell">
    <xdr:from>
      <xdr:col>21</xdr:col>
      <xdr:colOff>1238250</xdr:colOff>
      <xdr:row>134</xdr:row>
      <xdr:rowOff>54428</xdr:rowOff>
    </xdr:from>
    <xdr:to>
      <xdr:col>22</xdr:col>
      <xdr:colOff>870390</xdr:colOff>
      <xdr:row>135</xdr:row>
      <xdr:rowOff>149051</xdr:rowOff>
    </xdr:to>
    <xdr:pic>
      <xdr:nvPicPr>
        <xdr:cNvPr id="12" name="Picture 11">
          <a:extLst>
            <a:ext uri="{FF2B5EF4-FFF2-40B4-BE49-F238E27FC236}">
              <a16:creationId xmlns:a16="http://schemas.microsoft.com/office/drawing/2014/main" id="{79F8C053-7655-4590-8119-35793F13EEA9}"/>
            </a:ext>
          </a:extLst>
        </xdr:cNvPr>
        <xdr:cNvPicPr>
          <a:picLocks noChangeAspect="1"/>
        </xdr:cNvPicPr>
      </xdr:nvPicPr>
      <xdr:blipFill>
        <a:blip xmlns:r="http://schemas.openxmlformats.org/officeDocument/2006/relationships" r:embed="rId4"/>
        <a:stretch>
          <a:fillRect/>
        </a:stretch>
      </xdr:blipFill>
      <xdr:spPr>
        <a:xfrm>
          <a:off x="24288750" y="27419753"/>
          <a:ext cx="889440" cy="294648"/>
        </a:xfrm>
        <a:prstGeom prst="rect">
          <a:avLst/>
        </a:prstGeom>
      </xdr:spPr>
    </xdr:pic>
    <xdr:clientData/>
  </xdr:twoCellAnchor>
  <xdr:twoCellAnchor editAs="oneCell">
    <xdr:from>
      <xdr:col>22</xdr:col>
      <xdr:colOff>0</xdr:colOff>
      <xdr:row>62</xdr:row>
      <xdr:rowOff>40821</xdr:rowOff>
    </xdr:from>
    <xdr:to>
      <xdr:col>22</xdr:col>
      <xdr:colOff>883997</xdr:colOff>
      <xdr:row>63</xdr:row>
      <xdr:rowOff>135444</xdr:rowOff>
    </xdr:to>
    <xdr:pic>
      <xdr:nvPicPr>
        <xdr:cNvPr id="13" name="Picture 12">
          <a:extLst>
            <a:ext uri="{FF2B5EF4-FFF2-40B4-BE49-F238E27FC236}">
              <a16:creationId xmlns:a16="http://schemas.microsoft.com/office/drawing/2014/main" id="{4F5EFAAC-CE19-4FF1-82B0-9A6F37CFED84}"/>
            </a:ext>
          </a:extLst>
        </xdr:cNvPr>
        <xdr:cNvPicPr>
          <a:picLocks noChangeAspect="1"/>
        </xdr:cNvPicPr>
      </xdr:nvPicPr>
      <xdr:blipFill>
        <a:blip xmlns:r="http://schemas.openxmlformats.org/officeDocument/2006/relationships" r:embed="rId4"/>
        <a:stretch>
          <a:fillRect/>
        </a:stretch>
      </xdr:blipFill>
      <xdr:spPr>
        <a:xfrm>
          <a:off x="24307800" y="12556671"/>
          <a:ext cx="883997" cy="294648"/>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22</xdr:col>
      <xdr:colOff>1095375</xdr:colOff>
      <xdr:row>292</xdr:row>
      <xdr:rowOff>123825</xdr:rowOff>
    </xdr:from>
    <xdr:to>
      <xdr:col>22</xdr:col>
      <xdr:colOff>1895475</xdr:colOff>
      <xdr:row>293</xdr:row>
      <xdr:rowOff>152400</xdr:rowOff>
    </xdr:to>
    <xdr:pic>
      <xdr:nvPicPr>
        <xdr:cNvPr id="2" name="Picture 1" descr="C:\WINDOWS\TEMP\~0003946.gif">
          <a:extLst>
            <a:ext uri="{FF2B5EF4-FFF2-40B4-BE49-F238E27FC236}">
              <a16:creationId xmlns:a16="http://schemas.microsoft.com/office/drawing/2014/main" id="{2A4FD8D5-07F2-42E0-8614-F906EB5835E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588549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3" name="Picture 2" descr="C:\WINDOWS\TEMP\~0003946.gif">
          <a:extLst>
            <a:ext uri="{FF2B5EF4-FFF2-40B4-BE49-F238E27FC236}">
              <a16:creationId xmlns:a16="http://schemas.microsoft.com/office/drawing/2014/main" id="{0378CF13-7FD9-4EBB-9B4D-E4585D54ADF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3959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2BDDA208-5488-47AC-ADD1-41DCDF5AA05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27527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907863F3-DBFD-4879-A1F8-D50F72DD7DD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1267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157536</xdr:rowOff>
    </xdr:to>
    <xdr:pic>
      <xdr:nvPicPr>
        <xdr:cNvPr id="6" name="Picture 5">
          <a:extLst>
            <a:ext uri="{FF2B5EF4-FFF2-40B4-BE49-F238E27FC236}">
              <a16:creationId xmlns:a16="http://schemas.microsoft.com/office/drawing/2014/main" id="{70E8F2E2-C3B4-411B-9B1B-FD5F62074BB8}"/>
            </a:ext>
          </a:extLst>
        </xdr:cNvPr>
        <xdr:cNvPicPr>
          <a:picLocks noChangeAspect="1"/>
        </xdr:cNvPicPr>
      </xdr:nvPicPr>
      <xdr:blipFill>
        <a:blip xmlns:r="http://schemas.openxmlformats.org/officeDocument/2006/relationships" r:embed="rId3"/>
        <a:stretch>
          <a:fillRect/>
        </a:stretch>
      </xdr:blipFill>
      <xdr:spPr>
        <a:xfrm>
          <a:off x="136071" y="12651921"/>
          <a:ext cx="170703" cy="221490"/>
        </a:xfrm>
        <a:prstGeom prst="rect">
          <a:avLst/>
        </a:prstGeom>
      </xdr:spPr>
    </xdr:pic>
    <xdr:clientData/>
  </xdr:twoCellAnchor>
  <xdr:twoCellAnchor editAs="oneCell">
    <xdr:from>
      <xdr:col>0</xdr:col>
      <xdr:colOff>176893</xdr:colOff>
      <xdr:row>139</xdr:row>
      <xdr:rowOff>81643</xdr:rowOff>
    </xdr:from>
    <xdr:to>
      <xdr:col>1</xdr:col>
      <xdr:colOff>7417</xdr:colOff>
      <xdr:row>140</xdr:row>
      <xdr:rowOff>103108</xdr:rowOff>
    </xdr:to>
    <xdr:pic>
      <xdr:nvPicPr>
        <xdr:cNvPr id="7" name="Picture 6">
          <a:extLst>
            <a:ext uri="{FF2B5EF4-FFF2-40B4-BE49-F238E27FC236}">
              <a16:creationId xmlns:a16="http://schemas.microsoft.com/office/drawing/2014/main" id="{74404C2F-C080-46E4-8DB5-51D224039D9E}"/>
            </a:ext>
          </a:extLst>
        </xdr:cNvPr>
        <xdr:cNvPicPr>
          <a:picLocks noChangeAspect="1"/>
        </xdr:cNvPicPr>
      </xdr:nvPicPr>
      <xdr:blipFill>
        <a:blip xmlns:r="http://schemas.openxmlformats.org/officeDocument/2006/relationships" r:embed="rId3"/>
        <a:stretch>
          <a:fillRect/>
        </a:stretch>
      </xdr:blipFill>
      <xdr:spPr>
        <a:xfrm>
          <a:off x="176893" y="27446968"/>
          <a:ext cx="173424" cy="221490"/>
        </a:xfrm>
        <a:prstGeom prst="rect">
          <a:avLst/>
        </a:prstGeom>
      </xdr:spPr>
    </xdr:pic>
    <xdr:clientData/>
  </xdr:twoCellAnchor>
  <xdr:twoCellAnchor editAs="oneCell">
    <xdr:from>
      <xdr:col>0</xdr:col>
      <xdr:colOff>176893</xdr:colOff>
      <xdr:row>199</xdr:row>
      <xdr:rowOff>108857</xdr:rowOff>
    </xdr:from>
    <xdr:to>
      <xdr:col>1</xdr:col>
      <xdr:colOff>7417</xdr:colOff>
      <xdr:row>200</xdr:row>
      <xdr:rowOff>130322</xdr:rowOff>
    </xdr:to>
    <xdr:pic>
      <xdr:nvPicPr>
        <xdr:cNvPr id="8" name="Picture 7">
          <a:extLst>
            <a:ext uri="{FF2B5EF4-FFF2-40B4-BE49-F238E27FC236}">
              <a16:creationId xmlns:a16="http://schemas.microsoft.com/office/drawing/2014/main" id="{D6468FB0-4416-4E0B-8313-AB7EF52CDFAF}"/>
            </a:ext>
          </a:extLst>
        </xdr:cNvPr>
        <xdr:cNvPicPr>
          <a:picLocks noChangeAspect="1"/>
        </xdr:cNvPicPr>
      </xdr:nvPicPr>
      <xdr:blipFill>
        <a:blip xmlns:r="http://schemas.openxmlformats.org/officeDocument/2006/relationships" r:embed="rId3"/>
        <a:stretch>
          <a:fillRect/>
        </a:stretch>
      </xdr:blipFill>
      <xdr:spPr>
        <a:xfrm>
          <a:off x="176893" y="39551882"/>
          <a:ext cx="173424" cy="221490"/>
        </a:xfrm>
        <a:prstGeom prst="rect">
          <a:avLst/>
        </a:prstGeom>
      </xdr:spPr>
    </xdr:pic>
    <xdr:clientData/>
  </xdr:twoCellAnchor>
  <xdr:twoCellAnchor editAs="oneCell">
    <xdr:from>
      <xdr:col>0</xdr:col>
      <xdr:colOff>163286</xdr:colOff>
      <xdr:row>292</xdr:row>
      <xdr:rowOff>149678</xdr:rowOff>
    </xdr:from>
    <xdr:to>
      <xdr:col>1</xdr:col>
      <xdr:colOff>1068</xdr:colOff>
      <xdr:row>293</xdr:row>
      <xdr:rowOff>171143</xdr:rowOff>
    </xdr:to>
    <xdr:pic>
      <xdr:nvPicPr>
        <xdr:cNvPr id="9" name="Picture 8">
          <a:extLst>
            <a:ext uri="{FF2B5EF4-FFF2-40B4-BE49-F238E27FC236}">
              <a16:creationId xmlns:a16="http://schemas.microsoft.com/office/drawing/2014/main" id="{93F7A70D-5969-486B-A0C5-C6FD1CA0DC89}"/>
            </a:ext>
          </a:extLst>
        </xdr:cNvPr>
        <xdr:cNvPicPr>
          <a:picLocks noChangeAspect="1"/>
        </xdr:cNvPicPr>
      </xdr:nvPicPr>
      <xdr:blipFill>
        <a:blip xmlns:r="http://schemas.openxmlformats.org/officeDocument/2006/relationships" r:embed="rId3"/>
        <a:stretch>
          <a:fillRect/>
        </a:stretch>
      </xdr:blipFill>
      <xdr:spPr>
        <a:xfrm>
          <a:off x="163286" y="58880828"/>
          <a:ext cx="180682" cy="221490"/>
        </a:xfrm>
        <a:prstGeom prst="rect">
          <a:avLst/>
        </a:prstGeom>
      </xdr:spPr>
    </xdr:pic>
    <xdr:clientData/>
  </xdr:twoCellAnchor>
  <xdr:twoCellAnchor editAs="oneCell">
    <xdr:from>
      <xdr:col>22</xdr:col>
      <xdr:colOff>0</xdr:colOff>
      <xdr:row>292</xdr:row>
      <xdr:rowOff>54429</xdr:rowOff>
    </xdr:from>
    <xdr:to>
      <xdr:col>22</xdr:col>
      <xdr:colOff>883997</xdr:colOff>
      <xdr:row>293</xdr:row>
      <xdr:rowOff>149052</xdr:rowOff>
    </xdr:to>
    <xdr:pic>
      <xdr:nvPicPr>
        <xdr:cNvPr id="10" name="Picture 9">
          <a:extLst>
            <a:ext uri="{FF2B5EF4-FFF2-40B4-BE49-F238E27FC236}">
              <a16:creationId xmlns:a16="http://schemas.microsoft.com/office/drawing/2014/main" id="{01D2FBAF-2029-471B-AD7B-E8A07700BA9E}"/>
            </a:ext>
          </a:extLst>
        </xdr:cNvPr>
        <xdr:cNvPicPr>
          <a:picLocks noChangeAspect="1"/>
        </xdr:cNvPicPr>
      </xdr:nvPicPr>
      <xdr:blipFill>
        <a:blip xmlns:r="http://schemas.openxmlformats.org/officeDocument/2006/relationships" r:embed="rId4"/>
        <a:stretch>
          <a:fillRect/>
        </a:stretch>
      </xdr:blipFill>
      <xdr:spPr>
        <a:xfrm>
          <a:off x="24307800" y="58785579"/>
          <a:ext cx="883997" cy="294648"/>
        </a:xfrm>
        <a:prstGeom prst="rect">
          <a:avLst/>
        </a:prstGeom>
      </xdr:spPr>
    </xdr:pic>
    <xdr:clientData/>
  </xdr:twoCellAnchor>
  <xdr:twoCellAnchor editAs="oneCell">
    <xdr:from>
      <xdr:col>22</xdr:col>
      <xdr:colOff>0</xdr:colOff>
      <xdr:row>199</xdr:row>
      <xdr:rowOff>54429</xdr:rowOff>
    </xdr:from>
    <xdr:to>
      <xdr:col>22</xdr:col>
      <xdr:colOff>883997</xdr:colOff>
      <xdr:row>200</xdr:row>
      <xdr:rowOff>149052</xdr:rowOff>
    </xdr:to>
    <xdr:pic>
      <xdr:nvPicPr>
        <xdr:cNvPr id="11" name="Picture 10">
          <a:extLst>
            <a:ext uri="{FF2B5EF4-FFF2-40B4-BE49-F238E27FC236}">
              <a16:creationId xmlns:a16="http://schemas.microsoft.com/office/drawing/2014/main" id="{79E03652-21B7-479B-9B69-0B027C77172E}"/>
            </a:ext>
          </a:extLst>
        </xdr:cNvPr>
        <xdr:cNvPicPr>
          <a:picLocks noChangeAspect="1"/>
        </xdr:cNvPicPr>
      </xdr:nvPicPr>
      <xdr:blipFill>
        <a:blip xmlns:r="http://schemas.openxmlformats.org/officeDocument/2006/relationships" r:embed="rId4"/>
        <a:stretch>
          <a:fillRect/>
        </a:stretch>
      </xdr:blipFill>
      <xdr:spPr>
        <a:xfrm>
          <a:off x="24307800" y="39497454"/>
          <a:ext cx="883997" cy="294648"/>
        </a:xfrm>
        <a:prstGeom prst="rect">
          <a:avLst/>
        </a:prstGeom>
      </xdr:spPr>
    </xdr:pic>
    <xdr:clientData/>
  </xdr:twoCellAnchor>
  <xdr:twoCellAnchor editAs="oneCell">
    <xdr:from>
      <xdr:col>21</xdr:col>
      <xdr:colOff>1238250</xdr:colOff>
      <xdr:row>139</xdr:row>
      <xdr:rowOff>54428</xdr:rowOff>
    </xdr:from>
    <xdr:to>
      <xdr:col>22</xdr:col>
      <xdr:colOff>870390</xdr:colOff>
      <xdr:row>140</xdr:row>
      <xdr:rowOff>149051</xdr:rowOff>
    </xdr:to>
    <xdr:pic>
      <xdr:nvPicPr>
        <xdr:cNvPr id="12" name="Picture 11">
          <a:extLst>
            <a:ext uri="{FF2B5EF4-FFF2-40B4-BE49-F238E27FC236}">
              <a16:creationId xmlns:a16="http://schemas.microsoft.com/office/drawing/2014/main" id="{B6005EE6-D80C-420D-9C21-404A272AA4E9}"/>
            </a:ext>
          </a:extLst>
        </xdr:cNvPr>
        <xdr:cNvPicPr>
          <a:picLocks noChangeAspect="1"/>
        </xdr:cNvPicPr>
      </xdr:nvPicPr>
      <xdr:blipFill>
        <a:blip xmlns:r="http://schemas.openxmlformats.org/officeDocument/2006/relationships" r:embed="rId4"/>
        <a:stretch>
          <a:fillRect/>
        </a:stretch>
      </xdr:blipFill>
      <xdr:spPr>
        <a:xfrm>
          <a:off x="24288750" y="27419753"/>
          <a:ext cx="889440" cy="294648"/>
        </a:xfrm>
        <a:prstGeom prst="rect">
          <a:avLst/>
        </a:prstGeom>
      </xdr:spPr>
    </xdr:pic>
    <xdr:clientData/>
  </xdr:twoCellAnchor>
  <xdr:twoCellAnchor editAs="oneCell">
    <xdr:from>
      <xdr:col>22</xdr:col>
      <xdr:colOff>0</xdr:colOff>
      <xdr:row>62</xdr:row>
      <xdr:rowOff>40821</xdr:rowOff>
    </xdr:from>
    <xdr:to>
      <xdr:col>22</xdr:col>
      <xdr:colOff>883997</xdr:colOff>
      <xdr:row>63</xdr:row>
      <xdr:rowOff>135444</xdr:rowOff>
    </xdr:to>
    <xdr:pic>
      <xdr:nvPicPr>
        <xdr:cNvPr id="13" name="Picture 12">
          <a:extLst>
            <a:ext uri="{FF2B5EF4-FFF2-40B4-BE49-F238E27FC236}">
              <a16:creationId xmlns:a16="http://schemas.microsoft.com/office/drawing/2014/main" id="{569BD4A8-0AD7-488D-A6FB-0D5FDE7C4B62}"/>
            </a:ext>
          </a:extLst>
        </xdr:cNvPr>
        <xdr:cNvPicPr>
          <a:picLocks noChangeAspect="1"/>
        </xdr:cNvPicPr>
      </xdr:nvPicPr>
      <xdr:blipFill>
        <a:blip xmlns:r="http://schemas.openxmlformats.org/officeDocument/2006/relationships" r:embed="rId4"/>
        <a:stretch>
          <a:fillRect/>
        </a:stretch>
      </xdr:blipFill>
      <xdr:spPr>
        <a:xfrm>
          <a:off x="24307800" y="12556671"/>
          <a:ext cx="883997" cy="294648"/>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22</xdr:col>
      <xdr:colOff>1095375</xdr:colOff>
      <xdr:row>293</xdr:row>
      <xdr:rowOff>123825</xdr:rowOff>
    </xdr:from>
    <xdr:to>
      <xdr:col>22</xdr:col>
      <xdr:colOff>1895475</xdr:colOff>
      <xdr:row>294</xdr:row>
      <xdr:rowOff>152400</xdr:rowOff>
    </xdr:to>
    <xdr:pic>
      <xdr:nvPicPr>
        <xdr:cNvPr id="2" name="Picture 1" descr="C:\WINDOWS\TEMP\~0003946.gif">
          <a:extLst>
            <a:ext uri="{FF2B5EF4-FFF2-40B4-BE49-F238E27FC236}">
              <a16:creationId xmlns:a16="http://schemas.microsoft.com/office/drawing/2014/main" id="{BC901938-C18F-467F-86EE-FB606ABFB81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592550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7FCF13C4-7E04-4ACD-8139-633CA64EA04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E55F33AA-5983-4CBE-B68E-54ABAF8BE31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285273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838F6CF2-1956-4B42-9B13-F2F1AACB3FC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1267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157536</xdr:rowOff>
    </xdr:to>
    <xdr:pic>
      <xdr:nvPicPr>
        <xdr:cNvPr id="6" name="Picture 5">
          <a:extLst>
            <a:ext uri="{FF2B5EF4-FFF2-40B4-BE49-F238E27FC236}">
              <a16:creationId xmlns:a16="http://schemas.microsoft.com/office/drawing/2014/main" id="{46F857AA-E641-4133-BBC5-550AC21267A2}"/>
            </a:ext>
          </a:extLst>
        </xdr:cNvPr>
        <xdr:cNvPicPr>
          <a:picLocks noChangeAspect="1"/>
        </xdr:cNvPicPr>
      </xdr:nvPicPr>
      <xdr:blipFill>
        <a:blip xmlns:r="http://schemas.openxmlformats.org/officeDocument/2006/relationships" r:embed="rId3"/>
        <a:stretch>
          <a:fillRect/>
        </a:stretch>
      </xdr:blipFill>
      <xdr:spPr>
        <a:xfrm>
          <a:off x="136071" y="12651921"/>
          <a:ext cx="170703" cy="221490"/>
        </a:xfrm>
        <a:prstGeom prst="rect">
          <a:avLst/>
        </a:prstGeom>
      </xdr:spPr>
    </xdr:pic>
    <xdr:clientData/>
  </xdr:twoCellAnchor>
  <xdr:twoCellAnchor editAs="oneCell">
    <xdr:from>
      <xdr:col>0</xdr:col>
      <xdr:colOff>176893</xdr:colOff>
      <xdr:row>139</xdr:row>
      <xdr:rowOff>81643</xdr:rowOff>
    </xdr:from>
    <xdr:to>
      <xdr:col>1</xdr:col>
      <xdr:colOff>7417</xdr:colOff>
      <xdr:row>140</xdr:row>
      <xdr:rowOff>103108</xdr:rowOff>
    </xdr:to>
    <xdr:pic>
      <xdr:nvPicPr>
        <xdr:cNvPr id="7" name="Picture 6">
          <a:extLst>
            <a:ext uri="{FF2B5EF4-FFF2-40B4-BE49-F238E27FC236}">
              <a16:creationId xmlns:a16="http://schemas.microsoft.com/office/drawing/2014/main" id="{E0EF956C-EE1D-4A3E-B7C0-2F83C4CE604F}"/>
            </a:ext>
          </a:extLst>
        </xdr:cNvPr>
        <xdr:cNvPicPr>
          <a:picLocks noChangeAspect="1"/>
        </xdr:cNvPicPr>
      </xdr:nvPicPr>
      <xdr:blipFill>
        <a:blip xmlns:r="http://schemas.openxmlformats.org/officeDocument/2006/relationships" r:embed="rId3"/>
        <a:stretch>
          <a:fillRect/>
        </a:stretch>
      </xdr:blipFill>
      <xdr:spPr>
        <a:xfrm>
          <a:off x="176893" y="28447093"/>
          <a:ext cx="173424" cy="221490"/>
        </a:xfrm>
        <a:prstGeom prst="rect">
          <a:avLst/>
        </a:prstGeom>
      </xdr:spPr>
    </xdr:pic>
    <xdr:clientData/>
  </xdr:twoCellAnchor>
  <xdr:twoCellAnchor editAs="oneCell">
    <xdr:from>
      <xdr:col>0</xdr:col>
      <xdr:colOff>176893</xdr:colOff>
      <xdr:row>200</xdr:row>
      <xdr:rowOff>108857</xdr:rowOff>
    </xdr:from>
    <xdr:to>
      <xdr:col>1</xdr:col>
      <xdr:colOff>7417</xdr:colOff>
      <xdr:row>201</xdr:row>
      <xdr:rowOff>130323</xdr:rowOff>
    </xdr:to>
    <xdr:pic>
      <xdr:nvPicPr>
        <xdr:cNvPr id="8" name="Picture 7">
          <a:extLst>
            <a:ext uri="{FF2B5EF4-FFF2-40B4-BE49-F238E27FC236}">
              <a16:creationId xmlns:a16="http://schemas.microsoft.com/office/drawing/2014/main" id="{D39B442B-C527-42B4-A518-5387C991E6DE}"/>
            </a:ext>
          </a:extLst>
        </xdr:cNvPr>
        <xdr:cNvPicPr>
          <a:picLocks noChangeAspect="1"/>
        </xdr:cNvPicPr>
      </xdr:nvPicPr>
      <xdr:blipFill>
        <a:blip xmlns:r="http://schemas.openxmlformats.org/officeDocument/2006/relationships" r:embed="rId3"/>
        <a:stretch>
          <a:fillRect/>
        </a:stretch>
      </xdr:blipFill>
      <xdr:spPr>
        <a:xfrm>
          <a:off x="176893" y="40552007"/>
          <a:ext cx="173424" cy="221490"/>
        </a:xfrm>
        <a:prstGeom prst="rect">
          <a:avLst/>
        </a:prstGeom>
      </xdr:spPr>
    </xdr:pic>
    <xdr:clientData/>
  </xdr:twoCellAnchor>
  <xdr:twoCellAnchor editAs="oneCell">
    <xdr:from>
      <xdr:col>0</xdr:col>
      <xdr:colOff>163286</xdr:colOff>
      <xdr:row>293</xdr:row>
      <xdr:rowOff>149678</xdr:rowOff>
    </xdr:from>
    <xdr:to>
      <xdr:col>1</xdr:col>
      <xdr:colOff>1068</xdr:colOff>
      <xdr:row>294</xdr:row>
      <xdr:rowOff>171143</xdr:rowOff>
    </xdr:to>
    <xdr:pic>
      <xdr:nvPicPr>
        <xdr:cNvPr id="9" name="Picture 8">
          <a:extLst>
            <a:ext uri="{FF2B5EF4-FFF2-40B4-BE49-F238E27FC236}">
              <a16:creationId xmlns:a16="http://schemas.microsoft.com/office/drawing/2014/main" id="{D6E4451F-2D8A-4B3A-8FD1-3C634C61B6F2}"/>
            </a:ext>
          </a:extLst>
        </xdr:cNvPr>
        <xdr:cNvPicPr>
          <a:picLocks noChangeAspect="1"/>
        </xdr:cNvPicPr>
      </xdr:nvPicPr>
      <xdr:blipFill>
        <a:blip xmlns:r="http://schemas.openxmlformats.org/officeDocument/2006/relationships" r:embed="rId3"/>
        <a:stretch>
          <a:fillRect/>
        </a:stretch>
      </xdr:blipFill>
      <xdr:spPr>
        <a:xfrm>
          <a:off x="163286" y="59280878"/>
          <a:ext cx="180682" cy="221490"/>
        </a:xfrm>
        <a:prstGeom prst="rect">
          <a:avLst/>
        </a:prstGeom>
      </xdr:spPr>
    </xdr:pic>
    <xdr:clientData/>
  </xdr:twoCellAnchor>
  <xdr:twoCellAnchor editAs="oneCell">
    <xdr:from>
      <xdr:col>22</xdr:col>
      <xdr:colOff>0</xdr:colOff>
      <xdr:row>293</xdr:row>
      <xdr:rowOff>54429</xdr:rowOff>
    </xdr:from>
    <xdr:to>
      <xdr:col>22</xdr:col>
      <xdr:colOff>883997</xdr:colOff>
      <xdr:row>294</xdr:row>
      <xdr:rowOff>149052</xdr:rowOff>
    </xdr:to>
    <xdr:pic>
      <xdr:nvPicPr>
        <xdr:cNvPr id="10" name="Picture 9">
          <a:extLst>
            <a:ext uri="{FF2B5EF4-FFF2-40B4-BE49-F238E27FC236}">
              <a16:creationId xmlns:a16="http://schemas.microsoft.com/office/drawing/2014/main" id="{1F44B775-BFB3-4CAE-885D-623807CF5AD4}"/>
            </a:ext>
          </a:extLst>
        </xdr:cNvPr>
        <xdr:cNvPicPr>
          <a:picLocks noChangeAspect="1"/>
        </xdr:cNvPicPr>
      </xdr:nvPicPr>
      <xdr:blipFill>
        <a:blip xmlns:r="http://schemas.openxmlformats.org/officeDocument/2006/relationships" r:embed="rId4"/>
        <a:stretch>
          <a:fillRect/>
        </a:stretch>
      </xdr:blipFill>
      <xdr:spPr>
        <a:xfrm>
          <a:off x="24307800" y="59185629"/>
          <a:ext cx="883997" cy="294648"/>
        </a:xfrm>
        <a:prstGeom prst="rect">
          <a:avLst/>
        </a:prstGeom>
      </xdr:spPr>
    </xdr:pic>
    <xdr:clientData/>
  </xdr:twoCellAnchor>
  <xdr:twoCellAnchor editAs="oneCell">
    <xdr:from>
      <xdr:col>22</xdr:col>
      <xdr:colOff>0</xdr:colOff>
      <xdr:row>200</xdr:row>
      <xdr:rowOff>54429</xdr:rowOff>
    </xdr:from>
    <xdr:to>
      <xdr:col>22</xdr:col>
      <xdr:colOff>883997</xdr:colOff>
      <xdr:row>201</xdr:row>
      <xdr:rowOff>149053</xdr:rowOff>
    </xdr:to>
    <xdr:pic>
      <xdr:nvPicPr>
        <xdr:cNvPr id="11" name="Picture 10">
          <a:extLst>
            <a:ext uri="{FF2B5EF4-FFF2-40B4-BE49-F238E27FC236}">
              <a16:creationId xmlns:a16="http://schemas.microsoft.com/office/drawing/2014/main" id="{F75F71B4-2BCA-4BF7-8E4E-F126F08B08F0}"/>
            </a:ext>
          </a:extLst>
        </xdr:cNvPr>
        <xdr:cNvPicPr>
          <a:picLocks noChangeAspect="1"/>
        </xdr:cNvPicPr>
      </xdr:nvPicPr>
      <xdr:blipFill>
        <a:blip xmlns:r="http://schemas.openxmlformats.org/officeDocument/2006/relationships" r:embed="rId4"/>
        <a:stretch>
          <a:fillRect/>
        </a:stretch>
      </xdr:blipFill>
      <xdr:spPr>
        <a:xfrm>
          <a:off x="24307800" y="40497579"/>
          <a:ext cx="883997" cy="294648"/>
        </a:xfrm>
        <a:prstGeom prst="rect">
          <a:avLst/>
        </a:prstGeom>
      </xdr:spPr>
    </xdr:pic>
    <xdr:clientData/>
  </xdr:twoCellAnchor>
  <xdr:twoCellAnchor editAs="oneCell">
    <xdr:from>
      <xdr:col>21</xdr:col>
      <xdr:colOff>1238250</xdr:colOff>
      <xdr:row>139</xdr:row>
      <xdr:rowOff>54428</xdr:rowOff>
    </xdr:from>
    <xdr:to>
      <xdr:col>22</xdr:col>
      <xdr:colOff>870390</xdr:colOff>
      <xdr:row>140</xdr:row>
      <xdr:rowOff>149051</xdr:rowOff>
    </xdr:to>
    <xdr:pic>
      <xdr:nvPicPr>
        <xdr:cNvPr id="12" name="Picture 11">
          <a:extLst>
            <a:ext uri="{FF2B5EF4-FFF2-40B4-BE49-F238E27FC236}">
              <a16:creationId xmlns:a16="http://schemas.microsoft.com/office/drawing/2014/main" id="{10368EEC-D591-4A29-A01C-2DDD1904FFE5}"/>
            </a:ext>
          </a:extLst>
        </xdr:cNvPr>
        <xdr:cNvPicPr>
          <a:picLocks noChangeAspect="1"/>
        </xdr:cNvPicPr>
      </xdr:nvPicPr>
      <xdr:blipFill>
        <a:blip xmlns:r="http://schemas.openxmlformats.org/officeDocument/2006/relationships" r:embed="rId4"/>
        <a:stretch>
          <a:fillRect/>
        </a:stretch>
      </xdr:blipFill>
      <xdr:spPr>
        <a:xfrm>
          <a:off x="24288750" y="28419878"/>
          <a:ext cx="889440" cy="294648"/>
        </a:xfrm>
        <a:prstGeom prst="rect">
          <a:avLst/>
        </a:prstGeom>
      </xdr:spPr>
    </xdr:pic>
    <xdr:clientData/>
  </xdr:twoCellAnchor>
  <xdr:twoCellAnchor editAs="oneCell">
    <xdr:from>
      <xdr:col>22</xdr:col>
      <xdr:colOff>0</xdr:colOff>
      <xdr:row>62</xdr:row>
      <xdr:rowOff>40821</xdr:rowOff>
    </xdr:from>
    <xdr:to>
      <xdr:col>22</xdr:col>
      <xdr:colOff>883997</xdr:colOff>
      <xdr:row>63</xdr:row>
      <xdr:rowOff>135444</xdr:rowOff>
    </xdr:to>
    <xdr:pic>
      <xdr:nvPicPr>
        <xdr:cNvPr id="13" name="Picture 12">
          <a:extLst>
            <a:ext uri="{FF2B5EF4-FFF2-40B4-BE49-F238E27FC236}">
              <a16:creationId xmlns:a16="http://schemas.microsoft.com/office/drawing/2014/main" id="{39E4E223-9CCD-4AA1-AE53-A13957A0E4F7}"/>
            </a:ext>
          </a:extLst>
        </xdr:cNvPr>
        <xdr:cNvPicPr>
          <a:picLocks noChangeAspect="1"/>
        </xdr:cNvPicPr>
      </xdr:nvPicPr>
      <xdr:blipFill>
        <a:blip xmlns:r="http://schemas.openxmlformats.org/officeDocument/2006/relationships" r:embed="rId4"/>
        <a:stretch>
          <a:fillRect/>
        </a:stretch>
      </xdr:blipFill>
      <xdr:spPr>
        <a:xfrm>
          <a:off x="24307800" y="12556671"/>
          <a:ext cx="883997" cy="294648"/>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22</xdr:col>
      <xdr:colOff>1095375</xdr:colOff>
      <xdr:row>293</xdr:row>
      <xdr:rowOff>123825</xdr:rowOff>
    </xdr:from>
    <xdr:to>
      <xdr:col>22</xdr:col>
      <xdr:colOff>1895475</xdr:colOff>
      <xdr:row>294</xdr:row>
      <xdr:rowOff>152400</xdr:rowOff>
    </xdr:to>
    <xdr:pic>
      <xdr:nvPicPr>
        <xdr:cNvPr id="2" name="Picture 1" descr="C:\WINDOWS\TEMP\~0003946.gif">
          <a:extLst>
            <a:ext uri="{FF2B5EF4-FFF2-40B4-BE49-F238E27FC236}">
              <a16:creationId xmlns:a16="http://schemas.microsoft.com/office/drawing/2014/main" id="{1AA74503-9FB7-41C2-BD97-69678072EDF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594550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7843ECDE-77A4-4705-8A48-75CA0F9DBED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407955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0DA8855F-20AD-44C7-94FC-3849C31AAD8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285273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4235F1D3-275F-4BF5-BDA6-DE6FD79879B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1267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157536</xdr:rowOff>
    </xdr:to>
    <xdr:pic>
      <xdr:nvPicPr>
        <xdr:cNvPr id="6" name="Picture 5">
          <a:extLst>
            <a:ext uri="{FF2B5EF4-FFF2-40B4-BE49-F238E27FC236}">
              <a16:creationId xmlns:a16="http://schemas.microsoft.com/office/drawing/2014/main" id="{39A12220-B998-4423-9ED0-12E65CCBC227}"/>
            </a:ext>
          </a:extLst>
        </xdr:cNvPr>
        <xdr:cNvPicPr>
          <a:picLocks noChangeAspect="1"/>
        </xdr:cNvPicPr>
      </xdr:nvPicPr>
      <xdr:blipFill>
        <a:blip xmlns:r="http://schemas.openxmlformats.org/officeDocument/2006/relationships" r:embed="rId3"/>
        <a:stretch>
          <a:fillRect/>
        </a:stretch>
      </xdr:blipFill>
      <xdr:spPr>
        <a:xfrm>
          <a:off x="136071" y="12651921"/>
          <a:ext cx="170703" cy="221490"/>
        </a:xfrm>
        <a:prstGeom prst="rect">
          <a:avLst/>
        </a:prstGeom>
      </xdr:spPr>
    </xdr:pic>
    <xdr:clientData/>
  </xdr:twoCellAnchor>
  <xdr:twoCellAnchor editAs="oneCell">
    <xdr:from>
      <xdr:col>0</xdr:col>
      <xdr:colOff>176893</xdr:colOff>
      <xdr:row>139</xdr:row>
      <xdr:rowOff>81643</xdr:rowOff>
    </xdr:from>
    <xdr:to>
      <xdr:col>1</xdr:col>
      <xdr:colOff>7417</xdr:colOff>
      <xdr:row>140</xdr:row>
      <xdr:rowOff>103108</xdr:rowOff>
    </xdr:to>
    <xdr:pic>
      <xdr:nvPicPr>
        <xdr:cNvPr id="7" name="Picture 6">
          <a:extLst>
            <a:ext uri="{FF2B5EF4-FFF2-40B4-BE49-F238E27FC236}">
              <a16:creationId xmlns:a16="http://schemas.microsoft.com/office/drawing/2014/main" id="{8B3F93FD-14A0-4171-AAC6-851C2F87F67E}"/>
            </a:ext>
          </a:extLst>
        </xdr:cNvPr>
        <xdr:cNvPicPr>
          <a:picLocks noChangeAspect="1"/>
        </xdr:cNvPicPr>
      </xdr:nvPicPr>
      <xdr:blipFill>
        <a:blip xmlns:r="http://schemas.openxmlformats.org/officeDocument/2006/relationships" r:embed="rId3"/>
        <a:stretch>
          <a:fillRect/>
        </a:stretch>
      </xdr:blipFill>
      <xdr:spPr>
        <a:xfrm>
          <a:off x="176893" y="28447093"/>
          <a:ext cx="173424" cy="221490"/>
        </a:xfrm>
        <a:prstGeom prst="rect">
          <a:avLst/>
        </a:prstGeom>
      </xdr:spPr>
    </xdr:pic>
    <xdr:clientData/>
  </xdr:twoCellAnchor>
  <xdr:twoCellAnchor editAs="oneCell">
    <xdr:from>
      <xdr:col>0</xdr:col>
      <xdr:colOff>176893</xdr:colOff>
      <xdr:row>200</xdr:row>
      <xdr:rowOff>108857</xdr:rowOff>
    </xdr:from>
    <xdr:to>
      <xdr:col>1</xdr:col>
      <xdr:colOff>7417</xdr:colOff>
      <xdr:row>201</xdr:row>
      <xdr:rowOff>130323</xdr:rowOff>
    </xdr:to>
    <xdr:pic>
      <xdr:nvPicPr>
        <xdr:cNvPr id="8" name="Picture 7">
          <a:extLst>
            <a:ext uri="{FF2B5EF4-FFF2-40B4-BE49-F238E27FC236}">
              <a16:creationId xmlns:a16="http://schemas.microsoft.com/office/drawing/2014/main" id="{B9F9E3E2-2E22-4A5D-B12E-CF59EC5F1B29}"/>
            </a:ext>
          </a:extLst>
        </xdr:cNvPr>
        <xdr:cNvPicPr>
          <a:picLocks noChangeAspect="1"/>
        </xdr:cNvPicPr>
      </xdr:nvPicPr>
      <xdr:blipFill>
        <a:blip xmlns:r="http://schemas.openxmlformats.org/officeDocument/2006/relationships" r:embed="rId3"/>
        <a:stretch>
          <a:fillRect/>
        </a:stretch>
      </xdr:blipFill>
      <xdr:spPr>
        <a:xfrm>
          <a:off x="176893" y="40752032"/>
          <a:ext cx="173424" cy="221491"/>
        </a:xfrm>
        <a:prstGeom prst="rect">
          <a:avLst/>
        </a:prstGeom>
      </xdr:spPr>
    </xdr:pic>
    <xdr:clientData/>
  </xdr:twoCellAnchor>
  <xdr:twoCellAnchor editAs="oneCell">
    <xdr:from>
      <xdr:col>0</xdr:col>
      <xdr:colOff>163286</xdr:colOff>
      <xdr:row>293</xdr:row>
      <xdr:rowOff>149678</xdr:rowOff>
    </xdr:from>
    <xdr:to>
      <xdr:col>1</xdr:col>
      <xdr:colOff>1068</xdr:colOff>
      <xdr:row>294</xdr:row>
      <xdr:rowOff>171143</xdr:rowOff>
    </xdr:to>
    <xdr:pic>
      <xdr:nvPicPr>
        <xdr:cNvPr id="9" name="Picture 8">
          <a:extLst>
            <a:ext uri="{FF2B5EF4-FFF2-40B4-BE49-F238E27FC236}">
              <a16:creationId xmlns:a16="http://schemas.microsoft.com/office/drawing/2014/main" id="{8E576C96-E39D-4DF6-9B4F-85A3E2E2C69B}"/>
            </a:ext>
          </a:extLst>
        </xdr:cNvPr>
        <xdr:cNvPicPr>
          <a:picLocks noChangeAspect="1"/>
        </xdr:cNvPicPr>
      </xdr:nvPicPr>
      <xdr:blipFill>
        <a:blip xmlns:r="http://schemas.openxmlformats.org/officeDocument/2006/relationships" r:embed="rId3"/>
        <a:stretch>
          <a:fillRect/>
        </a:stretch>
      </xdr:blipFill>
      <xdr:spPr>
        <a:xfrm>
          <a:off x="163286" y="59480903"/>
          <a:ext cx="180682" cy="221490"/>
        </a:xfrm>
        <a:prstGeom prst="rect">
          <a:avLst/>
        </a:prstGeom>
      </xdr:spPr>
    </xdr:pic>
    <xdr:clientData/>
  </xdr:twoCellAnchor>
  <xdr:twoCellAnchor editAs="oneCell">
    <xdr:from>
      <xdr:col>22</xdr:col>
      <xdr:colOff>0</xdr:colOff>
      <xdr:row>293</xdr:row>
      <xdr:rowOff>54429</xdr:rowOff>
    </xdr:from>
    <xdr:to>
      <xdr:col>22</xdr:col>
      <xdr:colOff>883997</xdr:colOff>
      <xdr:row>294</xdr:row>
      <xdr:rowOff>149052</xdr:rowOff>
    </xdr:to>
    <xdr:pic>
      <xdr:nvPicPr>
        <xdr:cNvPr id="10" name="Picture 9">
          <a:extLst>
            <a:ext uri="{FF2B5EF4-FFF2-40B4-BE49-F238E27FC236}">
              <a16:creationId xmlns:a16="http://schemas.microsoft.com/office/drawing/2014/main" id="{F40FFAF4-75B4-49AB-9676-A2F2FC4838A2}"/>
            </a:ext>
          </a:extLst>
        </xdr:cNvPr>
        <xdr:cNvPicPr>
          <a:picLocks noChangeAspect="1"/>
        </xdr:cNvPicPr>
      </xdr:nvPicPr>
      <xdr:blipFill>
        <a:blip xmlns:r="http://schemas.openxmlformats.org/officeDocument/2006/relationships" r:embed="rId4"/>
        <a:stretch>
          <a:fillRect/>
        </a:stretch>
      </xdr:blipFill>
      <xdr:spPr>
        <a:xfrm>
          <a:off x="24307800" y="59385654"/>
          <a:ext cx="883997" cy="294648"/>
        </a:xfrm>
        <a:prstGeom prst="rect">
          <a:avLst/>
        </a:prstGeom>
      </xdr:spPr>
    </xdr:pic>
    <xdr:clientData/>
  </xdr:twoCellAnchor>
  <xdr:twoCellAnchor editAs="oneCell">
    <xdr:from>
      <xdr:col>22</xdr:col>
      <xdr:colOff>0</xdr:colOff>
      <xdr:row>200</xdr:row>
      <xdr:rowOff>54429</xdr:rowOff>
    </xdr:from>
    <xdr:to>
      <xdr:col>22</xdr:col>
      <xdr:colOff>883997</xdr:colOff>
      <xdr:row>201</xdr:row>
      <xdr:rowOff>149053</xdr:rowOff>
    </xdr:to>
    <xdr:pic>
      <xdr:nvPicPr>
        <xdr:cNvPr id="11" name="Picture 10">
          <a:extLst>
            <a:ext uri="{FF2B5EF4-FFF2-40B4-BE49-F238E27FC236}">
              <a16:creationId xmlns:a16="http://schemas.microsoft.com/office/drawing/2014/main" id="{010980D1-8CE9-4985-8BB7-2446EF65FDF8}"/>
            </a:ext>
          </a:extLst>
        </xdr:cNvPr>
        <xdr:cNvPicPr>
          <a:picLocks noChangeAspect="1"/>
        </xdr:cNvPicPr>
      </xdr:nvPicPr>
      <xdr:blipFill>
        <a:blip xmlns:r="http://schemas.openxmlformats.org/officeDocument/2006/relationships" r:embed="rId4"/>
        <a:stretch>
          <a:fillRect/>
        </a:stretch>
      </xdr:blipFill>
      <xdr:spPr>
        <a:xfrm>
          <a:off x="24307800" y="40697604"/>
          <a:ext cx="883997" cy="294649"/>
        </a:xfrm>
        <a:prstGeom prst="rect">
          <a:avLst/>
        </a:prstGeom>
      </xdr:spPr>
    </xdr:pic>
    <xdr:clientData/>
  </xdr:twoCellAnchor>
  <xdr:twoCellAnchor editAs="oneCell">
    <xdr:from>
      <xdr:col>21</xdr:col>
      <xdr:colOff>1238250</xdr:colOff>
      <xdr:row>139</xdr:row>
      <xdr:rowOff>54428</xdr:rowOff>
    </xdr:from>
    <xdr:to>
      <xdr:col>22</xdr:col>
      <xdr:colOff>870390</xdr:colOff>
      <xdr:row>140</xdr:row>
      <xdr:rowOff>149051</xdr:rowOff>
    </xdr:to>
    <xdr:pic>
      <xdr:nvPicPr>
        <xdr:cNvPr id="12" name="Picture 11">
          <a:extLst>
            <a:ext uri="{FF2B5EF4-FFF2-40B4-BE49-F238E27FC236}">
              <a16:creationId xmlns:a16="http://schemas.microsoft.com/office/drawing/2014/main" id="{7ADBCA9E-F987-4445-8171-C28BFD948C3D}"/>
            </a:ext>
          </a:extLst>
        </xdr:cNvPr>
        <xdr:cNvPicPr>
          <a:picLocks noChangeAspect="1"/>
        </xdr:cNvPicPr>
      </xdr:nvPicPr>
      <xdr:blipFill>
        <a:blip xmlns:r="http://schemas.openxmlformats.org/officeDocument/2006/relationships" r:embed="rId4"/>
        <a:stretch>
          <a:fillRect/>
        </a:stretch>
      </xdr:blipFill>
      <xdr:spPr>
        <a:xfrm>
          <a:off x="24288750" y="28419878"/>
          <a:ext cx="889440" cy="294648"/>
        </a:xfrm>
        <a:prstGeom prst="rect">
          <a:avLst/>
        </a:prstGeom>
      </xdr:spPr>
    </xdr:pic>
    <xdr:clientData/>
  </xdr:twoCellAnchor>
  <xdr:twoCellAnchor editAs="oneCell">
    <xdr:from>
      <xdr:col>22</xdr:col>
      <xdr:colOff>0</xdr:colOff>
      <xdr:row>62</xdr:row>
      <xdr:rowOff>40821</xdr:rowOff>
    </xdr:from>
    <xdr:to>
      <xdr:col>22</xdr:col>
      <xdr:colOff>883997</xdr:colOff>
      <xdr:row>63</xdr:row>
      <xdr:rowOff>135444</xdr:rowOff>
    </xdr:to>
    <xdr:pic>
      <xdr:nvPicPr>
        <xdr:cNvPr id="13" name="Picture 12">
          <a:extLst>
            <a:ext uri="{FF2B5EF4-FFF2-40B4-BE49-F238E27FC236}">
              <a16:creationId xmlns:a16="http://schemas.microsoft.com/office/drawing/2014/main" id="{DEE3BB53-FF12-4A2F-9A63-BC2AA86F9C53}"/>
            </a:ext>
          </a:extLst>
        </xdr:cNvPr>
        <xdr:cNvPicPr>
          <a:picLocks noChangeAspect="1"/>
        </xdr:cNvPicPr>
      </xdr:nvPicPr>
      <xdr:blipFill>
        <a:blip xmlns:r="http://schemas.openxmlformats.org/officeDocument/2006/relationships" r:embed="rId4"/>
        <a:stretch>
          <a:fillRect/>
        </a:stretch>
      </xdr:blipFill>
      <xdr:spPr>
        <a:xfrm>
          <a:off x="24307800" y="12556671"/>
          <a:ext cx="883997" cy="294648"/>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22</xdr:col>
      <xdr:colOff>1095375</xdr:colOff>
      <xdr:row>321</xdr:row>
      <xdr:rowOff>123825</xdr:rowOff>
    </xdr:from>
    <xdr:to>
      <xdr:col>22</xdr:col>
      <xdr:colOff>1895475</xdr:colOff>
      <xdr:row>322</xdr:row>
      <xdr:rowOff>152400</xdr:rowOff>
    </xdr:to>
    <xdr:pic>
      <xdr:nvPicPr>
        <xdr:cNvPr id="2" name="Picture 1" descr="C:\WINDOWS\TEMP\~0003946.gif">
          <a:extLst>
            <a:ext uri="{FF2B5EF4-FFF2-40B4-BE49-F238E27FC236}">
              <a16:creationId xmlns:a16="http://schemas.microsoft.com/office/drawing/2014/main" id="{4D084295-50BF-45F7-89AA-4E4FA7FFC79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593756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F4C60DCE-4B97-426F-882C-ACC436860DC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4950" y="407289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13B7C079-BE59-4FB7-BEFB-F4D29331A81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284956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3C6CD54A-3138-4E94-A27A-A81D752FA91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126650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160711</xdr:rowOff>
    </xdr:to>
    <xdr:pic>
      <xdr:nvPicPr>
        <xdr:cNvPr id="6" name="Picture 5">
          <a:extLst>
            <a:ext uri="{FF2B5EF4-FFF2-40B4-BE49-F238E27FC236}">
              <a16:creationId xmlns:a16="http://schemas.microsoft.com/office/drawing/2014/main" id="{77D13E9D-24E0-47D4-9702-89A1A8F4FB45}"/>
            </a:ext>
          </a:extLst>
        </xdr:cNvPr>
        <xdr:cNvPicPr>
          <a:picLocks noChangeAspect="1"/>
        </xdr:cNvPicPr>
      </xdr:nvPicPr>
      <xdr:blipFill>
        <a:blip xmlns:r="http://schemas.openxmlformats.org/officeDocument/2006/relationships" r:embed="rId3"/>
        <a:stretch>
          <a:fillRect/>
        </a:stretch>
      </xdr:blipFill>
      <xdr:spPr>
        <a:xfrm>
          <a:off x="136071" y="12642396"/>
          <a:ext cx="170703" cy="224665"/>
        </a:xfrm>
        <a:prstGeom prst="rect">
          <a:avLst/>
        </a:prstGeom>
      </xdr:spPr>
    </xdr:pic>
    <xdr:clientData/>
  </xdr:twoCellAnchor>
  <xdr:twoCellAnchor editAs="oneCell">
    <xdr:from>
      <xdr:col>0</xdr:col>
      <xdr:colOff>176893</xdr:colOff>
      <xdr:row>139</xdr:row>
      <xdr:rowOff>81643</xdr:rowOff>
    </xdr:from>
    <xdr:to>
      <xdr:col>1</xdr:col>
      <xdr:colOff>10592</xdr:colOff>
      <xdr:row>140</xdr:row>
      <xdr:rowOff>106283</xdr:rowOff>
    </xdr:to>
    <xdr:pic>
      <xdr:nvPicPr>
        <xdr:cNvPr id="7" name="Picture 6">
          <a:extLst>
            <a:ext uri="{FF2B5EF4-FFF2-40B4-BE49-F238E27FC236}">
              <a16:creationId xmlns:a16="http://schemas.microsoft.com/office/drawing/2014/main" id="{A636585E-CD58-4607-9CF6-6ED3C3660BED}"/>
            </a:ext>
          </a:extLst>
        </xdr:cNvPr>
        <xdr:cNvPicPr>
          <a:picLocks noChangeAspect="1"/>
        </xdr:cNvPicPr>
      </xdr:nvPicPr>
      <xdr:blipFill>
        <a:blip xmlns:r="http://schemas.openxmlformats.org/officeDocument/2006/relationships" r:embed="rId3"/>
        <a:stretch>
          <a:fillRect/>
        </a:stretch>
      </xdr:blipFill>
      <xdr:spPr>
        <a:xfrm>
          <a:off x="180068" y="28421693"/>
          <a:ext cx="163899" cy="221490"/>
        </a:xfrm>
        <a:prstGeom prst="rect">
          <a:avLst/>
        </a:prstGeom>
      </xdr:spPr>
    </xdr:pic>
    <xdr:clientData/>
  </xdr:twoCellAnchor>
  <xdr:twoCellAnchor editAs="oneCell">
    <xdr:from>
      <xdr:col>0</xdr:col>
      <xdr:colOff>176893</xdr:colOff>
      <xdr:row>200</xdr:row>
      <xdr:rowOff>108857</xdr:rowOff>
    </xdr:from>
    <xdr:to>
      <xdr:col>1</xdr:col>
      <xdr:colOff>10592</xdr:colOff>
      <xdr:row>201</xdr:row>
      <xdr:rowOff>130323</xdr:rowOff>
    </xdr:to>
    <xdr:pic>
      <xdr:nvPicPr>
        <xdr:cNvPr id="8" name="Picture 7">
          <a:extLst>
            <a:ext uri="{FF2B5EF4-FFF2-40B4-BE49-F238E27FC236}">
              <a16:creationId xmlns:a16="http://schemas.microsoft.com/office/drawing/2014/main" id="{1E48F1B2-0EEC-48FC-8A0D-50FF67BFCDE9}"/>
            </a:ext>
          </a:extLst>
        </xdr:cNvPr>
        <xdr:cNvPicPr>
          <a:picLocks noChangeAspect="1"/>
        </xdr:cNvPicPr>
      </xdr:nvPicPr>
      <xdr:blipFill>
        <a:blip xmlns:r="http://schemas.openxmlformats.org/officeDocument/2006/relationships" r:embed="rId3"/>
        <a:stretch>
          <a:fillRect/>
        </a:stretch>
      </xdr:blipFill>
      <xdr:spPr>
        <a:xfrm>
          <a:off x="180068" y="40682182"/>
          <a:ext cx="163899" cy="224666"/>
        </a:xfrm>
        <a:prstGeom prst="rect">
          <a:avLst/>
        </a:prstGeom>
      </xdr:spPr>
    </xdr:pic>
    <xdr:clientData/>
  </xdr:twoCellAnchor>
  <xdr:twoCellAnchor editAs="oneCell">
    <xdr:from>
      <xdr:col>0</xdr:col>
      <xdr:colOff>163286</xdr:colOff>
      <xdr:row>321</xdr:row>
      <xdr:rowOff>149678</xdr:rowOff>
    </xdr:from>
    <xdr:to>
      <xdr:col>1</xdr:col>
      <xdr:colOff>1068</xdr:colOff>
      <xdr:row>322</xdr:row>
      <xdr:rowOff>171143</xdr:rowOff>
    </xdr:to>
    <xdr:pic>
      <xdr:nvPicPr>
        <xdr:cNvPr id="9" name="Picture 8">
          <a:extLst>
            <a:ext uri="{FF2B5EF4-FFF2-40B4-BE49-F238E27FC236}">
              <a16:creationId xmlns:a16="http://schemas.microsoft.com/office/drawing/2014/main" id="{416172F9-422C-4B46-8D79-C4EF58636CAF}"/>
            </a:ext>
          </a:extLst>
        </xdr:cNvPr>
        <xdr:cNvPicPr>
          <a:picLocks noChangeAspect="1"/>
        </xdr:cNvPicPr>
      </xdr:nvPicPr>
      <xdr:blipFill>
        <a:blip xmlns:r="http://schemas.openxmlformats.org/officeDocument/2006/relationships" r:embed="rId3"/>
        <a:stretch>
          <a:fillRect/>
        </a:stretch>
      </xdr:blipFill>
      <xdr:spPr>
        <a:xfrm>
          <a:off x="160111" y="59404703"/>
          <a:ext cx="174332" cy="221490"/>
        </a:xfrm>
        <a:prstGeom prst="rect">
          <a:avLst/>
        </a:prstGeom>
      </xdr:spPr>
    </xdr:pic>
    <xdr:clientData/>
  </xdr:twoCellAnchor>
  <xdr:twoCellAnchor editAs="oneCell">
    <xdr:from>
      <xdr:col>22</xdr:col>
      <xdr:colOff>0</xdr:colOff>
      <xdr:row>321</xdr:row>
      <xdr:rowOff>54429</xdr:rowOff>
    </xdr:from>
    <xdr:to>
      <xdr:col>22</xdr:col>
      <xdr:colOff>887172</xdr:colOff>
      <xdr:row>322</xdr:row>
      <xdr:rowOff>145877</xdr:rowOff>
    </xdr:to>
    <xdr:pic>
      <xdr:nvPicPr>
        <xdr:cNvPr id="10" name="Picture 9">
          <a:extLst>
            <a:ext uri="{FF2B5EF4-FFF2-40B4-BE49-F238E27FC236}">
              <a16:creationId xmlns:a16="http://schemas.microsoft.com/office/drawing/2014/main" id="{2F3E06C8-718C-44BF-BDE9-7645B1155B1C}"/>
            </a:ext>
          </a:extLst>
        </xdr:cNvPr>
        <xdr:cNvPicPr>
          <a:picLocks noChangeAspect="1"/>
        </xdr:cNvPicPr>
      </xdr:nvPicPr>
      <xdr:blipFill>
        <a:blip xmlns:r="http://schemas.openxmlformats.org/officeDocument/2006/relationships" r:embed="rId4"/>
        <a:stretch>
          <a:fillRect/>
        </a:stretch>
      </xdr:blipFill>
      <xdr:spPr>
        <a:xfrm>
          <a:off x="23383875" y="59309454"/>
          <a:ext cx="887172" cy="291473"/>
        </a:xfrm>
        <a:prstGeom prst="rect">
          <a:avLst/>
        </a:prstGeom>
      </xdr:spPr>
    </xdr:pic>
    <xdr:clientData/>
  </xdr:twoCellAnchor>
  <xdr:twoCellAnchor editAs="oneCell">
    <xdr:from>
      <xdr:col>22</xdr:col>
      <xdr:colOff>0</xdr:colOff>
      <xdr:row>200</xdr:row>
      <xdr:rowOff>54429</xdr:rowOff>
    </xdr:from>
    <xdr:to>
      <xdr:col>22</xdr:col>
      <xdr:colOff>887172</xdr:colOff>
      <xdr:row>201</xdr:row>
      <xdr:rowOff>145878</xdr:rowOff>
    </xdr:to>
    <xdr:pic>
      <xdr:nvPicPr>
        <xdr:cNvPr id="11" name="Picture 10">
          <a:extLst>
            <a:ext uri="{FF2B5EF4-FFF2-40B4-BE49-F238E27FC236}">
              <a16:creationId xmlns:a16="http://schemas.microsoft.com/office/drawing/2014/main" id="{5AC4E944-A622-4685-850D-CD6BAD4AFF5E}"/>
            </a:ext>
          </a:extLst>
        </xdr:cNvPr>
        <xdr:cNvPicPr>
          <a:picLocks noChangeAspect="1"/>
        </xdr:cNvPicPr>
      </xdr:nvPicPr>
      <xdr:blipFill>
        <a:blip xmlns:r="http://schemas.openxmlformats.org/officeDocument/2006/relationships" r:embed="rId4"/>
        <a:stretch>
          <a:fillRect/>
        </a:stretch>
      </xdr:blipFill>
      <xdr:spPr>
        <a:xfrm>
          <a:off x="23383875" y="40630929"/>
          <a:ext cx="887172" cy="291474"/>
        </a:xfrm>
        <a:prstGeom prst="rect">
          <a:avLst/>
        </a:prstGeom>
      </xdr:spPr>
    </xdr:pic>
    <xdr:clientData/>
  </xdr:twoCellAnchor>
  <xdr:twoCellAnchor editAs="oneCell">
    <xdr:from>
      <xdr:col>21</xdr:col>
      <xdr:colOff>1238250</xdr:colOff>
      <xdr:row>139</xdr:row>
      <xdr:rowOff>54428</xdr:rowOff>
    </xdr:from>
    <xdr:to>
      <xdr:col>22</xdr:col>
      <xdr:colOff>867215</xdr:colOff>
      <xdr:row>140</xdr:row>
      <xdr:rowOff>145876</xdr:rowOff>
    </xdr:to>
    <xdr:pic>
      <xdr:nvPicPr>
        <xdr:cNvPr id="12" name="Picture 11">
          <a:extLst>
            <a:ext uri="{FF2B5EF4-FFF2-40B4-BE49-F238E27FC236}">
              <a16:creationId xmlns:a16="http://schemas.microsoft.com/office/drawing/2014/main" id="{6E96E441-5A7D-44D0-A0BB-EBE1A615A276}"/>
            </a:ext>
          </a:extLst>
        </xdr:cNvPr>
        <xdr:cNvPicPr>
          <a:picLocks noChangeAspect="1"/>
        </xdr:cNvPicPr>
      </xdr:nvPicPr>
      <xdr:blipFill>
        <a:blip xmlns:r="http://schemas.openxmlformats.org/officeDocument/2006/relationships" r:embed="rId4"/>
        <a:stretch>
          <a:fillRect/>
        </a:stretch>
      </xdr:blipFill>
      <xdr:spPr>
        <a:xfrm>
          <a:off x="23383875" y="28391303"/>
          <a:ext cx="867215" cy="291473"/>
        </a:xfrm>
        <a:prstGeom prst="rect">
          <a:avLst/>
        </a:prstGeom>
      </xdr:spPr>
    </xdr:pic>
    <xdr:clientData/>
  </xdr:twoCellAnchor>
  <xdr:twoCellAnchor editAs="oneCell">
    <xdr:from>
      <xdr:col>22</xdr:col>
      <xdr:colOff>0</xdr:colOff>
      <xdr:row>62</xdr:row>
      <xdr:rowOff>40821</xdr:rowOff>
    </xdr:from>
    <xdr:to>
      <xdr:col>22</xdr:col>
      <xdr:colOff>887172</xdr:colOff>
      <xdr:row>63</xdr:row>
      <xdr:rowOff>135444</xdr:rowOff>
    </xdr:to>
    <xdr:pic>
      <xdr:nvPicPr>
        <xdr:cNvPr id="13" name="Picture 12">
          <a:extLst>
            <a:ext uri="{FF2B5EF4-FFF2-40B4-BE49-F238E27FC236}">
              <a16:creationId xmlns:a16="http://schemas.microsoft.com/office/drawing/2014/main" id="{34D3792E-4BFC-4046-99FA-44A5A6C2CB07}"/>
            </a:ext>
          </a:extLst>
        </xdr:cNvPr>
        <xdr:cNvPicPr>
          <a:picLocks noChangeAspect="1"/>
        </xdr:cNvPicPr>
      </xdr:nvPicPr>
      <xdr:blipFill>
        <a:blip xmlns:r="http://schemas.openxmlformats.org/officeDocument/2006/relationships" r:embed="rId4"/>
        <a:stretch>
          <a:fillRect/>
        </a:stretch>
      </xdr:blipFill>
      <xdr:spPr>
        <a:xfrm>
          <a:off x="23383875" y="12547146"/>
          <a:ext cx="887172" cy="294648"/>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22</xdr:col>
      <xdr:colOff>1095375</xdr:colOff>
      <xdr:row>323</xdr:row>
      <xdr:rowOff>123825</xdr:rowOff>
    </xdr:from>
    <xdr:to>
      <xdr:col>22</xdr:col>
      <xdr:colOff>1895475</xdr:colOff>
      <xdr:row>324</xdr:row>
      <xdr:rowOff>152400</xdr:rowOff>
    </xdr:to>
    <xdr:pic>
      <xdr:nvPicPr>
        <xdr:cNvPr id="2" name="Picture 1" descr="C:\WINDOWS\TEMP\~0003946.gif">
          <a:extLst>
            <a:ext uri="{FF2B5EF4-FFF2-40B4-BE49-F238E27FC236}">
              <a16:creationId xmlns:a16="http://schemas.microsoft.com/office/drawing/2014/main" id="{8AA33952-A1B1-4A7D-819E-1B175D592BE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650144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1835DEB2-24F0-4D1D-9C44-ED812148251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4950" y="407289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13902B8E-EA7E-4BD1-9BE8-9E8C0CB75F2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284956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8ADD6899-E988-4BD0-92C3-7B9D04D5842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126650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172141</xdr:rowOff>
    </xdr:to>
    <xdr:pic>
      <xdr:nvPicPr>
        <xdr:cNvPr id="6" name="Picture 5">
          <a:extLst>
            <a:ext uri="{FF2B5EF4-FFF2-40B4-BE49-F238E27FC236}">
              <a16:creationId xmlns:a16="http://schemas.microsoft.com/office/drawing/2014/main" id="{4A8EEEDF-3158-4D83-AC8F-205DCF170D09}"/>
            </a:ext>
          </a:extLst>
        </xdr:cNvPr>
        <xdr:cNvPicPr>
          <a:picLocks noChangeAspect="1"/>
        </xdr:cNvPicPr>
      </xdr:nvPicPr>
      <xdr:blipFill>
        <a:blip xmlns:r="http://schemas.openxmlformats.org/officeDocument/2006/relationships" r:embed="rId3"/>
        <a:stretch>
          <a:fillRect/>
        </a:stretch>
      </xdr:blipFill>
      <xdr:spPr>
        <a:xfrm>
          <a:off x="136071" y="12642396"/>
          <a:ext cx="170703" cy="227840"/>
        </a:xfrm>
        <a:prstGeom prst="rect">
          <a:avLst/>
        </a:prstGeom>
      </xdr:spPr>
    </xdr:pic>
    <xdr:clientData/>
  </xdr:twoCellAnchor>
  <xdr:twoCellAnchor editAs="oneCell">
    <xdr:from>
      <xdr:col>0</xdr:col>
      <xdr:colOff>176893</xdr:colOff>
      <xdr:row>139</xdr:row>
      <xdr:rowOff>81643</xdr:rowOff>
    </xdr:from>
    <xdr:to>
      <xdr:col>1</xdr:col>
      <xdr:colOff>16307</xdr:colOff>
      <xdr:row>140</xdr:row>
      <xdr:rowOff>94853</xdr:rowOff>
    </xdr:to>
    <xdr:pic>
      <xdr:nvPicPr>
        <xdr:cNvPr id="7" name="Picture 6">
          <a:extLst>
            <a:ext uri="{FF2B5EF4-FFF2-40B4-BE49-F238E27FC236}">
              <a16:creationId xmlns:a16="http://schemas.microsoft.com/office/drawing/2014/main" id="{2CE5B28E-4388-4BED-9A10-E40F30A918F8}"/>
            </a:ext>
          </a:extLst>
        </xdr:cNvPr>
        <xdr:cNvPicPr>
          <a:picLocks noChangeAspect="1"/>
        </xdr:cNvPicPr>
      </xdr:nvPicPr>
      <xdr:blipFill>
        <a:blip xmlns:r="http://schemas.openxmlformats.org/officeDocument/2006/relationships" r:embed="rId3"/>
        <a:stretch>
          <a:fillRect/>
        </a:stretch>
      </xdr:blipFill>
      <xdr:spPr>
        <a:xfrm>
          <a:off x="180068" y="28421693"/>
          <a:ext cx="160724" cy="218315"/>
        </a:xfrm>
        <a:prstGeom prst="rect">
          <a:avLst/>
        </a:prstGeom>
      </xdr:spPr>
    </xdr:pic>
    <xdr:clientData/>
  </xdr:twoCellAnchor>
  <xdr:twoCellAnchor editAs="oneCell">
    <xdr:from>
      <xdr:col>0</xdr:col>
      <xdr:colOff>176893</xdr:colOff>
      <xdr:row>200</xdr:row>
      <xdr:rowOff>108857</xdr:rowOff>
    </xdr:from>
    <xdr:to>
      <xdr:col>1</xdr:col>
      <xdr:colOff>16307</xdr:colOff>
      <xdr:row>201</xdr:row>
      <xdr:rowOff>130323</xdr:rowOff>
    </xdr:to>
    <xdr:pic>
      <xdr:nvPicPr>
        <xdr:cNvPr id="8" name="Picture 7">
          <a:extLst>
            <a:ext uri="{FF2B5EF4-FFF2-40B4-BE49-F238E27FC236}">
              <a16:creationId xmlns:a16="http://schemas.microsoft.com/office/drawing/2014/main" id="{5DF1A8FB-EA4F-4D43-A291-D1D71D2D03A0}"/>
            </a:ext>
          </a:extLst>
        </xdr:cNvPr>
        <xdr:cNvPicPr>
          <a:picLocks noChangeAspect="1"/>
        </xdr:cNvPicPr>
      </xdr:nvPicPr>
      <xdr:blipFill>
        <a:blip xmlns:r="http://schemas.openxmlformats.org/officeDocument/2006/relationships" r:embed="rId3"/>
        <a:stretch>
          <a:fillRect/>
        </a:stretch>
      </xdr:blipFill>
      <xdr:spPr>
        <a:xfrm>
          <a:off x="180068" y="40682182"/>
          <a:ext cx="160724" cy="224666"/>
        </a:xfrm>
        <a:prstGeom prst="rect">
          <a:avLst/>
        </a:prstGeom>
      </xdr:spPr>
    </xdr:pic>
    <xdr:clientData/>
  </xdr:twoCellAnchor>
  <xdr:twoCellAnchor editAs="oneCell">
    <xdr:from>
      <xdr:col>0</xdr:col>
      <xdr:colOff>163286</xdr:colOff>
      <xdr:row>323</xdr:row>
      <xdr:rowOff>149678</xdr:rowOff>
    </xdr:from>
    <xdr:to>
      <xdr:col>1</xdr:col>
      <xdr:colOff>1068</xdr:colOff>
      <xdr:row>324</xdr:row>
      <xdr:rowOff>171143</xdr:rowOff>
    </xdr:to>
    <xdr:pic>
      <xdr:nvPicPr>
        <xdr:cNvPr id="9" name="Picture 8">
          <a:extLst>
            <a:ext uri="{FF2B5EF4-FFF2-40B4-BE49-F238E27FC236}">
              <a16:creationId xmlns:a16="http://schemas.microsoft.com/office/drawing/2014/main" id="{DD0BEAA8-5DCF-460A-99FD-CE134BBF777A}"/>
            </a:ext>
          </a:extLst>
        </xdr:cNvPr>
        <xdr:cNvPicPr>
          <a:picLocks noChangeAspect="1"/>
        </xdr:cNvPicPr>
      </xdr:nvPicPr>
      <xdr:blipFill>
        <a:blip xmlns:r="http://schemas.openxmlformats.org/officeDocument/2006/relationships" r:embed="rId3"/>
        <a:stretch>
          <a:fillRect/>
        </a:stretch>
      </xdr:blipFill>
      <xdr:spPr>
        <a:xfrm>
          <a:off x="160111" y="65043503"/>
          <a:ext cx="174332" cy="221490"/>
        </a:xfrm>
        <a:prstGeom prst="rect">
          <a:avLst/>
        </a:prstGeom>
      </xdr:spPr>
    </xdr:pic>
    <xdr:clientData/>
  </xdr:twoCellAnchor>
  <xdr:twoCellAnchor editAs="oneCell">
    <xdr:from>
      <xdr:col>22</xdr:col>
      <xdr:colOff>0</xdr:colOff>
      <xdr:row>323</xdr:row>
      <xdr:rowOff>54429</xdr:rowOff>
    </xdr:from>
    <xdr:to>
      <xdr:col>22</xdr:col>
      <xdr:colOff>892887</xdr:colOff>
      <xdr:row>324</xdr:row>
      <xdr:rowOff>136352</xdr:rowOff>
    </xdr:to>
    <xdr:pic>
      <xdr:nvPicPr>
        <xdr:cNvPr id="10" name="Picture 9">
          <a:extLst>
            <a:ext uri="{FF2B5EF4-FFF2-40B4-BE49-F238E27FC236}">
              <a16:creationId xmlns:a16="http://schemas.microsoft.com/office/drawing/2014/main" id="{FAA6FABD-5705-43A5-8DB7-44F657E1486E}"/>
            </a:ext>
          </a:extLst>
        </xdr:cNvPr>
        <xdr:cNvPicPr>
          <a:picLocks noChangeAspect="1"/>
        </xdr:cNvPicPr>
      </xdr:nvPicPr>
      <xdr:blipFill>
        <a:blip xmlns:r="http://schemas.openxmlformats.org/officeDocument/2006/relationships" r:embed="rId4"/>
        <a:stretch>
          <a:fillRect/>
        </a:stretch>
      </xdr:blipFill>
      <xdr:spPr>
        <a:xfrm>
          <a:off x="23383875" y="64948254"/>
          <a:ext cx="883997" cy="288298"/>
        </a:xfrm>
        <a:prstGeom prst="rect">
          <a:avLst/>
        </a:prstGeom>
      </xdr:spPr>
    </xdr:pic>
    <xdr:clientData/>
  </xdr:twoCellAnchor>
  <xdr:twoCellAnchor editAs="oneCell">
    <xdr:from>
      <xdr:col>22</xdr:col>
      <xdr:colOff>0</xdr:colOff>
      <xdr:row>200</xdr:row>
      <xdr:rowOff>54429</xdr:rowOff>
    </xdr:from>
    <xdr:to>
      <xdr:col>22</xdr:col>
      <xdr:colOff>892887</xdr:colOff>
      <xdr:row>201</xdr:row>
      <xdr:rowOff>136353</xdr:rowOff>
    </xdr:to>
    <xdr:pic>
      <xdr:nvPicPr>
        <xdr:cNvPr id="11" name="Picture 10">
          <a:extLst>
            <a:ext uri="{FF2B5EF4-FFF2-40B4-BE49-F238E27FC236}">
              <a16:creationId xmlns:a16="http://schemas.microsoft.com/office/drawing/2014/main" id="{107738F8-906A-4B34-94B2-ECA2D1373DAF}"/>
            </a:ext>
          </a:extLst>
        </xdr:cNvPr>
        <xdr:cNvPicPr>
          <a:picLocks noChangeAspect="1"/>
        </xdr:cNvPicPr>
      </xdr:nvPicPr>
      <xdr:blipFill>
        <a:blip xmlns:r="http://schemas.openxmlformats.org/officeDocument/2006/relationships" r:embed="rId4"/>
        <a:stretch>
          <a:fillRect/>
        </a:stretch>
      </xdr:blipFill>
      <xdr:spPr>
        <a:xfrm>
          <a:off x="23383875" y="40630929"/>
          <a:ext cx="883997" cy="288299"/>
        </a:xfrm>
        <a:prstGeom prst="rect">
          <a:avLst/>
        </a:prstGeom>
      </xdr:spPr>
    </xdr:pic>
    <xdr:clientData/>
  </xdr:twoCellAnchor>
  <xdr:twoCellAnchor editAs="oneCell">
    <xdr:from>
      <xdr:col>21</xdr:col>
      <xdr:colOff>1238250</xdr:colOff>
      <xdr:row>139</xdr:row>
      <xdr:rowOff>54428</xdr:rowOff>
    </xdr:from>
    <xdr:to>
      <xdr:col>22</xdr:col>
      <xdr:colOff>855785</xdr:colOff>
      <xdr:row>140</xdr:row>
      <xdr:rowOff>136351</xdr:rowOff>
    </xdr:to>
    <xdr:pic>
      <xdr:nvPicPr>
        <xdr:cNvPr id="12" name="Picture 11">
          <a:extLst>
            <a:ext uri="{FF2B5EF4-FFF2-40B4-BE49-F238E27FC236}">
              <a16:creationId xmlns:a16="http://schemas.microsoft.com/office/drawing/2014/main" id="{3BD5F364-DDC9-4CC5-B0CA-C0D9345673FC}"/>
            </a:ext>
          </a:extLst>
        </xdr:cNvPr>
        <xdr:cNvPicPr>
          <a:picLocks noChangeAspect="1"/>
        </xdr:cNvPicPr>
      </xdr:nvPicPr>
      <xdr:blipFill>
        <a:blip xmlns:r="http://schemas.openxmlformats.org/officeDocument/2006/relationships" r:embed="rId4"/>
        <a:stretch>
          <a:fillRect/>
        </a:stretch>
      </xdr:blipFill>
      <xdr:spPr>
        <a:xfrm>
          <a:off x="23383875" y="28391303"/>
          <a:ext cx="864040" cy="288298"/>
        </a:xfrm>
        <a:prstGeom prst="rect">
          <a:avLst/>
        </a:prstGeom>
      </xdr:spPr>
    </xdr:pic>
    <xdr:clientData/>
  </xdr:twoCellAnchor>
  <xdr:twoCellAnchor editAs="oneCell">
    <xdr:from>
      <xdr:col>22</xdr:col>
      <xdr:colOff>0</xdr:colOff>
      <xdr:row>62</xdr:row>
      <xdr:rowOff>40821</xdr:rowOff>
    </xdr:from>
    <xdr:to>
      <xdr:col>22</xdr:col>
      <xdr:colOff>892887</xdr:colOff>
      <xdr:row>63</xdr:row>
      <xdr:rowOff>135444</xdr:rowOff>
    </xdr:to>
    <xdr:pic>
      <xdr:nvPicPr>
        <xdr:cNvPr id="13" name="Picture 12">
          <a:extLst>
            <a:ext uri="{FF2B5EF4-FFF2-40B4-BE49-F238E27FC236}">
              <a16:creationId xmlns:a16="http://schemas.microsoft.com/office/drawing/2014/main" id="{8130E2B9-1EC5-43D5-A9EE-B67F2B8F67CA}"/>
            </a:ext>
          </a:extLst>
        </xdr:cNvPr>
        <xdr:cNvPicPr>
          <a:picLocks noChangeAspect="1"/>
        </xdr:cNvPicPr>
      </xdr:nvPicPr>
      <xdr:blipFill>
        <a:blip xmlns:r="http://schemas.openxmlformats.org/officeDocument/2006/relationships" r:embed="rId4"/>
        <a:stretch>
          <a:fillRect/>
        </a:stretch>
      </xdr:blipFill>
      <xdr:spPr>
        <a:xfrm>
          <a:off x="23383875" y="12547146"/>
          <a:ext cx="883997" cy="29464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22</xdr:col>
      <xdr:colOff>1095375</xdr:colOff>
      <xdr:row>323</xdr:row>
      <xdr:rowOff>123825</xdr:rowOff>
    </xdr:from>
    <xdr:to>
      <xdr:col>22</xdr:col>
      <xdr:colOff>1895475</xdr:colOff>
      <xdr:row>324</xdr:row>
      <xdr:rowOff>152400</xdr:rowOff>
    </xdr:to>
    <xdr:pic>
      <xdr:nvPicPr>
        <xdr:cNvPr id="2" name="Picture 1" descr="C:\WINDOWS\TEMP\~0003946.gif">
          <a:extLst>
            <a:ext uri="{FF2B5EF4-FFF2-40B4-BE49-F238E27FC236}">
              <a16:creationId xmlns:a16="http://schemas.microsoft.com/office/drawing/2014/main" id="{06F64AB5-4703-4048-BE69-C90214A7C08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654145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01660E48-002B-4E1D-AD63-73BDB8A8DF6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4950" y="407289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2B2A8AEA-34E3-473F-AFF8-AE0CD3ABECD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284956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B6D68D12-7AE3-47DD-AC2C-04F8FF09A43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126650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172141</xdr:rowOff>
    </xdr:to>
    <xdr:pic>
      <xdr:nvPicPr>
        <xdr:cNvPr id="6" name="Picture 5">
          <a:extLst>
            <a:ext uri="{FF2B5EF4-FFF2-40B4-BE49-F238E27FC236}">
              <a16:creationId xmlns:a16="http://schemas.microsoft.com/office/drawing/2014/main" id="{69380398-B21E-4890-9ACA-5E59E2218BDC}"/>
            </a:ext>
          </a:extLst>
        </xdr:cNvPr>
        <xdr:cNvPicPr>
          <a:picLocks noChangeAspect="1"/>
        </xdr:cNvPicPr>
      </xdr:nvPicPr>
      <xdr:blipFill>
        <a:blip xmlns:r="http://schemas.openxmlformats.org/officeDocument/2006/relationships" r:embed="rId3"/>
        <a:stretch>
          <a:fillRect/>
        </a:stretch>
      </xdr:blipFill>
      <xdr:spPr>
        <a:xfrm>
          <a:off x="136071" y="12642396"/>
          <a:ext cx="170703" cy="236095"/>
        </a:xfrm>
        <a:prstGeom prst="rect">
          <a:avLst/>
        </a:prstGeom>
      </xdr:spPr>
    </xdr:pic>
    <xdr:clientData/>
  </xdr:twoCellAnchor>
  <xdr:twoCellAnchor editAs="oneCell">
    <xdr:from>
      <xdr:col>0</xdr:col>
      <xdr:colOff>176893</xdr:colOff>
      <xdr:row>139</xdr:row>
      <xdr:rowOff>81643</xdr:rowOff>
    </xdr:from>
    <xdr:to>
      <xdr:col>1</xdr:col>
      <xdr:colOff>16307</xdr:colOff>
      <xdr:row>140</xdr:row>
      <xdr:rowOff>94853</xdr:rowOff>
    </xdr:to>
    <xdr:pic>
      <xdr:nvPicPr>
        <xdr:cNvPr id="7" name="Picture 6">
          <a:extLst>
            <a:ext uri="{FF2B5EF4-FFF2-40B4-BE49-F238E27FC236}">
              <a16:creationId xmlns:a16="http://schemas.microsoft.com/office/drawing/2014/main" id="{077B8B88-F85F-445F-8B7D-9B8DC109A84C}"/>
            </a:ext>
          </a:extLst>
        </xdr:cNvPr>
        <xdr:cNvPicPr>
          <a:picLocks noChangeAspect="1"/>
        </xdr:cNvPicPr>
      </xdr:nvPicPr>
      <xdr:blipFill>
        <a:blip xmlns:r="http://schemas.openxmlformats.org/officeDocument/2006/relationships" r:embed="rId3"/>
        <a:stretch>
          <a:fillRect/>
        </a:stretch>
      </xdr:blipFill>
      <xdr:spPr>
        <a:xfrm>
          <a:off x="180068" y="28421693"/>
          <a:ext cx="169614" cy="210060"/>
        </a:xfrm>
        <a:prstGeom prst="rect">
          <a:avLst/>
        </a:prstGeom>
      </xdr:spPr>
    </xdr:pic>
    <xdr:clientData/>
  </xdr:twoCellAnchor>
  <xdr:twoCellAnchor editAs="oneCell">
    <xdr:from>
      <xdr:col>0</xdr:col>
      <xdr:colOff>176893</xdr:colOff>
      <xdr:row>200</xdr:row>
      <xdr:rowOff>108857</xdr:rowOff>
    </xdr:from>
    <xdr:to>
      <xdr:col>1</xdr:col>
      <xdr:colOff>16307</xdr:colOff>
      <xdr:row>201</xdr:row>
      <xdr:rowOff>130323</xdr:rowOff>
    </xdr:to>
    <xdr:pic>
      <xdr:nvPicPr>
        <xdr:cNvPr id="8" name="Picture 7">
          <a:extLst>
            <a:ext uri="{FF2B5EF4-FFF2-40B4-BE49-F238E27FC236}">
              <a16:creationId xmlns:a16="http://schemas.microsoft.com/office/drawing/2014/main" id="{69EE3FC2-ABA0-4248-ABC6-B6BC02A87B7A}"/>
            </a:ext>
          </a:extLst>
        </xdr:cNvPr>
        <xdr:cNvPicPr>
          <a:picLocks noChangeAspect="1"/>
        </xdr:cNvPicPr>
      </xdr:nvPicPr>
      <xdr:blipFill>
        <a:blip xmlns:r="http://schemas.openxmlformats.org/officeDocument/2006/relationships" r:embed="rId3"/>
        <a:stretch>
          <a:fillRect/>
        </a:stretch>
      </xdr:blipFill>
      <xdr:spPr>
        <a:xfrm>
          <a:off x="180068" y="40682182"/>
          <a:ext cx="169614" cy="224666"/>
        </a:xfrm>
        <a:prstGeom prst="rect">
          <a:avLst/>
        </a:prstGeom>
      </xdr:spPr>
    </xdr:pic>
    <xdr:clientData/>
  </xdr:twoCellAnchor>
  <xdr:twoCellAnchor editAs="oneCell">
    <xdr:from>
      <xdr:col>0</xdr:col>
      <xdr:colOff>163286</xdr:colOff>
      <xdr:row>323</xdr:row>
      <xdr:rowOff>149678</xdr:rowOff>
    </xdr:from>
    <xdr:to>
      <xdr:col>1</xdr:col>
      <xdr:colOff>1068</xdr:colOff>
      <xdr:row>324</xdr:row>
      <xdr:rowOff>171143</xdr:rowOff>
    </xdr:to>
    <xdr:pic>
      <xdr:nvPicPr>
        <xdr:cNvPr id="9" name="Picture 8">
          <a:extLst>
            <a:ext uri="{FF2B5EF4-FFF2-40B4-BE49-F238E27FC236}">
              <a16:creationId xmlns:a16="http://schemas.microsoft.com/office/drawing/2014/main" id="{B61D7868-03E7-47FC-AECC-26C0B3DEEA93}"/>
            </a:ext>
          </a:extLst>
        </xdr:cNvPr>
        <xdr:cNvPicPr>
          <a:picLocks noChangeAspect="1"/>
        </xdr:cNvPicPr>
      </xdr:nvPicPr>
      <xdr:blipFill>
        <a:blip xmlns:r="http://schemas.openxmlformats.org/officeDocument/2006/relationships" r:embed="rId3"/>
        <a:stretch>
          <a:fillRect/>
        </a:stretch>
      </xdr:blipFill>
      <xdr:spPr>
        <a:xfrm>
          <a:off x="160111" y="65443553"/>
          <a:ext cx="174332" cy="221490"/>
        </a:xfrm>
        <a:prstGeom prst="rect">
          <a:avLst/>
        </a:prstGeom>
      </xdr:spPr>
    </xdr:pic>
    <xdr:clientData/>
  </xdr:twoCellAnchor>
  <xdr:twoCellAnchor editAs="oneCell">
    <xdr:from>
      <xdr:col>22</xdr:col>
      <xdr:colOff>0</xdr:colOff>
      <xdr:row>323</xdr:row>
      <xdr:rowOff>54429</xdr:rowOff>
    </xdr:from>
    <xdr:to>
      <xdr:col>22</xdr:col>
      <xdr:colOff>892887</xdr:colOff>
      <xdr:row>324</xdr:row>
      <xdr:rowOff>136352</xdr:rowOff>
    </xdr:to>
    <xdr:pic>
      <xdr:nvPicPr>
        <xdr:cNvPr id="10" name="Picture 9">
          <a:extLst>
            <a:ext uri="{FF2B5EF4-FFF2-40B4-BE49-F238E27FC236}">
              <a16:creationId xmlns:a16="http://schemas.microsoft.com/office/drawing/2014/main" id="{506BBABB-E03B-4492-A8F1-58DB24256320}"/>
            </a:ext>
          </a:extLst>
        </xdr:cNvPr>
        <xdr:cNvPicPr>
          <a:picLocks noChangeAspect="1"/>
        </xdr:cNvPicPr>
      </xdr:nvPicPr>
      <xdr:blipFill>
        <a:blip xmlns:r="http://schemas.openxmlformats.org/officeDocument/2006/relationships" r:embed="rId4"/>
        <a:stretch>
          <a:fillRect/>
        </a:stretch>
      </xdr:blipFill>
      <xdr:spPr>
        <a:xfrm>
          <a:off x="23383875" y="65348304"/>
          <a:ext cx="892887" cy="281948"/>
        </a:xfrm>
        <a:prstGeom prst="rect">
          <a:avLst/>
        </a:prstGeom>
      </xdr:spPr>
    </xdr:pic>
    <xdr:clientData/>
  </xdr:twoCellAnchor>
  <xdr:twoCellAnchor editAs="oneCell">
    <xdr:from>
      <xdr:col>22</xdr:col>
      <xdr:colOff>0</xdr:colOff>
      <xdr:row>200</xdr:row>
      <xdr:rowOff>54429</xdr:rowOff>
    </xdr:from>
    <xdr:to>
      <xdr:col>22</xdr:col>
      <xdr:colOff>892887</xdr:colOff>
      <xdr:row>201</xdr:row>
      <xdr:rowOff>136353</xdr:rowOff>
    </xdr:to>
    <xdr:pic>
      <xdr:nvPicPr>
        <xdr:cNvPr id="11" name="Picture 10">
          <a:extLst>
            <a:ext uri="{FF2B5EF4-FFF2-40B4-BE49-F238E27FC236}">
              <a16:creationId xmlns:a16="http://schemas.microsoft.com/office/drawing/2014/main" id="{04EC9871-33BD-4308-84CD-96D23BAC09B0}"/>
            </a:ext>
          </a:extLst>
        </xdr:cNvPr>
        <xdr:cNvPicPr>
          <a:picLocks noChangeAspect="1"/>
        </xdr:cNvPicPr>
      </xdr:nvPicPr>
      <xdr:blipFill>
        <a:blip xmlns:r="http://schemas.openxmlformats.org/officeDocument/2006/relationships" r:embed="rId4"/>
        <a:stretch>
          <a:fillRect/>
        </a:stretch>
      </xdr:blipFill>
      <xdr:spPr>
        <a:xfrm>
          <a:off x="23383875" y="40630929"/>
          <a:ext cx="892887" cy="281949"/>
        </a:xfrm>
        <a:prstGeom prst="rect">
          <a:avLst/>
        </a:prstGeom>
      </xdr:spPr>
    </xdr:pic>
    <xdr:clientData/>
  </xdr:twoCellAnchor>
  <xdr:twoCellAnchor editAs="oneCell">
    <xdr:from>
      <xdr:col>21</xdr:col>
      <xdr:colOff>1238250</xdr:colOff>
      <xdr:row>139</xdr:row>
      <xdr:rowOff>54428</xdr:rowOff>
    </xdr:from>
    <xdr:to>
      <xdr:col>22</xdr:col>
      <xdr:colOff>855785</xdr:colOff>
      <xdr:row>140</xdr:row>
      <xdr:rowOff>136351</xdr:rowOff>
    </xdr:to>
    <xdr:pic>
      <xdr:nvPicPr>
        <xdr:cNvPr id="12" name="Picture 11">
          <a:extLst>
            <a:ext uri="{FF2B5EF4-FFF2-40B4-BE49-F238E27FC236}">
              <a16:creationId xmlns:a16="http://schemas.microsoft.com/office/drawing/2014/main" id="{D4C4B6F0-C8A4-4785-97CC-D743AA177A7C}"/>
            </a:ext>
          </a:extLst>
        </xdr:cNvPr>
        <xdr:cNvPicPr>
          <a:picLocks noChangeAspect="1"/>
        </xdr:cNvPicPr>
      </xdr:nvPicPr>
      <xdr:blipFill>
        <a:blip xmlns:r="http://schemas.openxmlformats.org/officeDocument/2006/relationships" r:embed="rId4"/>
        <a:stretch>
          <a:fillRect/>
        </a:stretch>
      </xdr:blipFill>
      <xdr:spPr>
        <a:xfrm>
          <a:off x="23383875" y="28391303"/>
          <a:ext cx="855785" cy="281948"/>
        </a:xfrm>
        <a:prstGeom prst="rect">
          <a:avLst/>
        </a:prstGeom>
      </xdr:spPr>
    </xdr:pic>
    <xdr:clientData/>
  </xdr:twoCellAnchor>
  <xdr:twoCellAnchor editAs="oneCell">
    <xdr:from>
      <xdr:col>22</xdr:col>
      <xdr:colOff>0</xdr:colOff>
      <xdr:row>62</xdr:row>
      <xdr:rowOff>40821</xdr:rowOff>
    </xdr:from>
    <xdr:to>
      <xdr:col>22</xdr:col>
      <xdr:colOff>892887</xdr:colOff>
      <xdr:row>63</xdr:row>
      <xdr:rowOff>135444</xdr:rowOff>
    </xdr:to>
    <xdr:pic>
      <xdr:nvPicPr>
        <xdr:cNvPr id="13" name="Picture 12">
          <a:extLst>
            <a:ext uri="{FF2B5EF4-FFF2-40B4-BE49-F238E27FC236}">
              <a16:creationId xmlns:a16="http://schemas.microsoft.com/office/drawing/2014/main" id="{11150EEC-C054-45CF-87DE-8B3D96F64379}"/>
            </a:ext>
          </a:extLst>
        </xdr:cNvPr>
        <xdr:cNvPicPr>
          <a:picLocks noChangeAspect="1"/>
        </xdr:cNvPicPr>
      </xdr:nvPicPr>
      <xdr:blipFill>
        <a:blip xmlns:r="http://schemas.openxmlformats.org/officeDocument/2006/relationships" r:embed="rId4"/>
        <a:stretch>
          <a:fillRect/>
        </a:stretch>
      </xdr:blipFill>
      <xdr:spPr>
        <a:xfrm>
          <a:off x="23383875" y="12547146"/>
          <a:ext cx="892887" cy="294648"/>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22</xdr:col>
      <xdr:colOff>1095375</xdr:colOff>
      <xdr:row>323</xdr:row>
      <xdr:rowOff>123825</xdr:rowOff>
    </xdr:from>
    <xdr:to>
      <xdr:col>22</xdr:col>
      <xdr:colOff>1895475</xdr:colOff>
      <xdr:row>324</xdr:row>
      <xdr:rowOff>152400</xdr:rowOff>
    </xdr:to>
    <xdr:pic>
      <xdr:nvPicPr>
        <xdr:cNvPr id="2" name="Picture 1" descr="C:\WINDOWS\TEMP\~0003946.gif">
          <a:extLst>
            <a:ext uri="{FF2B5EF4-FFF2-40B4-BE49-F238E27FC236}">
              <a16:creationId xmlns:a16="http://schemas.microsoft.com/office/drawing/2014/main" id="{44318BF8-2C62-4F4D-BA5D-F46304EC5D9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654145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E2201A9D-0050-43D2-8927-6868D4B364D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4950" y="407289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FE05624E-9B82-4614-9F83-580D502F14A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284956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644B1B72-C3BE-4AAF-BE36-63926427E88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126650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172141</xdr:rowOff>
    </xdr:to>
    <xdr:pic>
      <xdr:nvPicPr>
        <xdr:cNvPr id="6" name="Picture 5">
          <a:extLst>
            <a:ext uri="{FF2B5EF4-FFF2-40B4-BE49-F238E27FC236}">
              <a16:creationId xmlns:a16="http://schemas.microsoft.com/office/drawing/2014/main" id="{AAF28C9B-A28C-4720-969A-84FF103A8DF7}"/>
            </a:ext>
          </a:extLst>
        </xdr:cNvPr>
        <xdr:cNvPicPr>
          <a:picLocks noChangeAspect="1"/>
        </xdr:cNvPicPr>
      </xdr:nvPicPr>
      <xdr:blipFill>
        <a:blip xmlns:r="http://schemas.openxmlformats.org/officeDocument/2006/relationships" r:embed="rId3"/>
        <a:stretch>
          <a:fillRect/>
        </a:stretch>
      </xdr:blipFill>
      <xdr:spPr>
        <a:xfrm>
          <a:off x="136071" y="12642396"/>
          <a:ext cx="170703" cy="236095"/>
        </a:xfrm>
        <a:prstGeom prst="rect">
          <a:avLst/>
        </a:prstGeom>
      </xdr:spPr>
    </xdr:pic>
    <xdr:clientData/>
  </xdr:twoCellAnchor>
  <xdr:twoCellAnchor editAs="oneCell">
    <xdr:from>
      <xdr:col>0</xdr:col>
      <xdr:colOff>176893</xdr:colOff>
      <xdr:row>139</xdr:row>
      <xdr:rowOff>81643</xdr:rowOff>
    </xdr:from>
    <xdr:to>
      <xdr:col>1</xdr:col>
      <xdr:colOff>16307</xdr:colOff>
      <xdr:row>140</xdr:row>
      <xdr:rowOff>94853</xdr:rowOff>
    </xdr:to>
    <xdr:pic>
      <xdr:nvPicPr>
        <xdr:cNvPr id="7" name="Picture 6">
          <a:extLst>
            <a:ext uri="{FF2B5EF4-FFF2-40B4-BE49-F238E27FC236}">
              <a16:creationId xmlns:a16="http://schemas.microsoft.com/office/drawing/2014/main" id="{3A074F3D-551D-4A0D-A5BF-1D1EFC83AB1C}"/>
            </a:ext>
          </a:extLst>
        </xdr:cNvPr>
        <xdr:cNvPicPr>
          <a:picLocks noChangeAspect="1"/>
        </xdr:cNvPicPr>
      </xdr:nvPicPr>
      <xdr:blipFill>
        <a:blip xmlns:r="http://schemas.openxmlformats.org/officeDocument/2006/relationships" r:embed="rId3"/>
        <a:stretch>
          <a:fillRect/>
        </a:stretch>
      </xdr:blipFill>
      <xdr:spPr>
        <a:xfrm>
          <a:off x="180068" y="28421693"/>
          <a:ext cx="169614" cy="210060"/>
        </a:xfrm>
        <a:prstGeom prst="rect">
          <a:avLst/>
        </a:prstGeom>
      </xdr:spPr>
    </xdr:pic>
    <xdr:clientData/>
  </xdr:twoCellAnchor>
  <xdr:twoCellAnchor editAs="oneCell">
    <xdr:from>
      <xdr:col>0</xdr:col>
      <xdr:colOff>176893</xdr:colOff>
      <xdr:row>200</xdr:row>
      <xdr:rowOff>108857</xdr:rowOff>
    </xdr:from>
    <xdr:to>
      <xdr:col>1</xdr:col>
      <xdr:colOff>16307</xdr:colOff>
      <xdr:row>201</xdr:row>
      <xdr:rowOff>130323</xdr:rowOff>
    </xdr:to>
    <xdr:pic>
      <xdr:nvPicPr>
        <xdr:cNvPr id="8" name="Picture 7">
          <a:extLst>
            <a:ext uri="{FF2B5EF4-FFF2-40B4-BE49-F238E27FC236}">
              <a16:creationId xmlns:a16="http://schemas.microsoft.com/office/drawing/2014/main" id="{2714EAD8-BCB0-4023-8985-961FF7625BBD}"/>
            </a:ext>
          </a:extLst>
        </xdr:cNvPr>
        <xdr:cNvPicPr>
          <a:picLocks noChangeAspect="1"/>
        </xdr:cNvPicPr>
      </xdr:nvPicPr>
      <xdr:blipFill>
        <a:blip xmlns:r="http://schemas.openxmlformats.org/officeDocument/2006/relationships" r:embed="rId3"/>
        <a:stretch>
          <a:fillRect/>
        </a:stretch>
      </xdr:blipFill>
      <xdr:spPr>
        <a:xfrm>
          <a:off x="180068" y="40682182"/>
          <a:ext cx="169614" cy="224666"/>
        </a:xfrm>
        <a:prstGeom prst="rect">
          <a:avLst/>
        </a:prstGeom>
      </xdr:spPr>
    </xdr:pic>
    <xdr:clientData/>
  </xdr:twoCellAnchor>
  <xdr:twoCellAnchor editAs="oneCell">
    <xdr:from>
      <xdr:col>0</xdr:col>
      <xdr:colOff>163286</xdr:colOff>
      <xdr:row>323</xdr:row>
      <xdr:rowOff>149678</xdr:rowOff>
    </xdr:from>
    <xdr:to>
      <xdr:col>1</xdr:col>
      <xdr:colOff>1068</xdr:colOff>
      <xdr:row>324</xdr:row>
      <xdr:rowOff>171143</xdr:rowOff>
    </xdr:to>
    <xdr:pic>
      <xdr:nvPicPr>
        <xdr:cNvPr id="9" name="Picture 8">
          <a:extLst>
            <a:ext uri="{FF2B5EF4-FFF2-40B4-BE49-F238E27FC236}">
              <a16:creationId xmlns:a16="http://schemas.microsoft.com/office/drawing/2014/main" id="{6ED71C5E-8E96-4632-BA39-CFE5E0BA24CC}"/>
            </a:ext>
          </a:extLst>
        </xdr:cNvPr>
        <xdr:cNvPicPr>
          <a:picLocks noChangeAspect="1"/>
        </xdr:cNvPicPr>
      </xdr:nvPicPr>
      <xdr:blipFill>
        <a:blip xmlns:r="http://schemas.openxmlformats.org/officeDocument/2006/relationships" r:embed="rId3"/>
        <a:stretch>
          <a:fillRect/>
        </a:stretch>
      </xdr:blipFill>
      <xdr:spPr>
        <a:xfrm>
          <a:off x="160111" y="65443553"/>
          <a:ext cx="174332" cy="221490"/>
        </a:xfrm>
        <a:prstGeom prst="rect">
          <a:avLst/>
        </a:prstGeom>
      </xdr:spPr>
    </xdr:pic>
    <xdr:clientData/>
  </xdr:twoCellAnchor>
  <xdr:twoCellAnchor editAs="oneCell">
    <xdr:from>
      <xdr:col>22</xdr:col>
      <xdr:colOff>0</xdr:colOff>
      <xdr:row>323</xdr:row>
      <xdr:rowOff>54429</xdr:rowOff>
    </xdr:from>
    <xdr:to>
      <xdr:col>22</xdr:col>
      <xdr:colOff>892887</xdr:colOff>
      <xdr:row>324</xdr:row>
      <xdr:rowOff>136352</xdr:rowOff>
    </xdr:to>
    <xdr:pic>
      <xdr:nvPicPr>
        <xdr:cNvPr id="10" name="Picture 9">
          <a:extLst>
            <a:ext uri="{FF2B5EF4-FFF2-40B4-BE49-F238E27FC236}">
              <a16:creationId xmlns:a16="http://schemas.microsoft.com/office/drawing/2014/main" id="{B6EC6DEA-B8E2-42F8-AE6D-96E96BF1B1ED}"/>
            </a:ext>
          </a:extLst>
        </xdr:cNvPr>
        <xdr:cNvPicPr>
          <a:picLocks noChangeAspect="1"/>
        </xdr:cNvPicPr>
      </xdr:nvPicPr>
      <xdr:blipFill>
        <a:blip xmlns:r="http://schemas.openxmlformats.org/officeDocument/2006/relationships" r:embed="rId4"/>
        <a:stretch>
          <a:fillRect/>
        </a:stretch>
      </xdr:blipFill>
      <xdr:spPr>
        <a:xfrm>
          <a:off x="23393400" y="65348304"/>
          <a:ext cx="892887" cy="281948"/>
        </a:xfrm>
        <a:prstGeom prst="rect">
          <a:avLst/>
        </a:prstGeom>
      </xdr:spPr>
    </xdr:pic>
    <xdr:clientData/>
  </xdr:twoCellAnchor>
  <xdr:twoCellAnchor editAs="oneCell">
    <xdr:from>
      <xdr:col>22</xdr:col>
      <xdr:colOff>0</xdr:colOff>
      <xdr:row>200</xdr:row>
      <xdr:rowOff>54429</xdr:rowOff>
    </xdr:from>
    <xdr:to>
      <xdr:col>22</xdr:col>
      <xdr:colOff>892887</xdr:colOff>
      <xdr:row>201</xdr:row>
      <xdr:rowOff>136353</xdr:rowOff>
    </xdr:to>
    <xdr:pic>
      <xdr:nvPicPr>
        <xdr:cNvPr id="11" name="Picture 10">
          <a:extLst>
            <a:ext uri="{FF2B5EF4-FFF2-40B4-BE49-F238E27FC236}">
              <a16:creationId xmlns:a16="http://schemas.microsoft.com/office/drawing/2014/main" id="{497A2815-11F1-442E-BBAF-E5D88A03EBEF}"/>
            </a:ext>
          </a:extLst>
        </xdr:cNvPr>
        <xdr:cNvPicPr>
          <a:picLocks noChangeAspect="1"/>
        </xdr:cNvPicPr>
      </xdr:nvPicPr>
      <xdr:blipFill>
        <a:blip xmlns:r="http://schemas.openxmlformats.org/officeDocument/2006/relationships" r:embed="rId4"/>
        <a:stretch>
          <a:fillRect/>
        </a:stretch>
      </xdr:blipFill>
      <xdr:spPr>
        <a:xfrm>
          <a:off x="23393400" y="40630929"/>
          <a:ext cx="892887" cy="281949"/>
        </a:xfrm>
        <a:prstGeom prst="rect">
          <a:avLst/>
        </a:prstGeom>
      </xdr:spPr>
    </xdr:pic>
    <xdr:clientData/>
  </xdr:twoCellAnchor>
  <xdr:twoCellAnchor editAs="oneCell">
    <xdr:from>
      <xdr:col>21</xdr:col>
      <xdr:colOff>1238250</xdr:colOff>
      <xdr:row>139</xdr:row>
      <xdr:rowOff>54428</xdr:rowOff>
    </xdr:from>
    <xdr:to>
      <xdr:col>22</xdr:col>
      <xdr:colOff>855785</xdr:colOff>
      <xdr:row>140</xdr:row>
      <xdr:rowOff>136351</xdr:rowOff>
    </xdr:to>
    <xdr:pic>
      <xdr:nvPicPr>
        <xdr:cNvPr id="12" name="Picture 11">
          <a:extLst>
            <a:ext uri="{FF2B5EF4-FFF2-40B4-BE49-F238E27FC236}">
              <a16:creationId xmlns:a16="http://schemas.microsoft.com/office/drawing/2014/main" id="{6F9987CC-9B73-466B-A467-3F2DD604A8EF}"/>
            </a:ext>
          </a:extLst>
        </xdr:cNvPr>
        <xdr:cNvPicPr>
          <a:picLocks noChangeAspect="1"/>
        </xdr:cNvPicPr>
      </xdr:nvPicPr>
      <xdr:blipFill>
        <a:blip xmlns:r="http://schemas.openxmlformats.org/officeDocument/2006/relationships" r:embed="rId4"/>
        <a:stretch>
          <a:fillRect/>
        </a:stretch>
      </xdr:blipFill>
      <xdr:spPr>
        <a:xfrm>
          <a:off x="23393400" y="28391303"/>
          <a:ext cx="855785" cy="281948"/>
        </a:xfrm>
        <a:prstGeom prst="rect">
          <a:avLst/>
        </a:prstGeom>
      </xdr:spPr>
    </xdr:pic>
    <xdr:clientData/>
  </xdr:twoCellAnchor>
  <xdr:twoCellAnchor editAs="oneCell">
    <xdr:from>
      <xdr:col>22</xdr:col>
      <xdr:colOff>0</xdr:colOff>
      <xdr:row>62</xdr:row>
      <xdr:rowOff>40821</xdr:rowOff>
    </xdr:from>
    <xdr:to>
      <xdr:col>22</xdr:col>
      <xdr:colOff>892887</xdr:colOff>
      <xdr:row>63</xdr:row>
      <xdr:rowOff>135444</xdr:rowOff>
    </xdr:to>
    <xdr:pic>
      <xdr:nvPicPr>
        <xdr:cNvPr id="13" name="Picture 12">
          <a:extLst>
            <a:ext uri="{FF2B5EF4-FFF2-40B4-BE49-F238E27FC236}">
              <a16:creationId xmlns:a16="http://schemas.microsoft.com/office/drawing/2014/main" id="{4A97E18E-B6B4-4D51-BFB2-E8B0686897C0}"/>
            </a:ext>
          </a:extLst>
        </xdr:cNvPr>
        <xdr:cNvPicPr>
          <a:picLocks noChangeAspect="1"/>
        </xdr:cNvPicPr>
      </xdr:nvPicPr>
      <xdr:blipFill>
        <a:blip xmlns:r="http://schemas.openxmlformats.org/officeDocument/2006/relationships" r:embed="rId4"/>
        <a:stretch>
          <a:fillRect/>
        </a:stretch>
      </xdr:blipFill>
      <xdr:spPr>
        <a:xfrm>
          <a:off x="23393400" y="12547146"/>
          <a:ext cx="892887" cy="29464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22</xdr:col>
      <xdr:colOff>1095375</xdr:colOff>
      <xdr:row>323</xdr:row>
      <xdr:rowOff>123825</xdr:rowOff>
    </xdr:from>
    <xdr:to>
      <xdr:col>22</xdr:col>
      <xdr:colOff>1895475</xdr:colOff>
      <xdr:row>324</xdr:row>
      <xdr:rowOff>152400</xdr:rowOff>
    </xdr:to>
    <xdr:pic>
      <xdr:nvPicPr>
        <xdr:cNvPr id="2" name="Picture 1" descr="C:\WINDOWS\TEMP\~0003946.gif">
          <a:extLst>
            <a:ext uri="{FF2B5EF4-FFF2-40B4-BE49-F238E27FC236}">
              <a16:creationId xmlns:a16="http://schemas.microsoft.com/office/drawing/2014/main" id="{2E346A4B-56E9-4EF3-B846-7202FC170CC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654145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583F42CC-DEFF-4468-A7DF-583FCFD0C30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4950" y="407289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1961A407-3618-4152-8F00-6B85620AAB8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284956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9E7C3052-CAAF-489F-B6CC-E7AA40C610B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126650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172141</xdr:rowOff>
    </xdr:to>
    <xdr:pic>
      <xdr:nvPicPr>
        <xdr:cNvPr id="6" name="Picture 5">
          <a:extLst>
            <a:ext uri="{FF2B5EF4-FFF2-40B4-BE49-F238E27FC236}">
              <a16:creationId xmlns:a16="http://schemas.microsoft.com/office/drawing/2014/main" id="{FA180DB7-EE0F-4CD2-8B40-19A825A4D098}"/>
            </a:ext>
          </a:extLst>
        </xdr:cNvPr>
        <xdr:cNvPicPr>
          <a:picLocks noChangeAspect="1"/>
        </xdr:cNvPicPr>
      </xdr:nvPicPr>
      <xdr:blipFill>
        <a:blip xmlns:r="http://schemas.openxmlformats.org/officeDocument/2006/relationships" r:embed="rId3"/>
        <a:stretch>
          <a:fillRect/>
        </a:stretch>
      </xdr:blipFill>
      <xdr:spPr>
        <a:xfrm>
          <a:off x="136071" y="12642396"/>
          <a:ext cx="170703" cy="236095"/>
        </a:xfrm>
        <a:prstGeom prst="rect">
          <a:avLst/>
        </a:prstGeom>
      </xdr:spPr>
    </xdr:pic>
    <xdr:clientData/>
  </xdr:twoCellAnchor>
  <xdr:twoCellAnchor editAs="oneCell">
    <xdr:from>
      <xdr:col>0</xdr:col>
      <xdr:colOff>176893</xdr:colOff>
      <xdr:row>139</xdr:row>
      <xdr:rowOff>81643</xdr:rowOff>
    </xdr:from>
    <xdr:to>
      <xdr:col>1</xdr:col>
      <xdr:colOff>16307</xdr:colOff>
      <xdr:row>140</xdr:row>
      <xdr:rowOff>94853</xdr:rowOff>
    </xdr:to>
    <xdr:pic>
      <xdr:nvPicPr>
        <xdr:cNvPr id="7" name="Picture 6">
          <a:extLst>
            <a:ext uri="{FF2B5EF4-FFF2-40B4-BE49-F238E27FC236}">
              <a16:creationId xmlns:a16="http://schemas.microsoft.com/office/drawing/2014/main" id="{21B88342-3D57-40A5-B315-08A77214C164}"/>
            </a:ext>
          </a:extLst>
        </xdr:cNvPr>
        <xdr:cNvPicPr>
          <a:picLocks noChangeAspect="1"/>
        </xdr:cNvPicPr>
      </xdr:nvPicPr>
      <xdr:blipFill>
        <a:blip xmlns:r="http://schemas.openxmlformats.org/officeDocument/2006/relationships" r:embed="rId3"/>
        <a:stretch>
          <a:fillRect/>
        </a:stretch>
      </xdr:blipFill>
      <xdr:spPr>
        <a:xfrm>
          <a:off x="180068" y="28421693"/>
          <a:ext cx="169614" cy="210060"/>
        </a:xfrm>
        <a:prstGeom prst="rect">
          <a:avLst/>
        </a:prstGeom>
      </xdr:spPr>
    </xdr:pic>
    <xdr:clientData/>
  </xdr:twoCellAnchor>
  <xdr:twoCellAnchor editAs="oneCell">
    <xdr:from>
      <xdr:col>0</xdr:col>
      <xdr:colOff>176893</xdr:colOff>
      <xdr:row>200</xdr:row>
      <xdr:rowOff>108857</xdr:rowOff>
    </xdr:from>
    <xdr:to>
      <xdr:col>1</xdr:col>
      <xdr:colOff>16307</xdr:colOff>
      <xdr:row>201</xdr:row>
      <xdr:rowOff>130323</xdr:rowOff>
    </xdr:to>
    <xdr:pic>
      <xdr:nvPicPr>
        <xdr:cNvPr id="8" name="Picture 7">
          <a:extLst>
            <a:ext uri="{FF2B5EF4-FFF2-40B4-BE49-F238E27FC236}">
              <a16:creationId xmlns:a16="http://schemas.microsoft.com/office/drawing/2014/main" id="{06BE066F-E46F-4755-9DC9-A422E43181B3}"/>
            </a:ext>
          </a:extLst>
        </xdr:cNvPr>
        <xdr:cNvPicPr>
          <a:picLocks noChangeAspect="1"/>
        </xdr:cNvPicPr>
      </xdr:nvPicPr>
      <xdr:blipFill>
        <a:blip xmlns:r="http://schemas.openxmlformats.org/officeDocument/2006/relationships" r:embed="rId3"/>
        <a:stretch>
          <a:fillRect/>
        </a:stretch>
      </xdr:blipFill>
      <xdr:spPr>
        <a:xfrm>
          <a:off x="180068" y="40682182"/>
          <a:ext cx="169614" cy="224666"/>
        </a:xfrm>
        <a:prstGeom prst="rect">
          <a:avLst/>
        </a:prstGeom>
      </xdr:spPr>
    </xdr:pic>
    <xdr:clientData/>
  </xdr:twoCellAnchor>
  <xdr:twoCellAnchor editAs="oneCell">
    <xdr:from>
      <xdr:col>0</xdr:col>
      <xdr:colOff>163286</xdr:colOff>
      <xdr:row>323</xdr:row>
      <xdr:rowOff>149678</xdr:rowOff>
    </xdr:from>
    <xdr:to>
      <xdr:col>1</xdr:col>
      <xdr:colOff>1068</xdr:colOff>
      <xdr:row>324</xdr:row>
      <xdr:rowOff>171143</xdr:rowOff>
    </xdr:to>
    <xdr:pic>
      <xdr:nvPicPr>
        <xdr:cNvPr id="9" name="Picture 8">
          <a:extLst>
            <a:ext uri="{FF2B5EF4-FFF2-40B4-BE49-F238E27FC236}">
              <a16:creationId xmlns:a16="http://schemas.microsoft.com/office/drawing/2014/main" id="{73992173-1573-47DC-A7B9-070BEAF7A53D}"/>
            </a:ext>
          </a:extLst>
        </xdr:cNvPr>
        <xdr:cNvPicPr>
          <a:picLocks noChangeAspect="1"/>
        </xdr:cNvPicPr>
      </xdr:nvPicPr>
      <xdr:blipFill>
        <a:blip xmlns:r="http://schemas.openxmlformats.org/officeDocument/2006/relationships" r:embed="rId3"/>
        <a:stretch>
          <a:fillRect/>
        </a:stretch>
      </xdr:blipFill>
      <xdr:spPr>
        <a:xfrm>
          <a:off x="160111" y="65443553"/>
          <a:ext cx="174332" cy="221490"/>
        </a:xfrm>
        <a:prstGeom prst="rect">
          <a:avLst/>
        </a:prstGeom>
      </xdr:spPr>
    </xdr:pic>
    <xdr:clientData/>
  </xdr:twoCellAnchor>
  <xdr:twoCellAnchor editAs="oneCell">
    <xdr:from>
      <xdr:col>22</xdr:col>
      <xdr:colOff>0</xdr:colOff>
      <xdr:row>323</xdr:row>
      <xdr:rowOff>54429</xdr:rowOff>
    </xdr:from>
    <xdr:to>
      <xdr:col>22</xdr:col>
      <xdr:colOff>892887</xdr:colOff>
      <xdr:row>324</xdr:row>
      <xdr:rowOff>136352</xdr:rowOff>
    </xdr:to>
    <xdr:pic>
      <xdr:nvPicPr>
        <xdr:cNvPr id="10" name="Picture 9">
          <a:extLst>
            <a:ext uri="{FF2B5EF4-FFF2-40B4-BE49-F238E27FC236}">
              <a16:creationId xmlns:a16="http://schemas.microsoft.com/office/drawing/2014/main" id="{2E836FEA-18CB-4EA3-BF48-65F5023FB605}"/>
            </a:ext>
          </a:extLst>
        </xdr:cNvPr>
        <xdr:cNvPicPr>
          <a:picLocks noChangeAspect="1"/>
        </xdr:cNvPicPr>
      </xdr:nvPicPr>
      <xdr:blipFill>
        <a:blip xmlns:r="http://schemas.openxmlformats.org/officeDocument/2006/relationships" r:embed="rId4"/>
        <a:stretch>
          <a:fillRect/>
        </a:stretch>
      </xdr:blipFill>
      <xdr:spPr>
        <a:xfrm>
          <a:off x="23383875" y="65348304"/>
          <a:ext cx="892887" cy="281948"/>
        </a:xfrm>
        <a:prstGeom prst="rect">
          <a:avLst/>
        </a:prstGeom>
      </xdr:spPr>
    </xdr:pic>
    <xdr:clientData/>
  </xdr:twoCellAnchor>
  <xdr:twoCellAnchor editAs="oneCell">
    <xdr:from>
      <xdr:col>22</xdr:col>
      <xdr:colOff>0</xdr:colOff>
      <xdr:row>200</xdr:row>
      <xdr:rowOff>54429</xdr:rowOff>
    </xdr:from>
    <xdr:to>
      <xdr:col>22</xdr:col>
      <xdr:colOff>892887</xdr:colOff>
      <xdr:row>201</xdr:row>
      <xdr:rowOff>136353</xdr:rowOff>
    </xdr:to>
    <xdr:pic>
      <xdr:nvPicPr>
        <xdr:cNvPr id="11" name="Picture 10">
          <a:extLst>
            <a:ext uri="{FF2B5EF4-FFF2-40B4-BE49-F238E27FC236}">
              <a16:creationId xmlns:a16="http://schemas.microsoft.com/office/drawing/2014/main" id="{76E2852B-1853-46A1-8452-91AF47A7B8AD}"/>
            </a:ext>
          </a:extLst>
        </xdr:cNvPr>
        <xdr:cNvPicPr>
          <a:picLocks noChangeAspect="1"/>
        </xdr:cNvPicPr>
      </xdr:nvPicPr>
      <xdr:blipFill>
        <a:blip xmlns:r="http://schemas.openxmlformats.org/officeDocument/2006/relationships" r:embed="rId4"/>
        <a:stretch>
          <a:fillRect/>
        </a:stretch>
      </xdr:blipFill>
      <xdr:spPr>
        <a:xfrm>
          <a:off x="23383875" y="40630929"/>
          <a:ext cx="892887" cy="281949"/>
        </a:xfrm>
        <a:prstGeom prst="rect">
          <a:avLst/>
        </a:prstGeom>
      </xdr:spPr>
    </xdr:pic>
    <xdr:clientData/>
  </xdr:twoCellAnchor>
  <xdr:twoCellAnchor editAs="oneCell">
    <xdr:from>
      <xdr:col>21</xdr:col>
      <xdr:colOff>1238250</xdr:colOff>
      <xdr:row>139</xdr:row>
      <xdr:rowOff>54428</xdr:rowOff>
    </xdr:from>
    <xdr:to>
      <xdr:col>22</xdr:col>
      <xdr:colOff>855785</xdr:colOff>
      <xdr:row>140</xdr:row>
      <xdr:rowOff>136351</xdr:rowOff>
    </xdr:to>
    <xdr:pic>
      <xdr:nvPicPr>
        <xdr:cNvPr id="12" name="Picture 11">
          <a:extLst>
            <a:ext uri="{FF2B5EF4-FFF2-40B4-BE49-F238E27FC236}">
              <a16:creationId xmlns:a16="http://schemas.microsoft.com/office/drawing/2014/main" id="{B8A8AA23-9029-41DC-9444-E7A8FFB608D4}"/>
            </a:ext>
          </a:extLst>
        </xdr:cNvPr>
        <xdr:cNvPicPr>
          <a:picLocks noChangeAspect="1"/>
        </xdr:cNvPicPr>
      </xdr:nvPicPr>
      <xdr:blipFill>
        <a:blip xmlns:r="http://schemas.openxmlformats.org/officeDocument/2006/relationships" r:embed="rId4"/>
        <a:stretch>
          <a:fillRect/>
        </a:stretch>
      </xdr:blipFill>
      <xdr:spPr>
        <a:xfrm>
          <a:off x="23383875" y="28391303"/>
          <a:ext cx="855785" cy="281948"/>
        </a:xfrm>
        <a:prstGeom prst="rect">
          <a:avLst/>
        </a:prstGeom>
      </xdr:spPr>
    </xdr:pic>
    <xdr:clientData/>
  </xdr:twoCellAnchor>
  <xdr:twoCellAnchor editAs="oneCell">
    <xdr:from>
      <xdr:col>22</xdr:col>
      <xdr:colOff>0</xdr:colOff>
      <xdr:row>62</xdr:row>
      <xdr:rowOff>40821</xdr:rowOff>
    </xdr:from>
    <xdr:to>
      <xdr:col>22</xdr:col>
      <xdr:colOff>892887</xdr:colOff>
      <xdr:row>63</xdr:row>
      <xdr:rowOff>135444</xdr:rowOff>
    </xdr:to>
    <xdr:pic>
      <xdr:nvPicPr>
        <xdr:cNvPr id="13" name="Picture 12">
          <a:extLst>
            <a:ext uri="{FF2B5EF4-FFF2-40B4-BE49-F238E27FC236}">
              <a16:creationId xmlns:a16="http://schemas.microsoft.com/office/drawing/2014/main" id="{04DC2FD7-4ABF-41B7-966F-AE36CD65F0BE}"/>
            </a:ext>
          </a:extLst>
        </xdr:cNvPr>
        <xdr:cNvPicPr>
          <a:picLocks noChangeAspect="1"/>
        </xdr:cNvPicPr>
      </xdr:nvPicPr>
      <xdr:blipFill>
        <a:blip xmlns:r="http://schemas.openxmlformats.org/officeDocument/2006/relationships" r:embed="rId4"/>
        <a:stretch>
          <a:fillRect/>
        </a:stretch>
      </xdr:blipFill>
      <xdr:spPr>
        <a:xfrm>
          <a:off x="23383875" y="12547146"/>
          <a:ext cx="892887" cy="2946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0577" name="Picture 1" descr="C:\WINDOWS\TEMP\Symbol.gif">
          <a:extLst>
            <a:ext uri="{FF2B5EF4-FFF2-40B4-BE49-F238E27FC236}">
              <a16:creationId xmlns:a16="http://schemas.microsoft.com/office/drawing/2014/main" id="{00000000-0008-0000-0500-0000A1E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60578" name="Picture 2" descr="C:\WINDOWS\TEMP\Symbol.gif">
          <a:extLst>
            <a:ext uri="{FF2B5EF4-FFF2-40B4-BE49-F238E27FC236}">
              <a16:creationId xmlns:a16="http://schemas.microsoft.com/office/drawing/2014/main" id="{00000000-0008-0000-0500-0000A2E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60579" name="Picture 3" descr="C:\WINDOWS\TEMP\Symbol.gif">
          <a:extLst>
            <a:ext uri="{FF2B5EF4-FFF2-40B4-BE49-F238E27FC236}">
              <a16:creationId xmlns:a16="http://schemas.microsoft.com/office/drawing/2014/main" id="{00000000-0008-0000-0500-0000A3E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60580" name="Picture 4" descr="C:\WINDOWS\TEMP\Symbol.gif">
          <a:extLst>
            <a:ext uri="{FF2B5EF4-FFF2-40B4-BE49-F238E27FC236}">
              <a16:creationId xmlns:a16="http://schemas.microsoft.com/office/drawing/2014/main" id="{00000000-0008-0000-0500-0000A4E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08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276</xdr:row>
      <xdr:rowOff>123825</xdr:rowOff>
    </xdr:from>
    <xdr:to>
      <xdr:col>22</xdr:col>
      <xdr:colOff>1895475</xdr:colOff>
      <xdr:row>277</xdr:row>
      <xdr:rowOff>152400</xdr:rowOff>
    </xdr:to>
    <xdr:pic>
      <xdr:nvPicPr>
        <xdr:cNvPr id="60581" name="Picture 5" descr="C:\WINDOWS\TEMP\~0003946.gif">
          <a:extLst>
            <a:ext uri="{FF2B5EF4-FFF2-40B4-BE49-F238E27FC236}">
              <a16:creationId xmlns:a16="http://schemas.microsoft.com/office/drawing/2014/main" id="{00000000-0008-0000-0500-0000A5E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04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60582" name="Picture 6" descr="C:\WINDOWS\TEMP\~0003946.gif">
          <a:extLst>
            <a:ext uri="{FF2B5EF4-FFF2-40B4-BE49-F238E27FC236}">
              <a16:creationId xmlns:a16="http://schemas.microsoft.com/office/drawing/2014/main" id="{00000000-0008-0000-0500-0000A6E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60583" name="Picture 7" descr="C:\WINDOWS\TEMP\~0003946.gif">
          <a:extLst>
            <a:ext uri="{FF2B5EF4-FFF2-40B4-BE49-F238E27FC236}">
              <a16:creationId xmlns:a16="http://schemas.microsoft.com/office/drawing/2014/main" id="{00000000-0008-0000-0500-0000A7E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60584" name="Picture 8" descr="C:\WINDOWS\TEMP\~0003946.gif">
          <a:extLst>
            <a:ext uri="{FF2B5EF4-FFF2-40B4-BE49-F238E27FC236}">
              <a16:creationId xmlns:a16="http://schemas.microsoft.com/office/drawing/2014/main" id="{00000000-0008-0000-0500-0000A8E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60585" name="Picture 9" descr="C:\WINDOWS\TEMP\~0003946.gif">
          <a:extLst>
            <a:ext uri="{FF2B5EF4-FFF2-40B4-BE49-F238E27FC236}">
              <a16:creationId xmlns:a16="http://schemas.microsoft.com/office/drawing/2014/main" id="{00000000-0008-0000-0500-0000A9E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60586" name="Picture 10" descr="C:\WINDOWS\TEMP\~0003946.gif">
          <a:extLst>
            <a:ext uri="{FF2B5EF4-FFF2-40B4-BE49-F238E27FC236}">
              <a16:creationId xmlns:a16="http://schemas.microsoft.com/office/drawing/2014/main" id="{00000000-0008-0000-0500-0000AAE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60587" name="Picture 11" descr="C:\WINDOWS\TEMP\~0003946.gif">
          <a:extLst>
            <a:ext uri="{FF2B5EF4-FFF2-40B4-BE49-F238E27FC236}">
              <a16:creationId xmlns:a16="http://schemas.microsoft.com/office/drawing/2014/main" id="{00000000-0008-0000-0500-0000ABE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276</xdr:row>
      <xdr:rowOff>104775</xdr:rowOff>
    </xdr:from>
    <xdr:to>
      <xdr:col>22</xdr:col>
      <xdr:colOff>895350</xdr:colOff>
      <xdr:row>277</xdr:row>
      <xdr:rowOff>133350</xdr:rowOff>
    </xdr:to>
    <xdr:pic>
      <xdr:nvPicPr>
        <xdr:cNvPr id="60588" name="Picture 12" descr="C:\WINDOWS\TEMP\~0003946.gif">
          <a:extLst>
            <a:ext uri="{FF2B5EF4-FFF2-40B4-BE49-F238E27FC236}">
              <a16:creationId xmlns:a16="http://schemas.microsoft.com/office/drawing/2014/main" id="{00000000-0008-0000-0500-0000ACE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02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60589" name="Picture 13" descr="logoMTL">
          <a:extLst>
            <a:ext uri="{FF2B5EF4-FFF2-40B4-BE49-F238E27FC236}">
              <a16:creationId xmlns:a16="http://schemas.microsoft.com/office/drawing/2014/main" id="{00000000-0008-0000-0500-0000ADEC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60590" name="Picture 14" descr="logoMTL">
          <a:extLst>
            <a:ext uri="{FF2B5EF4-FFF2-40B4-BE49-F238E27FC236}">
              <a16:creationId xmlns:a16="http://schemas.microsoft.com/office/drawing/2014/main" id="{00000000-0008-0000-0500-0000AEE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60591" name="Picture 15" descr="logoMTL">
          <a:extLst>
            <a:ext uri="{FF2B5EF4-FFF2-40B4-BE49-F238E27FC236}">
              <a16:creationId xmlns:a16="http://schemas.microsoft.com/office/drawing/2014/main" id="{00000000-0008-0000-0500-0000AFE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276</xdr:row>
      <xdr:rowOff>0</xdr:rowOff>
    </xdr:from>
    <xdr:to>
      <xdr:col>21</xdr:col>
      <xdr:colOff>1228725</xdr:colOff>
      <xdr:row>277</xdr:row>
      <xdr:rowOff>123825</xdr:rowOff>
    </xdr:to>
    <xdr:pic>
      <xdr:nvPicPr>
        <xdr:cNvPr id="60592" name="Picture 16" descr="logoMTL">
          <a:extLst>
            <a:ext uri="{FF2B5EF4-FFF2-40B4-BE49-F238E27FC236}">
              <a16:creationId xmlns:a16="http://schemas.microsoft.com/office/drawing/2014/main" id="{00000000-0008-0000-0500-0000B0E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592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22</xdr:col>
      <xdr:colOff>1095375</xdr:colOff>
      <xdr:row>323</xdr:row>
      <xdr:rowOff>123825</xdr:rowOff>
    </xdr:from>
    <xdr:to>
      <xdr:col>22</xdr:col>
      <xdr:colOff>1895475</xdr:colOff>
      <xdr:row>324</xdr:row>
      <xdr:rowOff>152400</xdr:rowOff>
    </xdr:to>
    <xdr:pic>
      <xdr:nvPicPr>
        <xdr:cNvPr id="2" name="Picture 1" descr="C:\WINDOWS\TEMP\~0003946.gif">
          <a:extLst>
            <a:ext uri="{FF2B5EF4-FFF2-40B4-BE49-F238E27FC236}">
              <a16:creationId xmlns:a16="http://schemas.microsoft.com/office/drawing/2014/main" id="{8F3D1F5D-13EF-414D-889A-43E7368D4B5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654145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8E0131D5-578C-4219-9DD6-0C37A0351CA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4950" y="407289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ABDBC5A0-BD31-4564-A9CC-87204942516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284956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D1E20AFA-B933-4435-93A9-4002653B60D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126650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168331</xdr:rowOff>
    </xdr:to>
    <xdr:pic>
      <xdr:nvPicPr>
        <xdr:cNvPr id="6" name="Picture 5">
          <a:extLst>
            <a:ext uri="{FF2B5EF4-FFF2-40B4-BE49-F238E27FC236}">
              <a16:creationId xmlns:a16="http://schemas.microsoft.com/office/drawing/2014/main" id="{4AC0850B-821D-4CF0-B772-BF6C10E2FC4F}"/>
            </a:ext>
          </a:extLst>
        </xdr:cNvPr>
        <xdr:cNvPicPr>
          <a:picLocks noChangeAspect="1"/>
        </xdr:cNvPicPr>
      </xdr:nvPicPr>
      <xdr:blipFill>
        <a:blip xmlns:r="http://schemas.openxmlformats.org/officeDocument/2006/relationships" r:embed="rId3"/>
        <a:stretch>
          <a:fillRect/>
        </a:stretch>
      </xdr:blipFill>
      <xdr:spPr>
        <a:xfrm>
          <a:off x="136071" y="12642396"/>
          <a:ext cx="170703" cy="236095"/>
        </a:xfrm>
        <a:prstGeom prst="rect">
          <a:avLst/>
        </a:prstGeom>
      </xdr:spPr>
    </xdr:pic>
    <xdr:clientData/>
  </xdr:twoCellAnchor>
  <xdr:twoCellAnchor editAs="oneCell">
    <xdr:from>
      <xdr:col>0</xdr:col>
      <xdr:colOff>176893</xdr:colOff>
      <xdr:row>139</xdr:row>
      <xdr:rowOff>81643</xdr:rowOff>
    </xdr:from>
    <xdr:to>
      <xdr:col>1</xdr:col>
      <xdr:colOff>20117</xdr:colOff>
      <xdr:row>140</xdr:row>
      <xdr:rowOff>98663</xdr:rowOff>
    </xdr:to>
    <xdr:pic>
      <xdr:nvPicPr>
        <xdr:cNvPr id="7" name="Picture 6">
          <a:extLst>
            <a:ext uri="{FF2B5EF4-FFF2-40B4-BE49-F238E27FC236}">
              <a16:creationId xmlns:a16="http://schemas.microsoft.com/office/drawing/2014/main" id="{EAF9EEDF-EA8A-442F-B828-F5F820DAE29C}"/>
            </a:ext>
          </a:extLst>
        </xdr:cNvPr>
        <xdr:cNvPicPr>
          <a:picLocks noChangeAspect="1"/>
        </xdr:cNvPicPr>
      </xdr:nvPicPr>
      <xdr:blipFill>
        <a:blip xmlns:r="http://schemas.openxmlformats.org/officeDocument/2006/relationships" r:embed="rId3"/>
        <a:stretch>
          <a:fillRect/>
        </a:stretch>
      </xdr:blipFill>
      <xdr:spPr>
        <a:xfrm>
          <a:off x="180068" y="28421693"/>
          <a:ext cx="169614" cy="210060"/>
        </a:xfrm>
        <a:prstGeom prst="rect">
          <a:avLst/>
        </a:prstGeom>
      </xdr:spPr>
    </xdr:pic>
    <xdr:clientData/>
  </xdr:twoCellAnchor>
  <xdr:twoCellAnchor editAs="oneCell">
    <xdr:from>
      <xdr:col>0</xdr:col>
      <xdr:colOff>176893</xdr:colOff>
      <xdr:row>200</xdr:row>
      <xdr:rowOff>108857</xdr:rowOff>
    </xdr:from>
    <xdr:to>
      <xdr:col>1</xdr:col>
      <xdr:colOff>20117</xdr:colOff>
      <xdr:row>201</xdr:row>
      <xdr:rowOff>134133</xdr:rowOff>
    </xdr:to>
    <xdr:pic>
      <xdr:nvPicPr>
        <xdr:cNvPr id="8" name="Picture 7">
          <a:extLst>
            <a:ext uri="{FF2B5EF4-FFF2-40B4-BE49-F238E27FC236}">
              <a16:creationId xmlns:a16="http://schemas.microsoft.com/office/drawing/2014/main" id="{35D0424C-AB2E-4BAE-B2A4-4DF6EFEDF615}"/>
            </a:ext>
          </a:extLst>
        </xdr:cNvPr>
        <xdr:cNvPicPr>
          <a:picLocks noChangeAspect="1"/>
        </xdr:cNvPicPr>
      </xdr:nvPicPr>
      <xdr:blipFill>
        <a:blip xmlns:r="http://schemas.openxmlformats.org/officeDocument/2006/relationships" r:embed="rId3"/>
        <a:stretch>
          <a:fillRect/>
        </a:stretch>
      </xdr:blipFill>
      <xdr:spPr>
        <a:xfrm>
          <a:off x="180068" y="40682182"/>
          <a:ext cx="169614" cy="224666"/>
        </a:xfrm>
        <a:prstGeom prst="rect">
          <a:avLst/>
        </a:prstGeom>
      </xdr:spPr>
    </xdr:pic>
    <xdr:clientData/>
  </xdr:twoCellAnchor>
  <xdr:twoCellAnchor editAs="oneCell">
    <xdr:from>
      <xdr:col>0</xdr:col>
      <xdr:colOff>163286</xdr:colOff>
      <xdr:row>323</xdr:row>
      <xdr:rowOff>149678</xdr:rowOff>
    </xdr:from>
    <xdr:to>
      <xdr:col>1</xdr:col>
      <xdr:colOff>1068</xdr:colOff>
      <xdr:row>324</xdr:row>
      <xdr:rowOff>174953</xdr:rowOff>
    </xdr:to>
    <xdr:pic>
      <xdr:nvPicPr>
        <xdr:cNvPr id="9" name="Picture 8">
          <a:extLst>
            <a:ext uri="{FF2B5EF4-FFF2-40B4-BE49-F238E27FC236}">
              <a16:creationId xmlns:a16="http://schemas.microsoft.com/office/drawing/2014/main" id="{2A779C53-F933-4B19-99DC-CEE471D57031}"/>
            </a:ext>
          </a:extLst>
        </xdr:cNvPr>
        <xdr:cNvPicPr>
          <a:picLocks noChangeAspect="1"/>
        </xdr:cNvPicPr>
      </xdr:nvPicPr>
      <xdr:blipFill>
        <a:blip xmlns:r="http://schemas.openxmlformats.org/officeDocument/2006/relationships" r:embed="rId3"/>
        <a:stretch>
          <a:fillRect/>
        </a:stretch>
      </xdr:blipFill>
      <xdr:spPr>
        <a:xfrm>
          <a:off x="160111" y="65443553"/>
          <a:ext cx="174332" cy="221490"/>
        </a:xfrm>
        <a:prstGeom prst="rect">
          <a:avLst/>
        </a:prstGeom>
      </xdr:spPr>
    </xdr:pic>
    <xdr:clientData/>
  </xdr:twoCellAnchor>
  <xdr:twoCellAnchor editAs="oneCell">
    <xdr:from>
      <xdr:col>22</xdr:col>
      <xdr:colOff>0</xdr:colOff>
      <xdr:row>323</xdr:row>
      <xdr:rowOff>54429</xdr:rowOff>
    </xdr:from>
    <xdr:to>
      <xdr:col>22</xdr:col>
      <xdr:colOff>896697</xdr:colOff>
      <xdr:row>324</xdr:row>
      <xdr:rowOff>132542</xdr:rowOff>
    </xdr:to>
    <xdr:pic>
      <xdr:nvPicPr>
        <xdr:cNvPr id="10" name="Picture 9">
          <a:extLst>
            <a:ext uri="{FF2B5EF4-FFF2-40B4-BE49-F238E27FC236}">
              <a16:creationId xmlns:a16="http://schemas.microsoft.com/office/drawing/2014/main" id="{188BD3A5-6E35-4660-AF61-830DABF0E368}"/>
            </a:ext>
          </a:extLst>
        </xdr:cNvPr>
        <xdr:cNvPicPr>
          <a:picLocks noChangeAspect="1"/>
        </xdr:cNvPicPr>
      </xdr:nvPicPr>
      <xdr:blipFill>
        <a:blip xmlns:r="http://schemas.openxmlformats.org/officeDocument/2006/relationships" r:embed="rId4"/>
        <a:stretch>
          <a:fillRect/>
        </a:stretch>
      </xdr:blipFill>
      <xdr:spPr>
        <a:xfrm>
          <a:off x="23383875" y="65348304"/>
          <a:ext cx="892887" cy="281948"/>
        </a:xfrm>
        <a:prstGeom prst="rect">
          <a:avLst/>
        </a:prstGeom>
      </xdr:spPr>
    </xdr:pic>
    <xdr:clientData/>
  </xdr:twoCellAnchor>
  <xdr:twoCellAnchor editAs="oneCell">
    <xdr:from>
      <xdr:col>22</xdr:col>
      <xdr:colOff>0</xdr:colOff>
      <xdr:row>200</xdr:row>
      <xdr:rowOff>54429</xdr:rowOff>
    </xdr:from>
    <xdr:to>
      <xdr:col>22</xdr:col>
      <xdr:colOff>896697</xdr:colOff>
      <xdr:row>201</xdr:row>
      <xdr:rowOff>132543</xdr:rowOff>
    </xdr:to>
    <xdr:pic>
      <xdr:nvPicPr>
        <xdr:cNvPr id="11" name="Picture 10">
          <a:extLst>
            <a:ext uri="{FF2B5EF4-FFF2-40B4-BE49-F238E27FC236}">
              <a16:creationId xmlns:a16="http://schemas.microsoft.com/office/drawing/2014/main" id="{B0C08683-8513-476D-BD3B-BCE14DFA67D4}"/>
            </a:ext>
          </a:extLst>
        </xdr:cNvPr>
        <xdr:cNvPicPr>
          <a:picLocks noChangeAspect="1"/>
        </xdr:cNvPicPr>
      </xdr:nvPicPr>
      <xdr:blipFill>
        <a:blip xmlns:r="http://schemas.openxmlformats.org/officeDocument/2006/relationships" r:embed="rId4"/>
        <a:stretch>
          <a:fillRect/>
        </a:stretch>
      </xdr:blipFill>
      <xdr:spPr>
        <a:xfrm>
          <a:off x="23383875" y="40630929"/>
          <a:ext cx="892887" cy="281949"/>
        </a:xfrm>
        <a:prstGeom prst="rect">
          <a:avLst/>
        </a:prstGeom>
      </xdr:spPr>
    </xdr:pic>
    <xdr:clientData/>
  </xdr:twoCellAnchor>
  <xdr:twoCellAnchor editAs="oneCell">
    <xdr:from>
      <xdr:col>21</xdr:col>
      <xdr:colOff>1238250</xdr:colOff>
      <xdr:row>139</xdr:row>
      <xdr:rowOff>54428</xdr:rowOff>
    </xdr:from>
    <xdr:to>
      <xdr:col>22</xdr:col>
      <xdr:colOff>859595</xdr:colOff>
      <xdr:row>140</xdr:row>
      <xdr:rowOff>132541</xdr:rowOff>
    </xdr:to>
    <xdr:pic>
      <xdr:nvPicPr>
        <xdr:cNvPr id="12" name="Picture 11">
          <a:extLst>
            <a:ext uri="{FF2B5EF4-FFF2-40B4-BE49-F238E27FC236}">
              <a16:creationId xmlns:a16="http://schemas.microsoft.com/office/drawing/2014/main" id="{7523E014-468A-4DFE-BB44-4E73D596A862}"/>
            </a:ext>
          </a:extLst>
        </xdr:cNvPr>
        <xdr:cNvPicPr>
          <a:picLocks noChangeAspect="1"/>
        </xdr:cNvPicPr>
      </xdr:nvPicPr>
      <xdr:blipFill>
        <a:blip xmlns:r="http://schemas.openxmlformats.org/officeDocument/2006/relationships" r:embed="rId4"/>
        <a:stretch>
          <a:fillRect/>
        </a:stretch>
      </xdr:blipFill>
      <xdr:spPr>
        <a:xfrm>
          <a:off x="23383875" y="28391303"/>
          <a:ext cx="855785" cy="281948"/>
        </a:xfrm>
        <a:prstGeom prst="rect">
          <a:avLst/>
        </a:prstGeom>
      </xdr:spPr>
    </xdr:pic>
    <xdr:clientData/>
  </xdr:twoCellAnchor>
  <xdr:twoCellAnchor editAs="oneCell">
    <xdr:from>
      <xdr:col>22</xdr:col>
      <xdr:colOff>0</xdr:colOff>
      <xdr:row>62</xdr:row>
      <xdr:rowOff>40821</xdr:rowOff>
    </xdr:from>
    <xdr:to>
      <xdr:col>22</xdr:col>
      <xdr:colOff>896697</xdr:colOff>
      <xdr:row>63</xdr:row>
      <xdr:rowOff>131634</xdr:rowOff>
    </xdr:to>
    <xdr:pic>
      <xdr:nvPicPr>
        <xdr:cNvPr id="13" name="Picture 12">
          <a:extLst>
            <a:ext uri="{FF2B5EF4-FFF2-40B4-BE49-F238E27FC236}">
              <a16:creationId xmlns:a16="http://schemas.microsoft.com/office/drawing/2014/main" id="{4E847825-2F61-44C8-A6D5-55A46DB2BCB0}"/>
            </a:ext>
          </a:extLst>
        </xdr:cNvPr>
        <xdr:cNvPicPr>
          <a:picLocks noChangeAspect="1"/>
        </xdr:cNvPicPr>
      </xdr:nvPicPr>
      <xdr:blipFill>
        <a:blip xmlns:r="http://schemas.openxmlformats.org/officeDocument/2006/relationships" r:embed="rId4"/>
        <a:stretch>
          <a:fillRect/>
        </a:stretch>
      </xdr:blipFill>
      <xdr:spPr>
        <a:xfrm>
          <a:off x="23383875" y="12547146"/>
          <a:ext cx="892887" cy="294648"/>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22</xdr:col>
      <xdr:colOff>1095375</xdr:colOff>
      <xdr:row>305</xdr:row>
      <xdr:rowOff>123825</xdr:rowOff>
    </xdr:from>
    <xdr:to>
      <xdr:col>22</xdr:col>
      <xdr:colOff>1895475</xdr:colOff>
      <xdr:row>306</xdr:row>
      <xdr:rowOff>152400</xdr:rowOff>
    </xdr:to>
    <xdr:pic>
      <xdr:nvPicPr>
        <xdr:cNvPr id="2" name="Picture 1" descr="C:\WINDOWS\TEMP\~0003946.gif">
          <a:extLst>
            <a:ext uri="{FF2B5EF4-FFF2-40B4-BE49-F238E27FC236}">
              <a16:creationId xmlns:a16="http://schemas.microsoft.com/office/drawing/2014/main" id="{5BDE78F7-AC5A-4EBF-9A6D-FA783CA39F0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17325" y="6446837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C8B75E5F-823B-42F8-9F57-116CE2594C2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20500" y="401383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CF1EA213-1732-4C41-ACA3-5DC6903596D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17325" y="280765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F883611F-79DD-4B34-8506-D303BA1946F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17325" y="124809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168331</xdr:rowOff>
    </xdr:to>
    <xdr:pic>
      <xdr:nvPicPr>
        <xdr:cNvPr id="6" name="Picture 5">
          <a:extLst>
            <a:ext uri="{FF2B5EF4-FFF2-40B4-BE49-F238E27FC236}">
              <a16:creationId xmlns:a16="http://schemas.microsoft.com/office/drawing/2014/main" id="{7340DF23-ED47-482D-B04D-091089FBB250}"/>
            </a:ext>
          </a:extLst>
        </xdr:cNvPr>
        <xdr:cNvPicPr>
          <a:picLocks noChangeAspect="1"/>
        </xdr:cNvPicPr>
      </xdr:nvPicPr>
      <xdr:blipFill>
        <a:blip xmlns:r="http://schemas.openxmlformats.org/officeDocument/2006/relationships" r:embed="rId3"/>
        <a:stretch>
          <a:fillRect/>
        </a:stretch>
      </xdr:blipFill>
      <xdr:spPr>
        <a:xfrm>
          <a:off x="136071" y="12455071"/>
          <a:ext cx="170703" cy="229110"/>
        </a:xfrm>
        <a:prstGeom prst="rect">
          <a:avLst/>
        </a:prstGeom>
      </xdr:spPr>
    </xdr:pic>
    <xdr:clientData/>
  </xdr:twoCellAnchor>
  <xdr:twoCellAnchor editAs="oneCell">
    <xdr:from>
      <xdr:col>0</xdr:col>
      <xdr:colOff>176893</xdr:colOff>
      <xdr:row>139</xdr:row>
      <xdr:rowOff>81643</xdr:rowOff>
    </xdr:from>
    <xdr:to>
      <xdr:col>1</xdr:col>
      <xdr:colOff>20117</xdr:colOff>
      <xdr:row>140</xdr:row>
      <xdr:rowOff>98663</xdr:rowOff>
    </xdr:to>
    <xdr:pic>
      <xdr:nvPicPr>
        <xdr:cNvPr id="7" name="Picture 6">
          <a:extLst>
            <a:ext uri="{FF2B5EF4-FFF2-40B4-BE49-F238E27FC236}">
              <a16:creationId xmlns:a16="http://schemas.microsoft.com/office/drawing/2014/main" id="{D3994EDA-054E-40B6-9787-4315206EFE3D}"/>
            </a:ext>
          </a:extLst>
        </xdr:cNvPr>
        <xdr:cNvPicPr>
          <a:picLocks noChangeAspect="1"/>
        </xdr:cNvPicPr>
      </xdr:nvPicPr>
      <xdr:blipFill>
        <a:blip xmlns:r="http://schemas.openxmlformats.org/officeDocument/2006/relationships" r:embed="rId3"/>
        <a:stretch>
          <a:fillRect/>
        </a:stretch>
      </xdr:blipFill>
      <xdr:spPr>
        <a:xfrm>
          <a:off x="176893" y="27996243"/>
          <a:ext cx="173424" cy="213870"/>
        </a:xfrm>
        <a:prstGeom prst="rect">
          <a:avLst/>
        </a:prstGeom>
      </xdr:spPr>
    </xdr:pic>
    <xdr:clientData/>
  </xdr:twoCellAnchor>
  <xdr:twoCellAnchor editAs="oneCell">
    <xdr:from>
      <xdr:col>0</xdr:col>
      <xdr:colOff>176893</xdr:colOff>
      <xdr:row>200</xdr:row>
      <xdr:rowOff>108857</xdr:rowOff>
    </xdr:from>
    <xdr:to>
      <xdr:col>1</xdr:col>
      <xdr:colOff>20117</xdr:colOff>
      <xdr:row>201</xdr:row>
      <xdr:rowOff>134133</xdr:rowOff>
    </xdr:to>
    <xdr:pic>
      <xdr:nvPicPr>
        <xdr:cNvPr id="8" name="Picture 7">
          <a:extLst>
            <a:ext uri="{FF2B5EF4-FFF2-40B4-BE49-F238E27FC236}">
              <a16:creationId xmlns:a16="http://schemas.microsoft.com/office/drawing/2014/main" id="{1CCBD5A7-95B0-44D6-9F1F-CD96BB9C5D1B}"/>
            </a:ext>
          </a:extLst>
        </xdr:cNvPr>
        <xdr:cNvPicPr>
          <a:picLocks noChangeAspect="1"/>
        </xdr:cNvPicPr>
      </xdr:nvPicPr>
      <xdr:blipFill>
        <a:blip xmlns:r="http://schemas.openxmlformats.org/officeDocument/2006/relationships" r:embed="rId3"/>
        <a:stretch>
          <a:fillRect/>
        </a:stretch>
      </xdr:blipFill>
      <xdr:spPr>
        <a:xfrm>
          <a:off x="176893" y="40094807"/>
          <a:ext cx="173424" cy="222126"/>
        </a:xfrm>
        <a:prstGeom prst="rect">
          <a:avLst/>
        </a:prstGeom>
      </xdr:spPr>
    </xdr:pic>
    <xdr:clientData/>
  </xdr:twoCellAnchor>
  <xdr:twoCellAnchor editAs="oneCell">
    <xdr:from>
      <xdr:col>0</xdr:col>
      <xdr:colOff>163286</xdr:colOff>
      <xdr:row>305</xdr:row>
      <xdr:rowOff>149678</xdr:rowOff>
    </xdr:from>
    <xdr:to>
      <xdr:col>1</xdr:col>
      <xdr:colOff>1068</xdr:colOff>
      <xdr:row>306</xdr:row>
      <xdr:rowOff>174954</xdr:rowOff>
    </xdr:to>
    <xdr:pic>
      <xdr:nvPicPr>
        <xdr:cNvPr id="9" name="Picture 8">
          <a:extLst>
            <a:ext uri="{FF2B5EF4-FFF2-40B4-BE49-F238E27FC236}">
              <a16:creationId xmlns:a16="http://schemas.microsoft.com/office/drawing/2014/main" id="{DF1491FB-59EE-4791-BCD8-24B97029CBAB}"/>
            </a:ext>
          </a:extLst>
        </xdr:cNvPr>
        <xdr:cNvPicPr>
          <a:picLocks noChangeAspect="1"/>
        </xdr:cNvPicPr>
      </xdr:nvPicPr>
      <xdr:blipFill>
        <a:blip xmlns:r="http://schemas.openxmlformats.org/officeDocument/2006/relationships" r:embed="rId3"/>
        <a:stretch>
          <a:fillRect/>
        </a:stretch>
      </xdr:blipFill>
      <xdr:spPr>
        <a:xfrm>
          <a:off x="163286" y="64494228"/>
          <a:ext cx="167982" cy="222125"/>
        </a:xfrm>
        <a:prstGeom prst="rect">
          <a:avLst/>
        </a:prstGeom>
      </xdr:spPr>
    </xdr:pic>
    <xdr:clientData/>
  </xdr:twoCellAnchor>
  <xdr:twoCellAnchor editAs="oneCell">
    <xdr:from>
      <xdr:col>22</xdr:col>
      <xdr:colOff>0</xdr:colOff>
      <xdr:row>305</xdr:row>
      <xdr:rowOff>54429</xdr:rowOff>
    </xdr:from>
    <xdr:to>
      <xdr:col>22</xdr:col>
      <xdr:colOff>896697</xdr:colOff>
      <xdr:row>306</xdr:row>
      <xdr:rowOff>132543</xdr:rowOff>
    </xdr:to>
    <xdr:pic>
      <xdr:nvPicPr>
        <xdr:cNvPr id="10" name="Picture 9">
          <a:extLst>
            <a:ext uri="{FF2B5EF4-FFF2-40B4-BE49-F238E27FC236}">
              <a16:creationId xmlns:a16="http://schemas.microsoft.com/office/drawing/2014/main" id="{0B43F844-05FA-494A-8B9F-CDDB168FA268}"/>
            </a:ext>
          </a:extLst>
        </xdr:cNvPr>
        <xdr:cNvPicPr>
          <a:picLocks noChangeAspect="1"/>
        </xdr:cNvPicPr>
      </xdr:nvPicPr>
      <xdr:blipFill>
        <a:blip xmlns:r="http://schemas.openxmlformats.org/officeDocument/2006/relationships" r:embed="rId4"/>
        <a:stretch>
          <a:fillRect/>
        </a:stretch>
      </xdr:blipFill>
      <xdr:spPr>
        <a:xfrm>
          <a:off x="23342600" y="64398979"/>
          <a:ext cx="896697" cy="274963"/>
        </a:xfrm>
        <a:prstGeom prst="rect">
          <a:avLst/>
        </a:prstGeom>
      </xdr:spPr>
    </xdr:pic>
    <xdr:clientData/>
  </xdr:twoCellAnchor>
  <xdr:twoCellAnchor editAs="oneCell">
    <xdr:from>
      <xdr:col>22</xdr:col>
      <xdr:colOff>0</xdr:colOff>
      <xdr:row>200</xdr:row>
      <xdr:rowOff>54429</xdr:rowOff>
    </xdr:from>
    <xdr:to>
      <xdr:col>22</xdr:col>
      <xdr:colOff>896697</xdr:colOff>
      <xdr:row>201</xdr:row>
      <xdr:rowOff>132543</xdr:rowOff>
    </xdr:to>
    <xdr:pic>
      <xdr:nvPicPr>
        <xdr:cNvPr id="11" name="Picture 10">
          <a:extLst>
            <a:ext uri="{FF2B5EF4-FFF2-40B4-BE49-F238E27FC236}">
              <a16:creationId xmlns:a16="http://schemas.microsoft.com/office/drawing/2014/main" id="{EB2B6DE2-A839-429C-AA28-CE3E67D4E32E}"/>
            </a:ext>
          </a:extLst>
        </xdr:cNvPr>
        <xdr:cNvPicPr>
          <a:picLocks noChangeAspect="1"/>
        </xdr:cNvPicPr>
      </xdr:nvPicPr>
      <xdr:blipFill>
        <a:blip xmlns:r="http://schemas.openxmlformats.org/officeDocument/2006/relationships" r:embed="rId4"/>
        <a:stretch>
          <a:fillRect/>
        </a:stretch>
      </xdr:blipFill>
      <xdr:spPr>
        <a:xfrm>
          <a:off x="23342600" y="40040379"/>
          <a:ext cx="896697" cy="274964"/>
        </a:xfrm>
        <a:prstGeom prst="rect">
          <a:avLst/>
        </a:prstGeom>
      </xdr:spPr>
    </xdr:pic>
    <xdr:clientData/>
  </xdr:twoCellAnchor>
  <xdr:twoCellAnchor editAs="oneCell">
    <xdr:from>
      <xdr:col>21</xdr:col>
      <xdr:colOff>1238250</xdr:colOff>
      <xdr:row>139</xdr:row>
      <xdr:rowOff>54428</xdr:rowOff>
    </xdr:from>
    <xdr:to>
      <xdr:col>22</xdr:col>
      <xdr:colOff>859595</xdr:colOff>
      <xdr:row>140</xdr:row>
      <xdr:rowOff>132541</xdr:rowOff>
    </xdr:to>
    <xdr:pic>
      <xdr:nvPicPr>
        <xdr:cNvPr id="12" name="Picture 11">
          <a:extLst>
            <a:ext uri="{FF2B5EF4-FFF2-40B4-BE49-F238E27FC236}">
              <a16:creationId xmlns:a16="http://schemas.microsoft.com/office/drawing/2014/main" id="{D5C9C992-2618-4EC9-BB7C-B9BBD94CC6A0}"/>
            </a:ext>
          </a:extLst>
        </xdr:cNvPr>
        <xdr:cNvPicPr>
          <a:picLocks noChangeAspect="1"/>
        </xdr:cNvPicPr>
      </xdr:nvPicPr>
      <xdr:blipFill>
        <a:blip xmlns:r="http://schemas.openxmlformats.org/officeDocument/2006/relationships" r:embed="rId4"/>
        <a:stretch>
          <a:fillRect/>
        </a:stretch>
      </xdr:blipFill>
      <xdr:spPr>
        <a:xfrm>
          <a:off x="23342600" y="27969028"/>
          <a:ext cx="859595" cy="274963"/>
        </a:xfrm>
        <a:prstGeom prst="rect">
          <a:avLst/>
        </a:prstGeom>
      </xdr:spPr>
    </xdr:pic>
    <xdr:clientData/>
  </xdr:twoCellAnchor>
  <xdr:twoCellAnchor editAs="oneCell">
    <xdr:from>
      <xdr:col>22</xdr:col>
      <xdr:colOff>0</xdr:colOff>
      <xdr:row>62</xdr:row>
      <xdr:rowOff>40821</xdr:rowOff>
    </xdr:from>
    <xdr:to>
      <xdr:col>22</xdr:col>
      <xdr:colOff>896697</xdr:colOff>
      <xdr:row>63</xdr:row>
      <xdr:rowOff>131634</xdr:rowOff>
    </xdr:to>
    <xdr:pic>
      <xdr:nvPicPr>
        <xdr:cNvPr id="13" name="Picture 12">
          <a:extLst>
            <a:ext uri="{FF2B5EF4-FFF2-40B4-BE49-F238E27FC236}">
              <a16:creationId xmlns:a16="http://schemas.microsoft.com/office/drawing/2014/main" id="{CDC9E8B8-BA80-4493-9238-4DB6DD54380B}"/>
            </a:ext>
          </a:extLst>
        </xdr:cNvPr>
        <xdr:cNvPicPr>
          <a:picLocks noChangeAspect="1"/>
        </xdr:cNvPicPr>
      </xdr:nvPicPr>
      <xdr:blipFill>
        <a:blip xmlns:r="http://schemas.openxmlformats.org/officeDocument/2006/relationships" r:embed="rId4"/>
        <a:stretch>
          <a:fillRect/>
        </a:stretch>
      </xdr:blipFill>
      <xdr:spPr>
        <a:xfrm>
          <a:off x="23342600" y="12359821"/>
          <a:ext cx="896697" cy="28766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22</xdr:col>
      <xdr:colOff>1095375</xdr:colOff>
      <xdr:row>305</xdr:row>
      <xdr:rowOff>123825</xdr:rowOff>
    </xdr:from>
    <xdr:to>
      <xdr:col>22</xdr:col>
      <xdr:colOff>1895475</xdr:colOff>
      <xdr:row>306</xdr:row>
      <xdr:rowOff>152400</xdr:rowOff>
    </xdr:to>
    <xdr:pic>
      <xdr:nvPicPr>
        <xdr:cNvPr id="2" name="Picture 1" descr="C:\WINDOWS\TEMP\~0003946.gif">
          <a:extLst>
            <a:ext uri="{FF2B5EF4-FFF2-40B4-BE49-F238E27FC236}">
              <a16:creationId xmlns:a16="http://schemas.microsoft.com/office/drawing/2014/main" id="{F4C11FDB-722D-4362-A94F-4B87783D68B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17325" y="6089967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CDE708D3-8452-48DE-9E1B-BCEEFFEC63B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20500" y="401383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614BCEE8-809E-4CC9-A845-87C22673808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17325" y="280765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231A2D3F-1991-45F4-B1F7-79F0CCB71E8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17325" y="124809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168331</xdr:rowOff>
    </xdr:to>
    <xdr:pic>
      <xdr:nvPicPr>
        <xdr:cNvPr id="6" name="Picture 5">
          <a:extLst>
            <a:ext uri="{FF2B5EF4-FFF2-40B4-BE49-F238E27FC236}">
              <a16:creationId xmlns:a16="http://schemas.microsoft.com/office/drawing/2014/main" id="{E8BEE75B-502B-4659-9B5B-492ECE85DB2B}"/>
            </a:ext>
          </a:extLst>
        </xdr:cNvPr>
        <xdr:cNvPicPr>
          <a:picLocks noChangeAspect="1"/>
        </xdr:cNvPicPr>
      </xdr:nvPicPr>
      <xdr:blipFill>
        <a:blip xmlns:r="http://schemas.openxmlformats.org/officeDocument/2006/relationships" r:embed="rId3"/>
        <a:stretch>
          <a:fillRect/>
        </a:stretch>
      </xdr:blipFill>
      <xdr:spPr>
        <a:xfrm>
          <a:off x="136071" y="12455071"/>
          <a:ext cx="170703" cy="229110"/>
        </a:xfrm>
        <a:prstGeom prst="rect">
          <a:avLst/>
        </a:prstGeom>
      </xdr:spPr>
    </xdr:pic>
    <xdr:clientData/>
  </xdr:twoCellAnchor>
  <xdr:twoCellAnchor editAs="oneCell">
    <xdr:from>
      <xdr:col>0</xdr:col>
      <xdr:colOff>176893</xdr:colOff>
      <xdr:row>139</xdr:row>
      <xdr:rowOff>81643</xdr:rowOff>
    </xdr:from>
    <xdr:to>
      <xdr:col>1</xdr:col>
      <xdr:colOff>20117</xdr:colOff>
      <xdr:row>140</xdr:row>
      <xdr:rowOff>98663</xdr:rowOff>
    </xdr:to>
    <xdr:pic>
      <xdr:nvPicPr>
        <xdr:cNvPr id="7" name="Picture 6">
          <a:extLst>
            <a:ext uri="{FF2B5EF4-FFF2-40B4-BE49-F238E27FC236}">
              <a16:creationId xmlns:a16="http://schemas.microsoft.com/office/drawing/2014/main" id="{1A77A051-6868-41D6-8C2F-408956EA5852}"/>
            </a:ext>
          </a:extLst>
        </xdr:cNvPr>
        <xdr:cNvPicPr>
          <a:picLocks noChangeAspect="1"/>
        </xdr:cNvPicPr>
      </xdr:nvPicPr>
      <xdr:blipFill>
        <a:blip xmlns:r="http://schemas.openxmlformats.org/officeDocument/2006/relationships" r:embed="rId3"/>
        <a:stretch>
          <a:fillRect/>
        </a:stretch>
      </xdr:blipFill>
      <xdr:spPr>
        <a:xfrm>
          <a:off x="176893" y="27996243"/>
          <a:ext cx="173424" cy="213870"/>
        </a:xfrm>
        <a:prstGeom prst="rect">
          <a:avLst/>
        </a:prstGeom>
      </xdr:spPr>
    </xdr:pic>
    <xdr:clientData/>
  </xdr:twoCellAnchor>
  <xdr:twoCellAnchor editAs="oneCell">
    <xdr:from>
      <xdr:col>0</xdr:col>
      <xdr:colOff>176893</xdr:colOff>
      <xdr:row>200</xdr:row>
      <xdr:rowOff>108857</xdr:rowOff>
    </xdr:from>
    <xdr:to>
      <xdr:col>1</xdr:col>
      <xdr:colOff>20117</xdr:colOff>
      <xdr:row>201</xdr:row>
      <xdr:rowOff>134133</xdr:rowOff>
    </xdr:to>
    <xdr:pic>
      <xdr:nvPicPr>
        <xdr:cNvPr id="8" name="Picture 7">
          <a:extLst>
            <a:ext uri="{FF2B5EF4-FFF2-40B4-BE49-F238E27FC236}">
              <a16:creationId xmlns:a16="http://schemas.microsoft.com/office/drawing/2014/main" id="{0091C697-1F65-4816-B95F-98CCD890B96C}"/>
            </a:ext>
          </a:extLst>
        </xdr:cNvPr>
        <xdr:cNvPicPr>
          <a:picLocks noChangeAspect="1"/>
        </xdr:cNvPicPr>
      </xdr:nvPicPr>
      <xdr:blipFill>
        <a:blip xmlns:r="http://schemas.openxmlformats.org/officeDocument/2006/relationships" r:embed="rId3"/>
        <a:stretch>
          <a:fillRect/>
        </a:stretch>
      </xdr:blipFill>
      <xdr:spPr>
        <a:xfrm>
          <a:off x="176893" y="40094807"/>
          <a:ext cx="173424" cy="222126"/>
        </a:xfrm>
        <a:prstGeom prst="rect">
          <a:avLst/>
        </a:prstGeom>
      </xdr:spPr>
    </xdr:pic>
    <xdr:clientData/>
  </xdr:twoCellAnchor>
  <xdr:twoCellAnchor editAs="oneCell">
    <xdr:from>
      <xdr:col>0</xdr:col>
      <xdr:colOff>163286</xdr:colOff>
      <xdr:row>305</xdr:row>
      <xdr:rowOff>149678</xdr:rowOff>
    </xdr:from>
    <xdr:to>
      <xdr:col>1</xdr:col>
      <xdr:colOff>1068</xdr:colOff>
      <xdr:row>306</xdr:row>
      <xdr:rowOff>174954</xdr:rowOff>
    </xdr:to>
    <xdr:pic>
      <xdr:nvPicPr>
        <xdr:cNvPr id="9" name="Picture 8">
          <a:extLst>
            <a:ext uri="{FF2B5EF4-FFF2-40B4-BE49-F238E27FC236}">
              <a16:creationId xmlns:a16="http://schemas.microsoft.com/office/drawing/2014/main" id="{5C429F80-352E-4B9B-BD48-84BFD4D800CE}"/>
            </a:ext>
          </a:extLst>
        </xdr:cNvPr>
        <xdr:cNvPicPr>
          <a:picLocks noChangeAspect="1"/>
        </xdr:cNvPicPr>
      </xdr:nvPicPr>
      <xdr:blipFill>
        <a:blip xmlns:r="http://schemas.openxmlformats.org/officeDocument/2006/relationships" r:embed="rId3"/>
        <a:stretch>
          <a:fillRect/>
        </a:stretch>
      </xdr:blipFill>
      <xdr:spPr>
        <a:xfrm>
          <a:off x="163286" y="60925528"/>
          <a:ext cx="167982" cy="222126"/>
        </a:xfrm>
        <a:prstGeom prst="rect">
          <a:avLst/>
        </a:prstGeom>
      </xdr:spPr>
    </xdr:pic>
    <xdr:clientData/>
  </xdr:twoCellAnchor>
  <xdr:twoCellAnchor editAs="oneCell">
    <xdr:from>
      <xdr:col>22</xdr:col>
      <xdr:colOff>0</xdr:colOff>
      <xdr:row>305</xdr:row>
      <xdr:rowOff>54429</xdr:rowOff>
    </xdr:from>
    <xdr:to>
      <xdr:col>22</xdr:col>
      <xdr:colOff>896697</xdr:colOff>
      <xdr:row>306</xdr:row>
      <xdr:rowOff>132543</xdr:rowOff>
    </xdr:to>
    <xdr:pic>
      <xdr:nvPicPr>
        <xdr:cNvPr id="10" name="Picture 9">
          <a:extLst>
            <a:ext uri="{FF2B5EF4-FFF2-40B4-BE49-F238E27FC236}">
              <a16:creationId xmlns:a16="http://schemas.microsoft.com/office/drawing/2014/main" id="{1A6E7094-2BDC-4B59-9898-E8ECC8CB0A03}"/>
            </a:ext>
          </a:extLst>
        </xdr:cNvPr>
        <xdr:cNvPicPr>
          <a:picLocks noChangeAspect="1"/>
        </xdr:cNvPicPr>
      </xdr:nvPicPr>
      <xdr:blipFill>
        <a:blip xmlns:r="http://schemas.openxmlformats.org/officeDocument/2006/relationships" r:embed="rId4"/>
        <a:stretch>
          <a:fillRect/>
        </a:stretch>
      </xdr:blipFill>
      <xdr:spPr>
        <a:xfrm>
          <a:off x="23342600" y="60830279"/>
          <a:ext cx="896697" cy="274964"/>
        </a:xfrm>
        <a:prstGeom prst="rect">
          <a:avLst/>
        </a:prstGeom>
      </xdr:spPr>
    </xdr:pic>
    <xdr:clientData/>
  </xdr:twoCellAnchor>
  <xdr:twoCellAnchor editAs="oneCell">
    <xdr:from>
      <xdr:col>22</xdr:col>
      <xdr:colOff>0</xdr:colOff>
      <xdr:row>200</xdr:row>
      <xdr:rowOff>54429</xdr:rowOff>
    </xdr:from>
    <xdr:to>
      <xdr:col>22</xdr:col>
      <xdr:colOff>896697</xdr:colOff>
      <xdr:row>201</xdr:row>
      <xdr:rowOff>132543</xdr:rowOff>
    </xdr:to>
    <xdr:pic>
      <xdr:nvPicPr>
        <xdr:cNvPr id="11" name="Picture 10">
          <a:extLst>
            <a:ext uri="{FF2B5EF4-FFF2-40B4-BE49-F238E27FC236}">
              <a16:creationId xmlns:a16="http://schemas.microsoft.com/office/drawing/2014/main" id="{CD620DAB-3943-4B57-8A6D-C369A8BA8E34}"/>
            </a:ext>
          </a:extLst>
        </xdr:cNvPr>
        <xdr:cNvPicPr>
          <a:picLocks noChangeAspect="1"/>
        </xdr:cNvPicPr>
      </xdr:nvPicPr>
      <xdr:blipFill>
        <a:blip xmlns:r="http://schemas.openxmlformats.org/officeDocument/2006/relationships" r:embed="rId4"/>
        <a:stretch>
          <a:fillRect/>
        </a:stretch>
      </xdr:blipFill>
      <xdr:spPr>
        <a:xfrm>
          <a:off x="23342600" y="40040379"/>
          <a:ext cx="896697" cy="274964"/>
        </a:xfrm>
        <a:prstGeom prst="rect">
          <a:avLst/>
        </a:prstGeom>
      </xdr:spPr>
    </xdr:pic>
    <xdr:clientData/>
  </xdr:twoCellAnchor>
  <xdr:twoCellAnchor editAs="oneCell">
    <xdr:from>
      <xdr:col>21</xdr:col>
      <xdr:colOff>1238250</xdr:colOff>
      <xdr:row>139</xdr:row>
      <xdr:rowOff>54428</xdr:rowOff>
    </xdr:from>
    <xdr:to>
      <xdr:col>22</xdr:col>
      <xdr:colOff>859595</xdr:colOff>
      <xdr:row>140</xdr:row>
      <xdr:rowOff>132541</xdr:rowOff>
    </xdr:to>
    <xdr:pic>
      <xdr:nvPicPr>
        <xdr:cNvPr id="12" name="Picture 11">
          <a:extLst>
            <a:ext uri="{FF2B5EF4-FFF2-40B4-BE49-F238E27FC236}">
              <a16:creationId xmlns:a16="http://schemas.microsoft.com/office/drawing/2014/main" id="{FFACD228-9F3C-4164-A4CC-B02C15DD51B7}"/>
            </a:ext>
          </a:extLst>
        </xdr:cNvPr>
        <xdr:cNvPicPr>
          <a:picLocks noChangeAspect="1"/>
        </xdr:cNvPicPr>
      </xdr:nvPicPr>
      <xdr:blipFill>
        <a:blip xmlns:r="http://schemas.openxmlformats.org/officeDocument/2006/relationships" r:embed="rId4"/>
        <a:stretch>
          <a:fillRect/>
        </a:stretch>
      </xdr:blipFill>
      <xdr:spPr>
        <a:xfrm>
          <a:off x="23342600" y="27969028"/>
          <a:ext cx="859595" cy="274963"/>
        </a:xfrm>
        <a:prstGeom prst="rect">
          <a:avLst/>
        </a:prstGeom>
      </xdr:spPr>
    </xdr:pic>
    <xdr:clientData/>
  </xdr:twoCellAnchor>
  <xdr:twoCellAnchor editAs="oneCell">
    <xdr:from>
      <xdr:col>22</xdr:col>
      <xdr:colOff>0</xdr:colOff>
      <xdr:row>62</xdr:row>
      <xdr:rowOff>40821</xdr:rowOff>
    </xdr:from>
    <xdr:to>
      <xdr:col>22</xdr:col>
      <xdr:colOff>896697</xdr:colOff>
      <xdr:row>63</xdr:row>
      <xdr:rowOff>131634</xdr:rowOff>
    </xdr:to>
    <xdr:pic>
      <xdr:nvPicPr>
        <xdr:cNvPr id="13" name="Picture 12">
          <a:extLst>
            <a:ext uri="{FF2B5EF4-FFF2-40B4-BE49-F238E27FC236}">
              <a16:creationId xmlns:a16="http://schemas.microsoft.com/office/drawing/2014/main" id="{9365D64F-08EB-4F8C-A870-E30ACCEEDA47}"/>
            </a:ext>
          </a:extLst>
        </xdr:cNvPr>
        <xdr:cNvPicPr>
          <a:picLocks noChangeAspect="1"/>
        </xdr:cNvPicPr>
      </xdr:nvPicPr>
      <xdr:blipFill>
        <a:blip xmlns:r="http://schemas.openxmlformats.org/officeDocument/2006/relationships" r:embed="rId4"/>
        <a:stretch>
          <a:fillRect/>
        </a:stretch>
      </xdr:blipFill>
      <xdr:spPr>
        <a:xfrm>
          <a:off x="23342600" y="12359821"/>
          <a:ext cx="896697" cy="287663"/>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22</xdr:col>
      <xdr:colOff>1095375</xdr:colOff>
      <xdr:row>305</xdr:row>
      <xdr:rowOff>123825</xdr:rowOff>
    </xdr:from>
    <xdr:to>
      <xdr:col>22</xdr:col>
      <xdr:colOff>1895475</xdr:colOff>
      <xdr:row>306</xdr:row>
      <xdr:rowOff>152400</xdr:rowOff>
    </xdr:to>
    <xdr:pic>
      <xdr:nvPicPr>
        <xdr:cNvPr id="2" name="Picture 1" descr="C:\WINDOWS\TEMP\~0003946.gif">
          <a:extLst>
            <a:ext uri="{FF2B5EF4-FFF2-40B4-BE49-F238E27FC236}">
              <a16:creationId xmlns:a16="http://schemas.microsoft.com/office/drawing/2014/main" id="{242C5F23-CCC9-4CBF-AB85-F959DFD123A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17325" y="6089967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C6B3D210-EA9A-401D-B4C0-B32939FDA2A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20500" y="401383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5D6F87B2-FFC6-4AAF-85F0-E8DEBD6F9AF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17325" y="280765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0C8CF6F9-F1AC-4B99-B414-032F96EA4E8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17325" y="124809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168331</xdr:rowOff>
    </xdr:to>
    <xdr:pic>
      <xdr:nvPicPr>
        <xdr:cNvPr id="6" name="Picture 5">
          <a:extLst>
            <a:ext uri="{FF2B5EF4-FFF2-40B4-BE49-F238E27FC236}">
              <a16:creationId xmlns:a16="http://schemas.microsoft.com/office/drawing/2014/main" id="{39DE9EB0-9329-4A5E-A1A1-55F6809C0616}"/>
            </a:ext>
          </a:extLst>
        </xdr:cNvPr>
        <xdr:cNvPicPr>
          <a:picLocks noChangeAspect="1"/>
        </xdr:cNvPicPr>
      </xdr:nvPicPr>
      <xdr:blipFill>
        <a:blip xmlns:r="http://schemas.openxmlformats.org/officeDocument/2006/relationships" r:embed="rId3"/>
        <a:stretch>
          <a:fillRect/>
        </a:stretch>
      </xdr:blipFill>
      <xdr:spPr>
        <a:xfrm>
          <a:off x="136071" y="12455071"/>
          <a:ext cx="170703" cy="229110"/>
        </a:xfrm>
        <a:prstGeom prst="rect">
          <a:avLst/>
        </a:prstGeom>
      </xdr:spPr>
    </xdr:pic>
    <xdr:clientData/>
  </xdr:twoCellAnchor>
  <xdr:twoCellAnchor editAs="oneCell">
    <xdr:from>
      <xdr:col>0</xdr:col>
      <xdr:colOff>176893</xdr:colOff>
      <xdr:row>139</xdr:row>
      <xdr:rowOff>81643</xdr:rowOff>
    </xdr:from>
    <xdr:to>
      <xdr:col>1</xdr:col>
      <xdr:colOff>20117</xdr:colOff>
      <xdr:row>140</xdr:row>
      <xdr:rowOff>98663</xdr:rowOff>
    </xdr:to>
    <xdr:pic>
      <xdr:nvPicPr>
        <xdr:cNvPr id="7" name="Picture 6">
          <a:extLst>
            <a:ext uri="{FF2B5EF4-FFF2-40B4-BE49-F238E27FC236}">
              <a16:creationId xmlns:a16="http://schemas.microsoft.com/office/drawing/2014/main" id="{09C5CA19-C179-4377-BC08-4FA03E70D8C9}"/>
            </a:ext>
          </a:extLst>
        </xdr:cNvPr>
        <xdr:cNvPicPr>
          <a:picLocks noChangeAspect="1"/>
        </xdr:cNvPicPr>
      </xdr:nvPicPr>
      <xdr:blipFill>
        <a:blip xmlns:r="http://schemas.openxmlformats.org/officeDocument/2006/relationships" r:embed="rId3"/>
        <a:stretch>
          <a:fillRect/>
        </a:stretch>
      </xdr:blipFill>
      <xdr:spPr>
        <a:xfrm>
          <a:off x="176893" y="27996243"/>
          <a:ext cx="173424" cy="213870"/>
        </a:xfrm>
        <a:prstGeom prst="rect">
          <a:avLst/>
        </a:prstGeom>
      </xdr:spPr>
    </xdr:pic>
    <xdr:clientData/>
  </xdr:twoCellAnchor>
  <xdr:twoCellAnchor editAs="oneCell">
    <xdr:from>
      <xdr:col>0</xdr:col>
      <xdr:colOff>176893</xdr:colOff>
      <xdr:row>200</xdr:row>
      <xdr:rowOff>108857</xdr:rowOff>
    </xdr:from>
    <xdr:to>
      <xdr:col>1</xdr:col>
      <xdr:colOff>20117</xdr:colOff>
      <xdr:row>201</xdr:row>
      <xdr:rowOff>134133</xdr:rowOff>
    </xdr:to>
    <xdr:pic>
      <xdr:nvPicPr>
        <xdr:cNvPr id="8" name="Picture 7">
          <a:extLst>
            <a:ext uri="{FF2B5EF4-FFF2-40B4-BE49-F238E27FC236}">
              <a16:creationId xmlns:a16="http://schemas.microsoft.com/office/drawing/2014/main" id="{B891671C-0FC4-495D-B723-66FEA74BC562}"/>
            </a:ext>
          </a:extLst>
        </xdr:cNvPr>
        <xdr:cNvPicPr>
          <a:picLocks noChangeAspect="1"/>
        </xdr:cNvPicPr>
      </xdr:nvPicPr>
      <xdr:blipFill>
        <a:blip xmlns:r="http://schemas.openxmlformats.org/officeDocument/2006/relationships" r:embed="rId3"/>
        <a:stretch>
          <a:fillRect/>
        </a:stretch>
      </xdr:blipFill>
      <xdr:spPr>
        <a:xfrm>
          <a:off x="176893" y="40094807"/>
          <a:ext cx="173424" cy="222126"/>
        </a:xfrm>
        <a:prstGeom prst="rect">
          <a:avLst/>
        </a:prstGeom>
      </xdr:spPr>
    </xdr:pic>
    <xdr:clientData/>
  </xdr:twoCellAnchor>
  <xdr:twoCellAnchor editAs="oneCell">
    <xdr:from>
      <xdr:col>0</xdr:col>
      <xdr:colOff>163286</xdr:colOff>
      <xdr:row>305</xdr:row>
      <xdr:rowOff>149678</xdr:rowOff>
    </xdr:from>
    <xdr:to>
      <xdr:col>1</xdr:col>
      <xdr:colOff>1068</xdr:colOff>
      <xdr:row>306</xdr:row>
      <xdr:rowOff>174954</xdr:rowOff>
    </xdr:to>
    <xdr:pic>
      <xdr:nvPicPr>
        <xdr:cNvPr id="9" name="Picture 8">
          <a:extLst>
            <a:ext uri="{FF2B5EF4-FFF2-40B4-BE49-F238E27FC236}">
              <a16:creationId xmlns:a16="http://schemas.microsoft.com/office/drawing/2014/main" id="{46372116-292A-4834-A313-8F1399ED5E3A}"/>
            </a:ext>
          </a:extLst>
        </xdr:cNvPr>
        <xdr:cNvPicPr>
          <a:picLocks noChangeAspect="1"/>
        </xdr:cNvPicPr>
      </xdr:nvPicPr>
      <xdr:blipFill>
        <a:blip xmlns:r="http://schemas.openxmlformats.org/officeDocument/2006/relationships" r:embed="rId3"/>
        <a:stretch>
          <a:fillRect/>
        </a:stretch>
      </xdr:blipFill>
      <xdr:spPr>
        <a:xfrm>
          <a:off x="163286" y="60925528"/>
          <a:ext cx="167982" cy="222126"/>
        </a:xfrm>
        <a:prstGeom prst="rect">
          <a:avLst/>
        </a:prstGeom>
      </xdr:spPr>
    </xdr:pic>
    <xdr:clientData/>
  </xdr:twoCellAnchor>
  <xdr:twoCellAnchor editAs="oneCell">
    <xdr:from>
      <xdr:col>22</xdr:col>
      <xdr:colOff>0</xdr:colOff>
      <xdr:row>305</xdr:row>
      <xdr:rowOff>54429</xdr:rowOff>
    </xdr:from>
    <xdr:to>
      <xdr:col>22</xdr:col>
      <xdr:colOff>896697</xdr:colOff>
      <xdr:row>306</xdr:row>
      <xdr:rowOff>132543</xdr:rowOff>
    </xdr:to>
    <xdr:pic>
      <xdr:nvPicPr>
        <xdr:cNvPr id="10" name="Picture 9">
          <a:extLst>
            <a:ext uri="{FF2B5EF4-FFF2-40B4-BE49-F238E27FC236}">
              <a16:creationId xmlns:a16="http://schemas.microsoft.com/office/drawing/2014/main" id="{5C08BF7F-3B34-4A18-8C24-A9D230D6588E}"/>
            </a:ext>
          </a:extLst>
        </xdr:cNvPr>
        <xdr:cNvPicPr>
          <a:picLocks noChangeAspect="1"/>
        </xdr:cNvPicPr>
      </xdr:nvPicPr>
      <xdr:blipFill>
        <a:blip xmlns:r="http://schemas.openxmlformats.org/officeDocument/2006/relationships" r:embed="rId4"/>
        <a:stretch>
          <a:fillRect/>
        </a:stretch>
      </xdr:blipFill>
      <xdr:spPr>
        <a:xfrm>
          <a:off x="23342600" y="60830279"/>
          <a:ext cx="896697" cy="274964"/>
        </a:xfrm>
        <a:prstGeom prst="rect">
          <a:avLst/>
        </a:prstGeom>
      </xdr:spPr>
    </xdr:pic>
    <xdr:clientData/>
  </xdr:twoCellAnchor>
  <xdr:twoCellAnchor editAs="oneCell">
    <xdr:from>
      <xdr:col>22</xdr:col>
      <xdr:colOff>0</xdr:colOff>
      <xdr:row>200</xdr:row>
      <xdr:rowOff>54429</xdr:rowOff>
    </xdr:from>
    <xdr:to>
      <xdr:col>22</xdr:col>
      <xdr:colOff>896697</xdr:colOff>
      <xdr:row>201</xdr:row>
      <xdr:rowOff>132543</xdr:rowOff>
    </xdr:to>
    <xdr:pic>
      <xdr:nvPicPr>
        <xdr:cNvPr id="11" name="Picture 10">
          <a:extLst>
            <a:ext uri="{FF2B5EF4-FFF2-40B4-BE49-F238E27FC236}">
              <a16:creationId xmlns:a16="http://schemas.microsoft.com/office/drawing/2014/main" id="{A3BD66FD-7E48-42EB-A85B-35FC6AA9440B}"/>
            </a:ext>
          </a:extLst>
        </xdr:cNvPr>
        <xdr:cNvPicPr>
          <a:picLocks noChangeAspect="1"/>
        </xdr:cNvPicPr>
      </xdr:nvPicPr>
      <xdr:blipFill>
        <a:blip xmlns:r="http://schemas.openxmlformats.org/officeDocument/2006/relationships" r:embed="rId4"/>
        <a:stretch>
          <a:fillRect/>
        </a:stretch>
      </xdr:blipFill>
      <xdr:spPr>
        <a:xfrm>
          <a:off x="23342600" y="40040379"/>
          <a:ext cx="896697" cy="274964"/>
        </a:xfrm>
        <a:prstGeom prst="rect">
          <a:avLst/>
        </a:prstGeom>
      </xdr:spPr>
    </xdr:pic>
    <xdr:clientData/>
  </xdr:twoCellAnchor>
  <xdr:twoCellAnchor editAs="oneCell">
    <xdr:from>
      <xdr:col>21</xdr:col>
      <xdr:colOff>1238250</xdr:colOff>
      <xdr:row>139</xdr:row>
      <xdr:rowOff>54428</xdr:rowOff>
    </xdr:from>
    <xdr:to>
      <xdr:col>22</xdr:col>
      <xdr:colOff>859595</xdr:colOff>
      <xdr:row>140</xdr:row>
      <xdr:rowOff>132541</xdr:rowOff>
    </xdr:to>
    <xdr:pic>
      <xdr:nvPicPr>
        <xdr:cNvPr id="12" name="Picture 11">
          <a:extLst>
            <a:ext uri="{FF2B5EF4-FFF2-40B4-BE49-F238E27FC236}">
              <a16:creationId xmlns:a16="http://schemas.microsoft.com/office/drawing/2014/main" id="{D8848432-2D78-4259-A866-2EE9D2EDF3DE}"/>
            </a:ext>
          </a:extLst>
        </xdr:cNvPr>
        <xdr:cNvPicPr>
          <a:picLocks noChangeAspect="1"/>
        </xdr:cNvPicPr>
      </xdr:nvPicPr>
      <xdr:blipFill>
        <a:blip xmlns:r="http://schemas.openxmlformats.org/officeDocument/2006/relationships" r:embed="rId4"/>
        <a:stretch>
          <a:fillRect/>
        </a:stretch>
      </xdr:blipFill>
      <xdr:spPr>
        <a:xfrm>
          <a:off x="23342600" y="27969028"/>
          <a:ext cx="859595" cy="274963"/>
        </a:xfrm>
        <a:prstGeom prst="rect">
          <a:avLst/>
        </a:prstGeom>
      </xdr:spPr>
    </xdr:pic>
    <xdr:clientData/>
  </xdr:twoCellAnchor>
  <xdr:twoCellAnchor editAs="oneCell">
    <xdr:from>
      <xdr:col>22</xdr:col>
      <xdr:colOff>0</xdr:colOff>
      <xdr:row>62</xdr:row>
      <xdr:rowOff>40821</xdr:rowOff>
    </xdr:from>
    <xdr:to>
      <xdr:col>22</xdr:col>
      <xdr:colOff>896697</xdr:colOff>
      <xdr:row>63</xdr:row>
      <xdr:rowOff>131634</xdr:rowOff>
    </xdr:to>
    <xdr:pic>
      <xdr:nvPicPr>
        <xdr:cNvPr id="13" name="Picture 12">
          <a:extLst>
            <a:ext uri="{FF2B5EF4-FFF2-40B4-BE49-F238E27FC236}">
              <a16:creationId xmlns:a16="http://schemas.microsoft.com/office/drawing/2014/main" id="{1CEA9AEC-EAD1-4796-B905-45D1952FA991}"/>
            </a:ext>
          </a:extLst>
        </xdr:cNvPr>
        <xdr:cNvPicPr>
          <a:picLocks noChangeAspect="1"/>
        </xdr:cNvPicPr>
      </xdr:nvPicPr>
      <xdr:blipFill>
        <a:blip xmlns:r="http://schemas.openxmlformats.org/officeDocument/2006/relationships" r:embed="rId4"/>
        <a:stretch>
          <a:fillRect/>
        </a:stretch>
      </xdr:blipFill>
      <xdr:spPr>
        <a:xfrm>
          <a:off x="23342600" y="12359821"/>
          <a:ext cx="896697" cy="287663"/>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xdr:from>
      <xdr:col>22</xdr:col>
      <xdr:colOff>1095375</xdr:colOff>
      <xdr:row>306</xdr:row>
      <xdr:rowOff>123825</xdr:rowOff>
    </xdr:from>
    <xdr:to>
      <xdr:col>22</xdr:col>
      <xdr:colOff>1895475</xdr:colOff>
      <xdr:row>307</xdr:row>
      <xdr:rowOff>152400</xdr:rowOff>
    </xdr:to>
    <xdr:pic>
      <xdr:nvPicPr>
        <xdr:cNvPr id="2" name="Picture 1" descr="C:\WINDOWS\TEMP\~0003946.gif">
          <a:extLst>
            <a:ext uri="{FF2B5EF4-FFF2-40B4-BE49-F238E27FC236}">
              <a16:creationId xmlns:a16="http://schemas.microsoft.com/office/drawing/2014/main" id="{32BD9A71-152E-472C-9028-3D5EFC0C5B8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17325" y="6089967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5612FF6D-C602-42C9-999B-B5A9B15EE71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20500" y="401383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A8535F7A-4E22-421C-84A4-9F3F19572DA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17325" y="280765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519256AD-5093-4EE6-BE2A-CBC693CD609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17325" y="124809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168331</xdr:rowOff>
    </xdr:to>
    <xdr:pic>
      <xdr:nvPicPr>
        <xdr:cNvPr id="6" name="Picture 5">
          <a:extLst>
            <a:ext uri="{FF2B5EF4-FFF2-40B4-BE49-F238E27FC236}">
              <a16:creationId xmlns:a16="http://schemas.microsoft.com/office/drawing/2014/main" id="{E6B27474-026E-4B1C-9020-5223DB77422E}"/>
            </a:ext>
          </a:extLst>
        </xdr:cNvPr>
        <xdr:cNvPicPr>
          <a:picLocks noChangeAspect="1"/>
        </xdr:cNvPicPr>
      </xdr:nvPicPr>
      <xdr:blipFill>
        <a:blip xmlns:r="http://schemas.openxmlformats.org/officeDocument/2006/relationships" r:embed="rId3"/>
        <a:stretch>
          <a:fillRect/>
        </a:stretch>
      </xdr:blipFill>
      <xdr:spPr>
        <a:xfrm>
          <a:off x="136071" y="12455071"/>
          <a:ext cx="170703" cy="229110"/>
        </a:xfrm>
        <a:prstGeom prst="rect">
          <a:avLst/>
        </a:prstGeom>
      </xdr:spPr>
    </xdr:pic>
    <xdr:clientData/>
  </xdr:twoCellAnchor>
  <xdr:twoCellAnchor editAs="oneCell">
    <xdr:from>
      <xdr:col>0</xdr:col>
      <xdr:colOff>176893</xdr:colOff>
      <xdr:row>139</xdr:row>
      <xdr:rowOff>81643</xdr:rowOff>
    </xdr:from>
    <xdr:to>
      <xdr:col>1</xdr:col>
      <xdr:colOff>20117</xdr:colOff>
      <xdr:row>140</xdr:row>
      <xdr:rowOff>98663</xdr:rowOff>
    </xdr:to>
    <xdr:pic>
      <xdr:nvPicPr>
        <xdr:cNvPr id="7" name="Picture 6">
          <a:extLst>
            <a:ext uri="{FF2B5EF4-FFF2-40B4-BE49-F238E27FC236}">
              <a16:creationId xmlns:a16="http://schemas.microsoft.com/office/drawing/2014/main" id="{DB18726E-D1AE-4D40-B80D-97B7CEF73BB4}"/>
            </a:ext>
          </a:extLst>
        </xdr:cNvPr>
        <xdr:cNvPicPr>
          <a:picLocks noChangeAspect="1"/>
        </xdr:cNvPicPr>
      </xdr:nvPicPr>
      <xdr:blipFill>
        <a:blip xmlns:r="http://schemas.openxmlformats.org/officeDocument/2006/relationships" r:embed="rId3"/>
        <a:stretch>
          <a:fillRect/>
        </a:stretch>
      </xdr:blipFill>
      <xdr:spPr>
        <a:xfrm>
          <a:off x="176893" y="27996243"/>
          <a:ext cx="173424" cy="213870"/>
        </a:xfrm>
        <a:prstGeom prst="rect">
          <a:avLst/>
        </a:prstGeom>
      </xdr:spPr>
    </xdr:pic>
    <xdr:clientData/>
  </xdr:twoCellAnchor>
  <xdr:twoCellAnchor editAs="oneCell">
    <xdr:from>
      <xdr:col>0</xdr:col>
      <xdr:colOff>176893</xdr:colOff>
      <xdr:row>200</xdr:row>
      <xdr:rowOff>108857</xdr:rowOff>
    </xdr:from>
    <xdr:to>
      <xdr:col>1</xdr:col>
      <xdr:colOff>20117</xdr:colOff>
      <xdr:row>201</xdr:row>
      <xdr:rowOff>134133</xdr:rowOff>
    </xdr:to>
    <xdr:pic>
      <xdr:nvPicPr>
        <xdr:cNvPr id="8" name="Picture 7">
          <a:extLst>
            <a:ext uri="{FF2B5EF4-FFF2-40B4-BE49-F238E27FC236}">
              <a16:creationId xmlns:a16="http://schemas.microsoft.com/office/drawing/2014/main" id="{374B3CB4-0386-4D18-B235-7177C4318179}"/>
            </a:ext>
          </a:extLst>
        </xdr:cNvPr>
        <xdr:cNvPicPr>
          <a:picLocks noChangeAspect="1"/>
        </xdr:cNvPicPr>
      </xdr:nvPicPr>
      <xdr:blipFill>
        <a:blip xmlns:r="http://schemas.openxmlformats.org/officeDocument/2006/relationships" r:embed="rId3"/>
        <a:stretch>
          <a:fillRect/>
        </a:stretch>
      </xdr:blipFill>
      <xdr:spPr>
        <a:xfrm>
          <a:off x="176893" y="40094807"/>
          <a:ext cx="173424" cy="222126"/>
        </a:xfrm>
        <a:prstGeom prst="rect">
          <a:avLst/>
        </a:prstGeom>
      </xdr:spPr>
    </xdr:pic>
    <xdr:clientData/>
  </xdr:twoCellAnchor>
  <xdr:twoCellAnchor editAs="oneCell">
    <xdr:from>
      <xdr:col>0</xdr:col>
      <xdr:colOff>163286</xdr:colOff>
      <xdr:row>306</xdr:row>
      <xdr:rowOff>149678</xdr:rowOff>
    </xdr:from>
    <xdr:to>
      <xdr:col>1</xdr:col>
      <xdr:colOff>1068</xdr:colOff>
      <xdr:row>307</xdr:row>
      <xdr:rowOff>174955</xdr:rowOff>
    </xdr:to>
    <xdr:pic>
      <xdr:nvPicPr>
        <xdr:cNvPr id="9" name="Picture 8">
          <a:extLst>
            <a:ext uri="{FF2B5EF4-FFF2-40B4-BE49-F238E27FC236}">
              <a16:creationId xmlns:a16="http://schemas.microsoft.com/office/drawing/2014/main" id="{BC1E4F45-B25D-4460-BB32-BC3AA9DE0A19}"/>
            </a:ext>
          </a:extLst>
        </xdr:cNvPr>
        <xdr:cNvPicPr>
          <a:picLocks noChangeAspect="1"/>
        </xdr:cNvPicPr>
      </xdr:nvPicPr>
      <xdr:blipFill>
        <a:blip xmlns:r="http://schemas.openxmlformats.org/officeDocument/2006/relationships" r:embed="rId3"/>
        <a:stretch>
          <a:fillRect/>
        </a:stretch>
      </xdr:blipFill>
      <xdr:spPr>
        <a:xfrm>
          <a:off x="163286" y="60925528"/>
          <a:ext cx="167982" cy="222126"/>
        </a:xfrm>
        <a:prstGeom prst="rect">
          <a:avLst/>
        </a:prstGeom>
      </xdr:spPr>
    </xdr:pic>
    <xdr:clientData/>
  </xdr:twoCellAnchor>
  <xdr:twoCellAnchor editAs="oneCell">
    <xdr:from>
      <xdr:col>22</xdr:col>
      <xdr:colOff>0</xdr:colOff>
      <xdr:row>306</xdr:row>
      <xdr:rowOff>54429</xdr:rowOff>
    </xdr:from>
    <xdr:to>
      <xdr:col>22</xdr:col>
      <xdr:colOff>896697</xdr:colOff>
      <xdr:row>307</xdr:row>
      <xdr:rowOff>132544</xdr:rowOff>
    </xdr:to>
    <xdr:pic>
      <xdr:nvPicPr>
        <xdr:cNvPr id="10" name="Picture 9">
          <a:extLst>
            <a:ext uri="{FF2B5EF4-FFF2-40B4-BE49-F238E27FC236}">
              <a16:creationId xmlns:a16="http://schemas.microsoft.com/office/drawing/2014/main" id="{ECC45FC9-481A-4984-8704-3016625348B1}"/>
            </a:ext>
          </a:extLst>
        </xdr:cNvPr>
        <xdr:cNvPicPr>
          <a:picLocks noChangeAspect="1"/>
        </xdr:cNvPicPr>
      </xdr:nvPicPr>
      <xdr:blipFill>
        <a:blip xmlns:r="http://schemas.openxmlformats.org/officeDocument/2006/relationships" r:embed="rId4"/>
        <a:stretch>
          <a:fillRect/>
        </a:stretch>
      </xdr:blipFill>
      <xdr:spPr>
        <a:xfrm>
          <a:off x="23342600" y="60830279"/>
          <a:ext cx="896697" cy="274964"/>
        </a:xfrm>
        <a:prstGeom prst="rect">
          <a:avLst/>
        </a:prstGeom>
      </xdr:spPr>
    </xdr:pic>
    <xdr:clientData/>
  </xdr:twoCellAnchor>
  <xdr:twoCellAnchor editAs="oneCell">
    <xdr:from>
      <xdr:col>22</xdr:col>
      <xdr:colOff>0</xdr:colOff>
      <xdr:row>200</xdr:row>
      <xdr:rowOff>54429</xdr:rowOff>
    </xdr:from>
    <xdr:to>
      <xdr:col>22</xdr:col>
      <xdr:colOff>896697</xdr:colOff>
      <xdr:row>201</xdr:row>
      <xdr:rowOff>132543</xdr:rowOff>
    </xdr:to>
    <xdr:pic>
      <xdr:nvPicPr>
        <xdr:cNvPr id="11" name="Picture 10">
          <a:extLst>
            <a:ext uri="{FF2B5EF4-FFF2-40B4-BE49-F238E27FC236}">
              <a16:creationId xmlns:a16="http://schemas.microsoft.com/office/drawing/2014/main" id="{E4F3ACCD-3466-49D8-A909-575477B623A0}"/>
            </a:ext>
          </a:extLst>
        </xdr:cNvPr>
        <xdr:cNvPicPr>
          <a:picLocks noChangeAspect="1"/>
        </xdr:cNvPicPr>
      </xdr:nvPicPr>
      <xdr:blipFill>
        <a:blip xmlns:r="http://schemas.openxmlformats.org/officeDocument/2006/relationships" r:embed="rId4"/>
        <a:stretch>
          <a:fillRect/>
        </a:stretch>
      </xdr:blipFill>
      <xdr:spPr>
        <a:xfrm>
          <a:off x="23342600" y="40040379"/>
          <a:ext cx="896697" cy="274964"/>
        </a:xfrm>
        <a:prstGeom prst="rect">
          <a:avLst/>
        </a:prstGeom>
      </xdr:spPr>
    </xdr:pic>
    <xdr:clientData/>
  </xdr:twoCellAnchor>
  <xdr:twoCellAnchor editAs="oneCell">
    <xdr:from>
      <xdr:col>21</xdr:col>
      <xdr:colOff>1238250</xdr:colOff>
      <xdr:row>139</xdr:row>
      <xdr:rowOff>54428</xdr:rowOff>
    </xdr:from>
    <xdr:to>
      <xdr:col>22</xdr:col>
      <xdr:colOff>859595</xdr:colOff>
      <xdr:row>140</xdr:row>
      <xdr:rowOff>132541</xdr:rowOff>
    </xdr:to>
    <xdr:pic>
      <xdr:nvPicPr>
        <xdr:cNvPr id="12" name="Picture 11">
          <a:extLst>
            <a:ext uri="{FF2B5EF4-FFF2-40B4-BE49-F238E27FC236}">
              <a16:creationId xmlns:a16="http://schemas.microsoft.com/office/drawing/2014/main" id="{8E22BCCC-7311-4D7A-8735-0B851511A95D}"/>
            </a:ext>
          </a:extLst>
        </xdr:cNvPr>
        <xdr:cNvPicPr>
          <a:picLocks noChangeAspect="1"/>
        </xdr:cNvPicPr>
      </xdr:nvPicPr>
      <xdr:blipFill>
        <a:blip xmlns:r="http://schemas.openxmlformats.org/officeDocument/2006/relationships" r:embed="rId4"/>
        <a:stretch>
          <a:fillRect/>
        </a:stretch>
      </xdr:blipFill>
      <xdr:spPr>
        <a:xfrm>
          <a:off x="23342600" y="27969028"/>
          <a:ext cx="859595" cy="274963"/>
        </a:xfrm>
        <a:prstGeom prst="rect">
          <a:avLst/>
        </a:prstGeom>
      </xdr:spPr>
    </xdr:pic>
    <xdr:clientData/>
  </xdr:twoCellAnchor>
  <xdr:twoCellAnchor editAs="oneCell">
    <xdr:from>
      <xdr:col>22</xdr:col>
      <xdr:colOff>0</xdr:colOff>
      <xdr:row>62</xdr:row>
      <xdr:rowOff>40821</xdr:rowOff>
    </xdr:from>
    <xdr:to>
      <xdr:col>22</xdr:col>
      <xdr:colOff>896697</xdr:colOff>
      <xdr:row>63</xdr:row>
      <xdr:rowOff>131634</xdr:rowOff>
    </xdr:to>
    <xdr:pic>
      <xdr:nvPicPr>
        <xdr:cNvPr id="13" name="Picture 12">
          <a:extLst>
            <a:ext uri="{FF2B5EF4-FFF2-40B4-BE49-F238E27FC236}">
              <a16:creationId xmlns:a16="http://schemas.microsoft.com/office/drawing/2014/main" id="{85FE7F11-ED58-4FC9-90B4-7C235595041A}"/>
            </a:ext>
          </a:extLst>
        </xdr:cNvPr>
        <xdr:cNvPicPr>
          <a:picLocks noChangeAspect="1"/>
        </xdr:cNvPicPr>
      </xdr:nvPicPr>
      <xdr:blipFill>
        <a:blip xmlns:r="http://schemas.openxmlformats.org/officeDocument/2006/relationships" r:embed="rId4"/>
        <a:stretch>
          <a:fillRect/>
        </a:stretch>
      </xdr:blipFill>
      <xdr:spPr>
        <a:xfrm>
          <a:off x="23342600" y="12359821"/>
          <a:ext cx="896697" cy="287663"/>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22</xdr:col>
      <xdr:colOff>1095375</xdr:colOff>
      <xdr:row>306</xdr:row>
      <xdr:rowOff>123825</xdr:rowOff>
    </xdr:from>
    <xdr:to>
      <xdr:col>22</xdr:col>
      <xdr:colOff>1895475</xdr:colOff>
      <xdr:row>307</xdr:row>
      <xdr:rowOff>152400</xdr:rowOff>
    </xdr:to>
    <xdr:pic>
      <xdr:nvPicPr>
        <xdr:cNvPr id="2" name="Picture 1" descr="C:\WINDOWS\TEMP\~0003946.gif">
          <a:extLst>
            <a:ext uri="{FF2B5EF4-FFF2-40B4-BE49-F238E27FC236}">
              <a16:creationId xmlns:a16="http://schemas.microsoft.com/office/drawing/2014/main" id="{100A114F-24E2-43A1-BD14-D8B77FDF5E8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77370" y="620287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FD45DD12-A853-49E9-ACC5-4CED90ADED2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75465" y="4075747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7049BDA9-9E25-4282-B1C1-B027080E555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81180" y="285007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91003E10-6B50-44C2-9A74-6850993B65B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81180" y="1267015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172141</xdr:rowOff>
    </xdr:to>
    <xdr:pic>
      <xdr:nvPicPr>
        <xdr:cNvPr id="6" name="Picture 5">
          <a:extLst>
            <a:ext uri="{FF2B5EF4-FFF2-40B4-BE49-F238E27FC236}">
              <a16:creationId xmlns:a16="http://schemas.microsoft.com/office/drawing/2014/main" id="{29C2360A-E718-47EB-9894-03428C7D7308}"/>
            </a:ext>
          </a:extLst>
        </xdr:cNvPr>
        <xdr:cNvPicPr>
          <a:picLocks noChangeAspect="1"/>
        </xdr:cNvPicPr>
      </xdr:nvPicPr>
      <xdr:blipFill>
        <a:blip xmlns:r="http://schemas.openxmlformats.org/officeDocument/2006/relationships" r:embed="rId3"/>
        <a:stretch>
          <a:fillRect/>
        </a:stretch>
      </xdr:blipFill>
      <xdr:spPr>
        <a:xfrm>
          <a:off x="132261" y="12638586"/>
          <a:ext cx="174513" cy="239905"/>
        </a:xfrm>
        <a:prstGeom prst="rect">
          <a:avLst/>
        </a:prstGeom>
      </xdr:spPr>
    </xdr:pic>
    <xdr:clientData/>
  </xdr:twoCellAnchor>
  <xdr:twoCellAnchor editAs="oneCell">
    <xdr:from>
      <xdr:col>0</xdr:col>
      <xdr:colOff>176893</xdr:colOff>
      <xdr:row>139</xdr:row>
      <xdr:rowOff>81643</xdr:rowOff>
    </xdr:from>
    <xdr:to>
      <xdr:col>1</xdr:col>
      <xdr:colOff>16307</xdr:colOff>
      <xdr:row>140</xdr:row>
      <xdr:rowOff>94853</xdr:rowOff>
    </xdr:to>
    <xdr:pic>
      <xdr:nvPicPr>
        <xdr:cNvPr id="7" name="Picture 6">
          <a:extLst>
            <a:ext uri="{FF2B5EF4-FFF2-40B4-BE49-F238E27FC236}">
              <a16:creationId xmlns:a16="http://schemas.microsoft.com/office/drawing/2014/main" id="{8AE9C020-F66E-4170-A31B-45314281576F}"/>
            </a:ext>
          </a:extLst>
        </xdr:cNvPr>
        <xdr:cNvPicPr>
          <a:picLocks noChangeAspect="1"/>
        </xdr:cNvPicPr>
      </xdr:nvPicPr>
      <xdr:blipFill>
        <a:blip xmlns:r="http://schemas.openxmlformats.org/officeDocument/2006/relationships" r:embed="rId3"/>
        <a:stretch>
          <a:fillRect/>
        </a:stretch>
      </xdr:blipFill>
      <xdr:spPr>
        <a:xfrm>
          <a:off x="173083" y="28420423"/>
          <a:ext cx="176599" cy="211330"/>
        </a:xfrm>
        <a:prstGeom prst="rect">
          <a:avLst/>
        </a:prstGeom>
      </xdr:spPr>
    </xdr:pic>
    <xdr:clientData/>
  </xdr:twoCellAnchor>
  <xdr:twoCellAnchor editAs="oneCell">
    <xdr:from>
      <xdr:col>0</xdr:col>
      <xdr:colOff>176893</xdr:colOff>
      <xdr:row>200</xdr:row>
      <xdr:rowOff>108857</xdr:rowOff>
    </xdr:from>
    <xdr:to>
      <xdr:col>1</xdr:col>
      <xdr:colOff>16307</xdr:colOff>
      <xdr:row>201</xdr:row>
      <xdr:rowOff>130323</xdr:rowOff>
    </xdr:to>
    <xdr:pic>
      <xdr:nvPicPr>
        <xdr:cNvPr id="8" name="Picture 7">
          <a:extLst>
            <a:ext uri="{FF2B5EF4-FFF2-40B4-BE49-F238E27FC236}">
              <a16:creationId xmlns:a16="http://schemas.microsoft.com/office/drawing/2014/main" id="{6CE241B9-2AC6-4B5C-B48D-74CA8DD60CF3}"/>
            </a:ext>
          </a:extLst>
        </xdr:cNvPr>
        <xdr:cNvPicPr>
          <a:picLocks noChangeAspect="1"/>
        </xdr:cNvPicPr>
      </xdr:nvPicPr>
      <xdr:blipFill>
        <a:blip xmlns:r="http://schemas.openxmlformats.org/officeDocument/2006/relationships" r:embed="rId3"/>
        <a:stretch>
          <a:fillRect/>
        </a:stretch>
      </xdr:blipFill>
      <xdr:spPr>
        <a:xfrm>
          <a:off x="173083" y="40712027"/>
          <a:ext cx="176599" cy="223396"/>
        </a:xfrm>
        <a:prstGeom prst="rect">
          <a:avLst/>
        </a:prstGeom>
      </xdr:spPr>
    </xdr:pic>
    <xdr:clientData/>
  </xdr:twoCellAnchor>
  <xdr:twoCellAnchor editAs="oneCell">
    <xdr:from>
      <xdr:col>0</xdr:col>
      <xdr:colOff>163286</xdr:colOff>
      <xdr:row>306</xdr:row>
      <xdr:rowOff>149678</xdr:rowOff>
    </xdr:from>
    <xdr:to>
      <xdr:col>1</xdr:col>
      <xdr:colOff>1068</xdr:colOff>
      <xdr:row>307</xdr:row>
      <xdr:rowOff>171145</xdr:rowOff>
    </xdr:to>
    <xdr:pic>
      <xdr:nvPicPr>
        <xdr:cNvPr id="9" name="Picture 8">
          <a:extLst>
            <a:ext uri="{FF2B5EF4-FFF2-40B4-BE49-F238E27FC236}">
              <a16:creationId xmlns:a16="http://schemas.microsoft.com/office/drawing/2014/main" id="{06CBCD7F-7305-4A82-B1DB-1520D7A543FB}"/>
            </a:ext>
          </a:extLst>
        </xdr:cNvPr>
        <xdr:cNvPicPr>
          <a:picLocks noChangeAspect="1"/>
        </xdr:cNvPicPr>
      </xdr:nvPicPr>
      <xdr:blipFill>
        <a:blip xmlns:r="http://schemas.openxmlformats.org/officeDocument/2006/relationships" r:embed="rId3"/>
        <a:stretch>
          <a:fillRect/>
        </a:stretch>
      </xdr:blipFill>
      <xdr:spPr>
        <a:xfrm>
          <a:off x="165191" y="62052653"/>
          <a:ext cx="169252" cy="221492"/>
        </a:xfrm>
        <a:prstGeom prst="rect">
          <a:avLst/>
        </a:prstGeom>
      </xdr:spPr>
    </xdr:pic>
    <xdr:clientData/>
  </xdr:twoCellAnchor>
  <xdr:twoCellAnchor editAs="oneCell">
    <xdr:from>
      <xdr:col>22</xdr:col>
      <xdr:colOff>0</xdr:colOff>
      <xdr:row>306</xdr:row>
      <xdr:rowOff>54429</xdr:rowOff>
    </xdr:from>
    <xdr:to>
      <xdr:col>22</xdr:col>
      <xdr:colOff>892887</xdr:colOff>
      <xdr:row>307</xdr:row>
      <xdr:rowOff>136354</xdr:rowOff>
    </xdr:to>
    <xdr:pic>
      <xdr:nvPicPr>
        <xdr:cNvPr id="10" name="Picture 9">
          <a:extLst>
            <a:ext uri="{FF2B5EF4-FFF2-40B4-BE49-F238E27FC236}">
              <a16:creationId xmlns:a16="http://schemas.microsoft.com/office/drawing/2014/main" id="{448D2B36-DA8D-4551-9683-A5FC07F0B69B}"/>
            </a:ext>
          </a:extLst>
        </xdr:cNvPr>
        <xdr:cNvPicPr>
          <a:picLocks noChangeAspect="1"/>
        </xdr:cNvPicPr>
      </xdr:nvPicPr>
      <xdr:blipFill>
        <a:blip xmlns:r="http://schemas.openxmlformats.org/officeDocument/2006/relationships" r:embed="rId4"/>
        <a:stretch>
          <a:fillRect/>
        </a:stretch>
      </xdr:blipFill>
      <xdr:spPr>
        <a:xfrm>
          <a:off x="23679150" y="61961214"/>
          <a:ext cx="892887" cy="278140"/>
        </a:xfrm>
        <a:prstGeom prst="rect">
          <a:avLst/>
        </a:prstGeom>
      </xdr:spPr>
    </xdr:pic>
    <xdr:clientData/>
  </xdr:twoCellAnchor>
  <xdr:twoCellAnchor editAs="oneCell">
    <xdr:from>
      <xdr:col>22</xdr:col>
      <xdr:colOff>0</xdr:colOff>
      <xdr:row>200</xdr:row>
      <xdr:rowOff>54429</xdr:rowOff>
    </xdr:from>
    <xdr:to>
      <xdr:col>22</xdr:col>
      <xdr:colOff>892887</xdr:colOff>
      <xdr:row>201</xdr:row>
      <xdr:rowOff>136353</xdr:rowOff>
    </xdr:to>
    <xdr:pic>
      <xdr:nvPicPr>
        <xdr:cNvPr id="11" name="Picture 10">
          <a:extLst>
            <a:ext uri="{FF2B5EF4-FFF2-40B4-BE49-F238E27FC236}">
              <a16:creationId xmlns:a16="http://schemas.microsoft.com/office/drawing/2014/main" id="{990D6077-8D0A-47EC-A083-7679598F6174}"/>
            </a:ext>
          </a:extLst>
        </xdr:cNvPr>
        <xdr:cNvPicPr>
          <a:picLocks noChangeAspect="1"/>
        </xdr:cNvPicPr>
      </xdr:nvPicPr>
      <xdr:blipFill>
        <a:blip xmlns:r="http://schemas.openxmlformats.org/officeDocument/2006/relationships" r:embed="rId4"/>
        <a:stretch>
          <a:fillRect/>
        </a:stretch>
      </xdr:blipFill>
      <xdr:spPr>
        <a:xfrm>
          <a:off x="23679150" y="40663314"/>
          <a:ext cx="892887" cy="278139"/>
        </a:xfrm>
        <a:prstGeom prst="rect">
          <a:avLst/>
        </a:prstGeom>
      </xdr:spPr>
    </xdr:pic>
    <xdr:clientData/>
  </xdr:twoCellAnchor>
  <xdr:twoCellAnchor editAs="oneCell">
    <xdr:from>
      <xdr:col>21</xdr:col>
      <xdr:colOff>1238250</xdr:colOff>
      <xdr:row>139</xdr:row>
      <xdr:rowOff>54428</xdr:rowOff>
    </xdr:from>
    <xdr:to>
      <xdr:col>22</xdr:col>
      <xdr:colOff>855785</xdr:colOff>
      <xdr:row>140</xdr:row>
      <xdr:rowOff>136351</xdr:rowOff>
    </xdr:to>
    <xdr:pic>
      <xdr:nvPicPr>
        <xdr:cNvPr id="12" name="Picture 11">
          <a:extLst>
            <a:ext uri="{FF2B5EF4-FFF2-40B4-BE49-F238E27FC236}">
              <a16:creationId xmlns:a16="http://schemas.microsoft.com/office/drawing/2014/main" id="{CF1A6F4C-E854-4D24-8111-1380B050F714}"/>
            </a:ext>
          </a:extLst>
        </xdr:cNvPr>
        <xdr:cNvPicPr>
          <a:picLocks noChangeAspect="1"/>
        </xdr:cNvPicPr>
      </xdr:nvPicPr>
      <xdr:blipFill>
        <a:blip xmlns:r="http://schemas.openxmlformats.org/officeDocument/2006/relationships" r:embed="rId4"/>
        <a:stretch>
          <a:fillRect/>
        </a:stretch>
      </xdr:blipFill>
      <xdr:spPr>
        <a:xfrm>
          <a:off x="23665815" y="28395113"/>
          <a:ext cx="869120" cy="278138"/>
        </a:xfrm>
        <a:prstGeom prst="rect">
          <a:avLst/>
        </a:prstGeom>
      </xdr:spPr>
    </xdr:pic>
    <xdr:clientData/>
  </xdr:twoCellAnchor>
  <xdr:twoCellAnchor editAs="oneCell">
    <xdr:from>
      <xdr:col>22</xdr:col>
      <xdr:colOff>0</xdr:colOff>
      <xdr:row>62</xdr:row>
      <xdr:rowOff>40821</xdr:rowOff>
    </xdr:from>
    <xdr:to>
      <xdr:col>22</xdr:col>
      <xdr:colOff>892887</xdr:colOff>
      <xdr:row>63</xdr:row>
      <xdr:rowOff>135444</xdr:rowOff>
    </xdr:to>
    <xdr:pic>
      <xdr:nvPicPr>
        <xdr:cNvPr id="13" name="Picture 12">
          <a:extLst>
            <a:ext uri="{FF2B5EF4-FFF2-40B4-BE49-F238E27FC236}">
              <a16:creationId xmlns:a16="http://schemas.microsoft.com/office/drawing/2014/main" id="{7E2DC225-6FAE-4CAA-B56D-9F2320803E39}"/>
            </a:ext>
          </a:extLst>
        </xdr:cNvPr>
        <xdr:cNvPicPr>
          <a:picLocks noChangeAspect="1"/>
        </xdr:cNvPicPr>
      </xdr:nvPicPr>
      <xdr:blipFill>
        <a:blip xmlns:r="http://schemas.openxmlformats.org/officeDocument/2006/relationships" r:embed="rId4"/>
        <a:stretch>
          <a:fillRect/>
        </a:stretch>
      </xdr:blipFill>
      <xdr:spPr>
        <a:xfrm>
          <a:off x="23679150" y="12547146"/>
          <a:ext cx="892887" cy="29464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22</xdr:col>
      <xdr:colOff>1095375</xdr:colOff>
      <xdr:row>305</xdr:row>
      <xdr:rowOff>123825</xdr:rowOff>
    </xdr:from>
    <xdr:to>
      <xdr:col>22</xdr:col>
      <xdr:colOff>1895475</xdr:colOff>
      <xdr:row>306</xdr:row>
      <xdr:rowOff>152400</xdr:rowOff>
    </xdr:to>
    <xdr:pic>
      <xdr:nvPicPr>
        <xdr:cNvPr id="2" name="Picture 1" descr="C:\WINDOWS\TEMP\~0003946.gif">
          <a:extLst>
            <a:ext uri="{FF2B5EF4-FFF2-40B4-BE49-F238E27FC236}">
              <a16:creationId xmlns:a16="http://schemas.microsoft.com/office/drawing/2014/main" id="{CA9C8021-B236-47F2-B852-41C0170255D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77370" y="620287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5D60E8C6-11D3-4462-A65F-460596FA184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75465" y="4075747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6F17064C-6F69-4070-8AB3-9AC2D752946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81180" y="285007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A3B28F9C-1F40-4020-929F-B9A581D2365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81180" y="1267015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168331</xdr:rowOff>
    </xdr:to>
    <xdr:pic>
      <xdr:nvPicPr>
        <xdr:cNvPr id="6" name="Picture 5">
          <a:extLst>
            <a:ext uri="{FF2B5EF4-FFF2-40B4-BE49-F238E27FC236}">
              <a16:creationId xmlns:a16="http://schemas.microsoft.com/office/drawing/2014/main" id="{EE485B0C-E121-4A68-8E33-8AFEC44BB4D9}"/>
            </a:ext>
          </a:extLst>
        </xdr:cNvPr>
        <xdr:cNvPicPr>
          <a:picLocks noChangeAspect="1"/>
        </xdr:cNvPicPr>
      </xdr:nvPicPr>
      <xdr:blipFill>
        <a:blip xmlns:r="http://schemas.openxmlformats.org/officeDocument/2006/relationships" r:embed="rId3"/>
        <a:stretch>
          <a:fillRect/>
        </a:stretch>
      </xdr:blipFill>
      <xdr:spPr>
        <a:xfrm>
          <a:off x="132261" y="12638586"/>
          <a:ext cx="174513" cy="236095"/>
        </a:xfrm>
        <a:prstGeom prst="rect">
          <a:avLst/>
        </a:prstGeom>
      </xdr:spPr>
    </xdr:pic>
    <xdr:clientData/>
  </xdr:twoCellAnchor>
  <xdr:twoCellAnchor editAs="oneCell">
    <xdr:from>
      <xdr:col>0</xdr:col>
      <xdr:colOff>176893</xdr:colOff>
      <xdr:row>139</xdr:row>
      <xdr:rowOff>81643</xdr:rowOff>
    </xdr:from>
    <xdr:to>
      <xdr:col>1</xdr:col>
      <xdr:colOff>20117</xdr:colOff>
      <xdr:row>140</xdr:row>
      <xdr:rowOff>98663</xdr:rowOff>
    </xdr:to>
    <xdr:pic>
      <xdr:nvPicPr>
        <xdr:cNvPr id="7" name="Picture 6">
          <a:extLst>
            <a:ext uri="{FF2B5EF4-FFF2-40B4-BE49-F238E27FC236}">
              <a16:creationId xmlns:a16="http://schemas.microsoft.com/office/drawing/2014/main" id="{BC9087F2-DD40-426F-AEF0-7D14553E6433}"/>
            </a:ext>
          </a:extLst>
        </xdr:cNvPr>
        <xdr:cNvPicPr>
          <a:picLocks noChangeAspect="1"/>
        </xdr:cNvPicPr>
      </xdr:nvPicPr>
      <xdr:blipFill>
        <a:blip xmlns:r="http://schemas.openxmlformats.org/officeDocument/2006/relationships" r:embed="rId3"/>
        <a:stretch>
          <a:fillRect/>
        </a:stretch>
      </xdr:blipFill>
      <xdr:spPr>
        <a:xfrm>
          <a:off x="173083" y="28420423"/>
          <a:ext cx="180409" cy="215140"/>
        </a:xfrm>
        <a:prstGeom prst="rect">
          <a:avLst/>
        </a:prstGeom>
      </xdr:spPr>
    </xdr:pic>
    <xdr:clientData/>
  </xdr:twoCellAnchor>
  <xdr:twoCellAnchor editAs="oneCell">
    <xdr:from>
      <xdr:col>0</xdr:col>
      <xdr:colOff>176893</xdr:colOff>
      <xdr:row>200</xdr:row>
      <xdr:rowOff>108857</xdr:rowOff>
    </xdr:from>
    <xdr:to>
      <xdr:col>1</xdr:col>
      <xdr:colOff>20117</xdr:colOff>
      <xdr:row>201</xdr:row>
      <xdr:rowOff>134133</xdr:rowOff>
    </xdr:to>
    <xdr:pic>
      <xdr:nvPicPr>
        <xdr:cNvPr id="8" name="Picture 7">
          <a:extLst>
            <a:ext uri="{FF2B5EF4-FFF2-40B4-BE49-F238E27FC236}">
              <a16:creationId xmlns:a16="http://schemas.microsoft.com/office/drawing/2014/main" id="{5AC36176-B4E0-4447-84AB-64B7A68763DE}"/>
            </a:ext>
          </a:extLst>
        </xdr:cNvPr>
        <xdr:cNvPicPr>
          <a:picLocks noChangeAspect="1"/>
        </xdr:cNvPicPr>
      </xdr:nvPicPr>
      <xdr:blipFill>
        <a:blip xmlns:r="http://schemas.openxmlformats.org/officeDocument/2006/relationships" r:embed="rId3"/>
        <a:stretch>
          <a:fillRect/>
        </a:stretch>
      </xdr:blipFill>
      <xdr:spPr>
        <a:xfrm>
          <a:off x="173083" y="40712027"/>
          <a:ext cx="180409" cy="227206"/>
        </a:xfrm>
        <a:prstGeom prst="rect">
          <a:avLst/>
        </a:prstGeom>
      </xdr:spPr>
    </xdr:pic>
    <xdr:clientData/>
  </xdr:twoCellAnchor>
  <xdr:twoCellAnchor editAs="oneCell">
    <xdr:from>
      <xdr:col>0</xdr:col>
      <xdr:colOff>163286</xdr:colOff>
      <xdr:row>305</xdr:row>
      <xdr:rowOff>149678</xdr:rowOff>
    </xdr:from>
    <xdr:to>
      <xdr:col>1</xdr:col>
      <xdr:colOff>1068</xdr:colOff>
      <xdr:row>306</xdr:row>
      <xdr:rowOff>174954</xdr:rowOff>
    </xdr:to>
    <xdr:pic>
      <xdr:nvPicPr>
        <xdr:cNvPr id="9" name="Picture 8">
          <a:extLst>
            <a:ext uri="{FF2B5EF4-FFF2-40B4-BE49-F238E27FC236}">
              <a16:creationId xmlns:a16="http://schemas.microsoft.com/office/drawing/2014/main" id="{247BB744-3363-4914-B8B8-79F3C202E6CD}"/>
            </a:ext>
          </a:extLst>
        </xdr:cNvPr>
        <xdr:cNvPicPr>
          <a:picLocks noChangeAspect="1"/>
        </xdr:cNvPicPr>
      </xdr:nvPicPr>
      <xdr:blipFill>
        <a:blip xmlns:r="http://schemas.openxmlformats.org/officeDocument/2006/relationships" r:embed="rId3"/>
        <a:stretch>
          <a:fillRect/>
        </a:stretch>
      </xdr:blipFill>
      <xdr:spPr>
        <a:xfrm>
          <a:off x="165191" y="62052653"/>
          <a:ext cx="169252" cy="225302"/>
        </a:xfrm>
        <a:prstGeom prst="rect">
          <a:avLst/>
        </a:prstGeom>
      </xdr:spPr>
    </xdr:pic>
    <xdr:clientData/>
  </xdr:twoCellAnchor>
  <xdr:twoCellAnchor editAs="oneCell">
    <xdr:from>
      <xdr:col>22</xdr:col>
      <xdr:colOff>0</xdr:colOff>
      <xdr:row>305</xdr:row>
      <xdr:rowOff>54429</xdr:rowOff>
    </xdr:from>
    <xdr:to>
      <xdr:col>22</xdr:col>
      <xdr:colOff>896697</xdr:colOff>
      <xdr:row>306</xdr:row>
      <xdr:rowOff>132543</xdr:rowOff>
    </xdr:to>
    <xdr:pic>
      <xdr:nvPicPr>
        <xdr:cNvPr id="10" name="Picture 9">
          <a:extLst>
            <a:ext uri="{FF2B5EF4-FFF2-40B4-BE49-F238E27FC236}">
              <a16:creationId xmlns:a16="http://schemas.microsoft.com/office/drawing/2014/main" id="{737B8ED6-A986-4297-9724-1D00F0CAAB59}"/>
            </a:ext>
          </a:extLst>
        </xdr:cNvPr>
        <xdr:cNvPicPr>
          <a:picLocks noChangeAspect="1"/>
        </xdr:cNvPicPr>
      </xdr:nvPicPr>
      <xdr:blipFill>
        <a:blip xmlns:r="http://schemas.openxmlformats.org/officeDocument/2006/relationships" r:embed="rId4"/>
        <a:stretch>
          <a:fillRect/>
        </a:stretch>
      </xdr:blipFill>
      <xdr:spPr>
        <a:xfrm>
          <a:off x="23679150" y="61961214"/>
          <a:ext cx="896697" cy="274330"/>
        </a:xfrm>
        <a:prstGeom prst="rect">
          <a:avLst/>
        </a:prstGeom>
      </xdr:spPr>
    </xdr:pic>
    <xdr:clientData/>
  </xdr:twoCellAnchor>
  <xdr:twoCellAnchor editAs="oneCell">
    <xdr:from>
      <xdr:col>22</xdr:col>
      <xdr:colOff>0</xdr:colOff>
      <xdr:row>200</xdr:row>
      <xdr:rowOff>54429</xdr:rowOff>
    </xdr:from>
    <xdr:to>
      <xdr:col>22</xdr:col>
      <xdr:colOff>896697</xdr:colOff>
      <xdr:row>201</xdr:row>
      <xdr:rowOff>132543</xdr:rowOff>
    </xdr:to>
    <xdr:pic>
      <xdr:nvPicPr>
        <xdr:cNvPr id="11" name="Picture 10">
          <a:extLst>
            <a:ext uri="{FF2B5EF4-FFF2-40B4-BE49-F238E27FC236}">
              <a16:creationId xmlns:a16="http://schemas.microsoft.com/office/drawing/2014/main" id="{85EF235F-09BD-45C9-87A2-A982078441BC}"/>
            </a:ext>
          </a:extLst>
        </xdr:cNvPr>
        <xdr:cNvPicPr>
          <a:picLocks noChangeAspect="1"/>
        </xdr:cNvPicPr>
      </xdr:nvPicPr>
      <xdr:blipFill>
        <a:blip xmlns:r="http://schemas.openxmlformats.org/officeDocument/2006/relationships" r:embed="rId4"/>
        <a:stretch>
          <a:fillRect/>
        </a:stretch>
      </xdr:blipFill>
      <xdr:spPr>
        <a:xfrm>
          <a:off x="23679150" y="40663314"/>
          <a:ext cx="896697" cy="274329"/>
        </a:xfrm>
        <a:prstGeom prst="rect">
          <a:avLst/>
        </a:prstGeom>
      </xdr:spPr>
    </xdr:pic>
    <xdr:clientData/>
  </xdr:twoCellAnchor>
  <xdr:twoCellAnchor editAs="oneCell">
    <xdr:from>
      <xdr:col>21</xdr:col>
      <xdr:colOff>1238250</xdr:colOff>
      <xdr:row>139</xdr:row>
      <xdr:rowOff>54428</xdr:rowOff>
    </xdr:from>
    <xdr:to>
      <xdr:col>22</xdr:col>
      <xdr:colOff>859595</xdr:colOff>
      <xdr:row>140</xdr:row>
      <xdr:rowOff>132541</xdr:rowOff>
    </xdr:to>
    <xdr:pic>
      <xdr:nvPicPr>
        <xdr:cNvPr id="12" name="Picture 11">
          <a:extLst>
            <a:ext uri="{FF2B5EF4-FFF2-40B4-BE49-F238E27FC236}">
              <a16:creationId xmlns:a16="http://schemas.microsoft.com/office/drawing/2014/main" id="{290C60C4-A2B9-4FE9-9DD7-D869FEB2D2BD}"/>
            </a:ext>
          </a:extLst>
        </xdr:cNvPr>
        <xdr:cNvPicPr>
          <a:picLocks noChangeAspect="1"/>
        </xdr:cNvPicPr>
      </xdr:nvPicPr>
      <xdr:blipFill>
        <a:blip xmlns:r="http://schemas.openxmlformats.org/officeDocument/2006/relationships" r:embed="rId4"/>
        <a:stretch>
          <a:fillRect/>
        </a:stretch>
      </xdr:blipFill>
      <xdr:spPr>
        <a:xfrm>
          <a:off x="23665815" y="28395113"/>
          <a:ext cx="872930" cy="274328"/>
        </a:xfrm>
        <a:prstGeom prst="rect">
          <a:avLst/>
        </a:prstGeom>
      </xdr:spPr>
    </xdr:pic>
    <xdr:clientData/>
  </xdr:twoCellAnchor>
  <xdr:twoCellAnchor editAs="oneCell">
    <xdr:from>
      <xdr:col>22</xdr:col>
      <xdr:colOff>0</xdr:colOff>
      <xdr:row>62</xdr:row>
      <xdr:rowOff>40821</xdr:rowOff>
    </xdr:from>
    <xdr:to>
      <xdr:col>22</xdr:col>
      <xdr:colOff>896697</xdr:colOff>
      <xdr:row>63</xdr:row>
      <xdr:rowOff>131634</xdr:rowOff>
    </xdr:to>
    <xdr:pic>
      <xdr:nvPicPr>
        <xdr:cNvPr id="13" name="Picture 12">
          <a:extLst>
            <a:ext uri="{FF2B5EF4-FFF2-40B4-BE49-F238E27FC236}">
              <a16:creationId xmlns:a16="http://schemas.microsoft.com/office/drawing/2014/main" id="{BCC48867-F10F-4770-BCD2-494491D8BE7A}"/>
            </a:ext>
          </a:extLst>
        </xdr:cNvPr>
        <xdr:cNvPicPr>
          <a:picLocks noChangeAspect="1"/>
        </xdr:cNvPicPr>
      </xdr:nvPicPr>
      <xdr:blipFill>
        <a:blip xmlns:r="http://schemas.openxmlformats.org/officeDocument/2006/relationships" r:embed="rId4"/>
        <a:stretch>
          <a:fillRect/>
        </a:stretch>
      </xdr:blipFill>
      <xdr:spPr>
        <a:xfrm>
          <a:off x="23679150" y="12547146"/>
          <a:ext cx="896697" cy="290838"/>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xdr:from>
      <xdr:col>22</xdr:col>
      <xdr:colOff>1095375</xdr:colOff>
      <xdr:row>305</xdr:row>
      <xdr:rowOff>123825</xdr:rowOff>
    </xdr:from>
    <xdr:to>
      <xdr:col>22</xdr:col>
      <xdr:colOff>1895475</xdr:colOff>
      <xdr:row>306</xdr:row>
      <xdr:rowOff>152400</xdr:rowOff>
    </xdr:to>
    <xdr:pic>
      <xdr:nvPicPr>
        <xdr:cNvPr id="2" name="Picture 1" descr="C:\WINDOWS\TEMP\~0003946.gif">
          <a:extLst>
            <a:ext uri="{FF2B5EF4-FFF2-40B4-BE49-F238E27FC236}">
              <a16:creationId xmlns:a16="http://schemas.microsoft.com/office/drawing/2014/main" id="{B294938D-440A-46FA-8BA6-B200DD4030E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77370" y="6182868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10525AEC-F3A9-4F06-9E68-7BF9930F03B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75465" y="4075747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F2462B6A-4F82-4A35-A19D-4B2F77FC2FF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81180" y="285007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6218618D-FD9E-4695-900C-E058D76AFFA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81180" y="1267015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187381</xdr:rowOff>
    </xdr:to>
    <xdr:pic>
      <xdr:nvPicPr>
        <xdr:cNvPr id="6" name="Picture 5">
          <a:extLst>
            <a:ext uri="{FF2B5EF4-FFF2-40B4-BE49-F238E27FC236}">
              <a16:creationId xmlns:a16="http://schemas.microsoft.com/office/drawing/2014/main" id="{A6334DF3-76ED-456B-AE2F-DBB4886816EC}"/>
            </a:ext>
          </a:extLst>
        </xdr:cNvPr>
        <xdr:cNvPicPr>
          <a:picLocks noChangeAspect="1"/>
        </xdr:cNvPicPr>
      </xdr:nvPicPr>
      <xdr:blipFill>
        <a:blip xmlns:r="http://schemas.openxmlformats.org/officeDocument/2006/relationships" r:embed="rId3"/>
        <a:stretch>
          <a:fillRect/>
        </a:stretch>
      </xdr:blipFill>
      <xdr:spPr>
        <a:xfrm>
          <a:off x="132261" y="12638586"/>
          <a:ext cx="174513" cy="239905"/>
        </a:xfrm>
        <a:prstGeom prst="rect">
          <a:avLst/>
        </a:prstGeom>
      </xdr:spPr>
    </xdr:pic>
    <xdr:clientData/>
  </xdr:twoCellAnchor>
  <xdr:twoCellAnchor editAs="oneCell">
    <xdr:from>
      <xdr:col>0</xdr:col>
      <xdr:colOff>176893</xdr:colOff>
      <xdr:row>139</xdr:row>
      <xdr:rowOff>81643</xdr:rowOff>
    </xdr:from>
    <xdr:to>
      <xdr:col>1</xdr:col>
      <xdr:colOff>33452</xdr:colOff>
      <xdr:row>140</xdr:row>
      <xdr:rowOff>110093</xdr:rowOff>
    </xdr:to>
    <xdr:pic>
      <xdr:nvPicPr>
        <xdr:cNvPr id="7" name="Picture 6">
          <a:extLst>
            <a:ext uri="{FF2B5EF4-FFF2-40B4-BE49-F238E27FC236}">
              <a16:creationId xmlns:a16="http://schemas.microsoft.com/office/drawing/2014/main" id="{BBF042EE-7900-497E-9CFF-B22BC9EC0144}"/>
            </a:ext>
          </a:extLst>
        </xdr:cNvPr>
        <xdr:cNvPicPr>
          <a:picLocks noChangeAspect="1"/>
        </xdr:cNvPicPr>
      </xdr:nvPicPr>
      <xdr:blipFill>
        <a:blip xmlns:r="http://schemas.openxmlformats.org/officeDocument/2006/relationships" r:embed="rId3"/>
        <a:stretch>
          <a:fillRect/>
        </a:stretch>
      </xdr:blipFill>
      <xdr:spPr>
        <a:xfrm>
          <a:off x="173083" y="28420423"/>
          <a:ext cx="176599" cy="211330"/>
        </a:xfrm>
        <a:prstGeom prst="rect">
          <a:avLst/>
        </a:prstGeom>
      </xdr:spPr>
    </xdr:pic>
    <xdr:clientData/>
  </xdr:twoCellAnchor>
  <xdr:twoCellAnchor editAs="oneCell">
    <xdr:from>
      <xdr:col>0</xdr:col>
      <xdr:colOff>176893</xdr:colOff>
      <xdr:row>200</xdr:row>
      <xdr:rowOff>108857</xdr:rowOff>
    </xdr:from>
    <xdr:to>
      <xdr:col>1</xdr:col>
      <xdr:colOff>33452</xdr:colOff>
      <xdr:row>201</xdr:row>
      <xdr:rowOff>149373</xdr:rowOff>
    </xdr:to>
    <xdr:pic>
      <xdr:nvPicPr>
        <xdr:cNvPr id="8" name="Picture 7">
          <a:extLst>
            <a:ext uri="{FF2B5EF4-FFF2-40B4-BE49-F238E27FC236}">
              <a16:creationId xmlns:a16="http://schemas.microsoft.com/office/drawing/2014/main" id="{7ABFDAA7-65A5-48F8-9D47-597A8865DA1D}"/>
            </a:ext>
          </a:extLst>
        </xdr:cNvPr>
        <xdr:cNvPicPr>
          <a:picLocks noChangeAspect="1"/>
        </xdr:cNvPicPr>
      </xdr:nvPicPr>
      <xdr:blipFill>
        <a:blip xmlns:r="http://schemas.openxmlformats.org/officeDocument/2006/relationships" r:embed="rId3"/>
        <a:stretch>
          <a:fillRect/>
        </a:stretch>
      </xdr:blipFill>
      <xdr:spPr>
        <a:xfrm>
          <a:off x="173083" y="40712027"/>
          <a:ext cx="176599" cy="223396"/>
        </a:xfrm>
        <a:prstGeom prst="rect">
          <a:avLst/>
        </a:prstGeom>
      </xdr:spPr>
    </xdr:pic>
    <xdr:clientData/>
  </xdr:twoCellAnchor>
  <xdr:twoCellAnchor editAs="oneCell">
    <xdr:from>
      <xdr:col>0</xdr:col>
      <xdr:colOff>163286</xdr:colOff>
      <xdr:row>305</xdr:row>
      <xdr:rowOff>149678</xdr:rowOff>
    </xdr:from>
    <xdr:to>
      <xdr:col>1</xdr:col>
      <xdr:colOff>1068</xdr:colOff>
      <xdr:row>306</xdr:row>
      <xdr:rowOff>186384</xdr:rowOff>
    </xdr:to>
    <xdr:pic>
      <xdr:nvPicPr>
        <xdr:cNvPr id="9" name="Picture 8">
          <a:extLst>
            <a:ext uri="{FF2B5EF4-FFF2-40B4-BE49-F238E27FC236}">
              <a16:creationId xmlns:a16="http://schemas.microsoft.com/office/drawing/2014/main" id="{DE563B02-89AE-46CC-BB52-F9B7F6CC1FCF}"/>
            </a:ext>
          </a:extLst>
        </xdr:cNvPr>
        <xdr:cNvPicPr>
          <a:picLocks noChangeAspect="1"/>
        </xdr:cNvPicPr>
      </xdr:nvPicPr>
      <xdr:blipFill>
        <a:blip xmlns:r="http://schemas.openxmlformats.org/officeDocument/2006/relationships" r:embed="rId3"/>
        <a:stretch>
          <a:fillRect/>
        </a:stretch>
      </xdr:blipFill>
      <xdr:spPr>
        <a:xfrm>
          <a:off x="165191" y="61852628"/>
          <a:ext cx="169252" cy="221491"/>
        </a:xfrm>
        <a:prstGeom prst="rect">
          <a:avLst/>
        </a:prstGeom>
      </xdr:spPr>
    </xdr:pic>
    <xdr:clientData/>
  </xdr:twoCellAnchor>
  <xdr:twoCellAnchor editAs="oneCell">
    <xdr:from>
      <xdr:col>22</xdr:col>
      <xdr:colOff>0</xdr:colOff>
      <xdr:row>305</xdr:row>
      <xdr:rowOff>54429</xdr:rowOff>
    </xdr:from>
    <xdr:to>
      <xdr:col>22</xdr:col>
      <xdr:colOff>910032</xdr:colOff>
      <xdr:row>306</xdr:row>
      <xdr:rowOff>147783</xdr:rowOff>
    </xdr:to>
    <xdr:pic>
      <xdr:nvPicPr>
        <xdr:cNvPr id="10" name="Picture 9">
          <a:extLst>
            <a:ext uri="{FF2B5EF4-FFF2-40B4-BE49-F238E27FC236}">
              <a16:creationId xmlns:a16="http://schemas.microsoft.com/office/drawing/2014/main" id="{CA0D997E-DD3F-4A59-85C0-58C542889BDC}"/>
            </a:ext>
          </a:extLst>
        </xdr:cNvPr>
        <xdr:cNvPicPr>
          <a:picLocks noChangeAspect="1"/>
        </xdr:cNvPicPr>
      </xdr:nvPicPr>
      <xdr:blipFill>
        <a:blip xmlns:r="http://schemas.openxmlformats.org/officeDocument/2006/relationships" r:embed="rId4"/>
        <a:stretch>
          <a:fillRect/>
        </a:stretch>
      </xdr:blipFill>
      <xdr:spPr>
        <a:xfrm>
          <a:off x="23679150" y="61761189"/>
          <a:ext cx="892887" cy="278139"/>
        </a:xfrm>
        <a:prstGeom prst="rect">
          <a:avLst/>
        </a:prstGeom>
      </xdr:spPr>
    </xdr:pic>
    <xdr:clientData/>
  </xdr:twoCellAnchor>
  <xdr:twoCellAnchor editAs="oneCell">
    <xdr:from>
      <xdr:col>22</xdr:col>
      <xdr:colOff>0</xdr:colOff>
      <xdr:row>200</xdr:row>
      <xdr:rowOff>54429</xdr:rowOff>
    </xdr:from>
    <xdr:to>
      <xdr:col>22</xdr:col>
      <xdr:colOff>910032</xdr:colOff>
      <xdr:row>201</xdr:row>
      <xdr:rowOff>147783</xdr:rowOff>
    </xdr:to>
    <xdr:pic>
      <xdr:nvPicPr>
        <xdr:cNvPr id="11" name="Picture 10">
          <a:extLst>
            <a:ext uri="{FF2B5EF4-FFF2-40B4-BE49-F238E27FC236}">
              <a16:creationId xmlns:a16="http://schemas.microsoft.com/office/drawing/2014/main" id="{C0F68160-A08B-4844-8C43-8B074EC99E24}"/>
            </a:ext>
          </a:extLst>
        </xdr:cNvPr>
        <xdr:cNvPicPr>
          <a:picLocks noChangeAspect="1"/>
        </xdr:cNvPicPr>
      </xdr:nvPicPr>
      <xdr:blipFill>
        <a:blip xmlns:r="http://schemas.openxmlformats.org/officeDocument/2006/relationships" r:embed="rId4"/>
        <a:stretch>
          <a:fillRect/>
        </a:stretch>
      </xdr:blipFill>
      <xdr:spPr>
        <a:xfrm>
          <a:off x="23679150" y="40663314"/>
          <a:ext cx="892887" cy="278139"/>
        </a:xfrm>
        <a:prstGeom prst="rect">
          <a:avLst/>
        </a:prstGeom>
      </xdr:spPr>
    </xdr:pic>
    <xdr:clientData/>
  </xdr:twoCellAnchor>
  <xdr:twoCellAnchor editAs="oneCell">
    <xdr:from>
      <xdr:col>21</xdr:col>
      <xdr:colOff>1238250</xdr:colOff>
      <xdr:row>139</xdr:row>
      <xdr:rowOff>54428</xdr:rowOff>
    </xdr:from>
    <xdr:to>
      <xdr:col>22</xdr:col>
      <xdr:colOff>872930</xdr:colOff>
      <xdr:row>140</xdr:row>
      <xdr:rowOff>147781</xdr:rowOff>
    </xdr:to>
    <xdr:pic>
      <xdr:nvPicPr>
        <xdr:cNvPr id="12" name="Picture 11">
          <a:extLst>
            <a:ext uri="{FF2B5EF4-FFF2-40B4-BE49-F238E27FC236}">
              <a16:creationId xmlns:a16="http://schemas.microsoft.com/office/drawing/2014/main" id="{C0FA9B9D-F8CB-448F-8D43-1AA16E3D62F2}"/>
            </a:ext>
          </a:extLst>
        </xdr:cNvPr>
        <xdr:cNvPicPr>
          <a:picLocks noChangeAspect="1"/>
        </xdr:cNvPicPr>
      </xdr:nvPicPr>
      <xdr:blipFill>
        <a:blip xmlns:r="http://schemas.openxmlformats.org/officeDocument/2006/relationships" r:embed="rId4"/>
        <a:stretch>
          <a:fillRect/>
        </a:stretch>
      </xdr:blipFill>
      <xdr:spPr>
        <a:xfrm>
          <a:off x="23665815" y="28395113"/>
          <a:ext cx="869120" cy="278138"/>
        </a:xfrm>
        <a:prstGeom prst="rect">
          <a:avLst/>
        </a:prstGeom>
      </xdr:spPr>
    </xdr:pic>
    <xdr:clientData/>
  </xdr:twoCellAnchor>
  <xdr:twoCellAnchor editAs="oneCell">
    <xdr:from>
      <xdr:col>22</xdr:col>
      <xdr:colOff>0</xdr:colOff>
      <xdr:row>62</xdr:row>
      <xdr:rowOff>40821</xdr:rowOff>
    </xdr:from>
    <xdr:to>
      <xdr:col>22</xdr:col>
      <xdr:colOff>910032</xdr:colOff>
      <xdr:row>63</xdr:row>
      <xdr:rowOff>148779</xdr:rowOff>
    </xdr:to>
    <xdr:pic>
      <xdr:nvPicPr>
        <xdr:cNvPr id="13" name="Picture 12">
          <a:extLst>
            <a:ext uri="{FF2B5EF4-FFF2-40B4-BE49-F238E27FC236}">
              <a16:creationId xmlns:a16="http://schemas.microsoft.com/office/drawing/2014/main" id="{7B08E34C-DDAE-42BB-BB3B-E5E9AE8BC0F3}"/>
            </a:ext>
          </a:extLst>
        </xdr:cNvPr>
        <xdr:cNvPicPr>
          <a:picLocks noChangeAspect="1"/>
        </xdr:cNvPicPr>
      </xdr:nvPicPr>
      <xdr:blipFill>
        <a:blip xmlns:r="http://schemas.openxmlformats.org/officeDocument/2006/relationships" r:embed="rId4"/>
        <a:stretch>
          <a:fillRect/>
        </a:stretch>
      </xdr:blipFill>
      <xdr:spPr>
        <a:xfrm>
          <a:off x="23679150" y="12547146"/>
          <a:ext cx="892887" cy="294648"/>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22</xdr:col>
      <xdr:colOff>1095375</xdr:colOff>
      <xdr:row>305</xdr:row>
      <xdr:rowOff>123825</xdr:rowOff>
    </xdr:from>
    <xdr:to>
      <xdr:col>22</xdr:col>
      <xdr:colOff>1895475</xdr:colOff>
      <xdr:row>306</xdr:row>
      <xdr:rowOff>152400</xdr:rowOff>
    </xdr:to>
    <xdr:pic>
      <xdr:nvPicPr>
        <xdr:cNvPr id="2" name="Picture 1" descr="C:\WINDOWS\TEMP\~0003946.gif">
          <a:extLst>
            <a:ext uri="{FF2B5EF4-FFF2-40B4-BE49-F238E27FC236}">
              <a16:creationId xmlns:a16="http://schemas.microsoft.com/office/drawing/2014/main" id="{E1C6284B-BAFA-4240-8E63-AE83FDB7BD9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77370" y="6182868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595F5D6B-8298-4D04-879A-07237E1A000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75465" y="4075747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53882696-C744-4388-A28F-E08C82C8EBB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81180" y="285007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6F6277DA-6684-439C-9C35-72BC61867E2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81180" y="1267015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187381</xdr:rowOff>
    </xdr:to>
    <xdr:pic>
      <xdr:nvPicPr>
        <xdr:cNvPr id="6" name="Picture 5">
          <a:extLst>
            <a:ext uri="{FF2B5EF4-FFF2-40B4-BE49-F238E27FC236}">
              <a16:creationId xmlns:a16="http://schemas.microsoft.com/office/drawing/2014/main" id="{5FB32CF8-A2BC-4161-BC98-9013E6012244}"/>
            </a:ext>
          </a:extLst>
        </xdr:cNvPr>
        <xdr:cNvPicPr>
          <a:picLocks noChangeAspect="1"/>
        </xdr:cNvPicPr>
      </xdr:nvPicPr>
      <xdr:blipFill>
        <a:blip xmlns:r="http://schemas.openxmlformats.org/officeDocument/2006/relationships" r:embed="rId3"/>
        <a:stretch>
          <a:fillRect/>
        </a:stretch>
      </xdr:blipFill>
      <xdr:spPr>
        <a:xfrm>
          <a:off x="132261" y="12638586"/>
          <a:ext cx="174513" cy="255145"/>
        </a:xfrm>
        <a:prstGeom prst="rect">
          <a:avLst/>
        </a:prstGeom>
      </xdr:spPr>
    </xdr:pic>
    <xdr:clientData/>
  </xdr:twoCellAnchor>
  <xdr:twoCellAnchor editAs="oneCell">
    <xdr:from>
      <xdr:col>0</xdr:col>
      <xdr:colOff>176893</xdr:colOff>
      <xdr:row>139</xdr:row>
      <xdr:rowOff>81643</xdr:rowOff>
    </xdr:from>
    <xdr:to>
      <xdr:col>1</xdr:col>
      <xdr:colOff>22022</xdr:colOff>
      <xdr:row>140</xdr:row>
      <xdr:rowOff>98663</xdr:rowOff>
    </xdr:to>
    <xdr:pic>
      <xdr:nvPicPr>
        <xdr:cNvPr id="7" name="Picture 6">
          <a:extLst>
            <a:ext uri="{FF2B5EF4-FFF2-40B4-BE49-F238E27FC236}">
              <a16:creationId xmlns:a16="http://schemas.microsoft.com/office/drawing/2014/main" id="{0FFF6A53-644E-4844-9349-DE4D34F5C726}"/>
            </a:ext>
          </a:extLst>
        </xdr:cNvPr>
        <xdr:cNvPicPr>
          <a:picLocks noChangeAspect="1"/>
        </xdr:cNvPicPr>
      </xdr:nvPicPr>
      <xdr:blipFill>
        <a:blip xmlns:r="http://schemas.openxmlformats.org/officeDocument/2006/relationships" r:embed="rId3"/>
        <a:stretch>
          <a:fillRect/>
        </a:stretch>
      </xdr:blipFill>
      <xdr:spPr>
        <a:xfrm>
          <a:off x="173083" y="28420423"/>
          <a:ext cx="191839" cy="224665"/>
        </a:xfrm>
        <a:prstGeom prst="rect">
          <a:avLst/>
        </a:prstGeom>
      </xdr:spPr>
    </xdr:pic>
    <xdr:clientData/>
  </xdr:twoCellAnchor>
  <xdr:twoCellAnchor editAs="oneCell">
    <xdr:from>
      <xdr:col>0</xdr:col>
      <xdr:colOff>176893</xdr:colOff>
      <xdr:row>200</xdr:row>
      <xdr:rowOff>108857</xdr:rowOff>
    </xdr:from>
    <xdr:to>
      <xdr:col>1</xdr:col>
      <xdr:colOff>22022</xdr:colOff>
      <xdr:row>201</xdr:row>
      <xdr:rowOff>149373</xdr:rowOff>
    </xdr:to>
    <xdr:pic>
      <xdr:nvPicPr>
        <xdr:cNvPr id="8" name="Picture 7">
          <a:extLst>
            <a:ext uri="{FF2B5EF4-FFF2-40B4-BE49-F238E27FC236}">
              <a16:creationId xmlns:a16="http://schemas.microsoft.com/office/drawing/2014/main" id="{D2942D0A-F0D3-46D6-936E-080936750EC6}"/>
            </a:ext>
          </a:extLst>
        </xdr:cNvPr>
        <xdr:cNvPicPr>
          <a:picLocks noChangeAspect="1"/>
        </xdr:cNvPicPr>
      </xdr:nvPicPr>
      <xdr:blipFill>
        <a:blip xmlns:r="http://schemas.openxmlformats.org/officeDocument/2006/relationships" r:embed="rId3"/>
        <a:stretch>
          <a:fillRect/>
        </a:stretch>
      </xdr:blipFill>
      <xdr:spPr>
        <a:xfrm>
          <a:off x="173083" y="40712027"/>
          <a:ext cx="191839" cy="242446"/>
        </a:xfrm>
        <a:prstGeom prst="rect">
          <a:avLst/>
        </a:prstGeom>
      </xdr:spPr>
    </xdr:pic>
    <xdr:clientData/>
  </xdr:twoCellAnchor>
  <xdr:twoCellAnchor editAs="oneCell">
    <xdr:from>
      <xdr:col>0</xdr:col>
      <xdr:colOff>163286</xdr:colOff>
      <xdr:row>305</xdr:row>
      <xdr:rowOff>149678</xdr:rowOff>
    </xdr:from>
    <xdr:to>
      <xdr:col>1</xdr:col>
      <xdr:colOff>1068</xdr:colOff>
      <xdr:row>306</xdr:row>
      <xdr:rowOff>174954</xdr:rowOff>
    </xdr:to>
    <xdr:pic>
      <xdr:nvPicPr>
        <xdr:cNvPr id="9" name="Picture 8">
          <a:extLst>
            <a:ext uri="{FF2B5EF4-FFF2-40B4-BE49-F238E27FC236}">
              <a16:creationId xmlns:a16="http://schemas.microsoft.com/office/drawing/2014/main" id="{66AA040B-F77D-4536-9B72-9D7838724D84}"/>
            </a:ext>
          </a:extLst>
        </xdr:cNvPr>
        <xdr:cNvPicPr>
          <a:picLocks noChangeAspect="1"/>
        </xdr:cNvPicPr>
      </xdr:nvPicPr>
      <xdr:blipFill>
        <a:blip xmlns:r="http://schemas.openxmlformats.org/officeDocument/2006/relationships" r:embed="rId3"/>
        <a:stretch>
          <a:fillRect/>
        </a:stretch>
      </xdr:blipFill>
      <xdr:spPr>
        <a:xfrm>
          <a:off x="165191" y="61852628"/>
          <a:ext cx="169252" cy="234826"/>
        </a:xfrm>
        <a:prstGeom prst="rect">
          <a:avLst/>
        </a:prstGeom>
      </xdr:spPr>
    </xdr:pic>
    <xdr:clientData/>
  </xdr:twoCellAnchor>
  <xdr:twoCellAnchor editAs="oneCell">
    <xdr:from>
      <xdr:col>22</xdr:col>
      <xdr:colOff>0</xdr:colOff>
      <xdr:row>305</xdr:row>
      <xdr:rowOff>54429</xdr:rowOff>
    </xdr:from>
    <xdr:to>
      <xdr:col>22</xdr:col>
      <xdr:colOff>898602</xdr:colOff>
      <xdr:row>306</xdr:row>
      <xdr:rowOff>136353</xdr:rowOff>
    </xdr:to>
    <xdr:pic>
      <xdr:nvPicPr>
        <xdr:cNvPr id="10" name="Picture 9">
          <a:extLst>
            <a:ext uri="{FF2B5EF4-FFF2-40B4-BE49-F238E27FC236}">
              <a16:creationId xmlns:a16="http://schemas.microsoft.com/office/drawing/2014/main" id="{A9C8E712-B6D2-45AA-A658-D710F87E7EC6}"/>
            </a:ext>
          </a:extLst>
        </xdr:cNvPr>
        <xdr:cNvPicPr>
          <a:picLocks noChangeAspect="1"/>
        </xdr:cNvPicPr>
      </xdr:nvPicPr>
      <xdr:blipFill>
        <a:blip xmlns:r="http://schemas.openxmlformats.org/officeDocument/2006/relationships" r:embed="rId4"/>
        <a:stretch>
          <a:fillRect/>
        </a:stretch>
      </xdr:blipFill>
      <xdr:spPr>
        <a:xfrm>
          <a:off x="23679150" y="61761189"/>
          <a:ext cx="908127" cy="287664"/>
        </a:xfrm>
        <a:prstGeom prst="rect">
          <a:avLst/>
        </a:prstGeom>
      </xdr:spPr>
    </xdr:pic>
    <xdr:clientData/>
  </xdr:twoCellAnchor>
  <xdr:twoCellAnchor editAs="oneCell">
    <xdr:from>
      <xdr:col>22</xdr:col>
      <xdr:colOff>0</xdr:colOff>
      <xdr:row>200</xdr:row>
      <xdr:rowOff>54429</xdr:rowOff>
    </xdr:from>
    <xdr:to>
      <xdr:col>22</xdr:col>
      <xdr:colOff>898602</xdr:colOff>
      <xdr:row>201</xdr:row>
      <xdr:rowOff>136353</xdr:rowOff>
    </xdr:to>
    <xdr:pic>
      <xdr:nvPicPr>
        <xdr:cNvPr id="11" name="Picture 10">
          <a:extLst>
            <a:ext uri="{FF2B5EF4-FFF2-40B4-BE49-F238E27FC236}">
              <a16:creationId xmlns:a16="http://schemas.microsoft.com/office/drawing/2014/main" id="{380E0AD0-598D-416A-B3DD-C9398C516360}"/>
            </a:ext>
          </a:extLst>
        </xdr:cNvPr>
        <xdr:cNvPicPr>
          <a:picLocks noChangeAspect="1"/>
        </xdr:cNvPicPr>
      </xdr:nvPicPr>
      <xdr:blipFill>
        <a:blip xmlns:r="http://schemas.openxmlformats.org/officeDocument/2006/relationships" r:embed="rId4"/>
        <a:stretch>
          <a:fillRect/>
        </a:stretch>
      </xdr:blipFill>
      <xdr:spPr>
        <a:xfrm>
          <a:off x="23679150" y="40663314"/>
          <a:ext cx="908127" cy="287664"/>
        </a:xfrm>
        <a:prstGeom prst="rect">
          <a:avLst/>
        </a:prstGeom>
      </xdr:spPr>
    </xdr:pic>
    <xdr:clientData/>
  </xdr:twoCellAnchor>
  <xdr:twoCellAnchor editAs="oneCell">
    <xdr:from>
      <xdr:col>21</xdr:col>
      <xdr:colOff>1238250</xdr:colOff>
      <xdr:row>139</xdr:row>
      <xdr:rowOff>54428</xdr:rowOff>
    </xdr:from>
    <xdr:to>
      <xdr:col>22</xdr:col>
      <xdr:colOff>872930</xdr:colOff>
      <xdr:row>140</xdr:row>
      <xdr:rowOff>136351</xdr:rowOff>
    </xdr:to>
    <xdr:pic>
      <xdr:nvPicPr>
        <xdr:cNvPr id="12" name="Picture 11">
          <a:extLst>
            <a:ext uri="{FF2B5EF4-FFF2-40B4-BE49-F238E27FC236}">
              <a16:creationId xmlns:a16="http://schemas.microsoft.com/office/drawing/2014/main" id="{F9ACE768-3202-4DD5-BFDE-0C836E74EE50}"/>
            </a:ext>
          </a:extLst>
        </xdr:cNvPr>
        <xdr:cNvPicPr>
          <a:picLocks noChangeAspect="1"/>
        </xdr:cNvPicPr>
      </xdr:nvPicPr>
      <xdr:blipFill>
        <a:blip xmlns:r="http://schemas.openxmlformats.org/officeDocument/2006/relationships" r:embed="rId4"/>
        <a:stretch>
          <a:fillRect/>
        </a:stretch>
      </xdr:blipFill>
      <xdr:spPr>
        <a:xfrm>
          <a:off x="23665815" y="28395113"/>
          <a:ext cx="886265" cy="287663"/>
        </a:xfrm>
        <a:prstGeom prst="rect">
          <a:avLst/>
        </a:prstGeom>
      </xdr:spPr>
    </xdr:pic>
    <xdr:clientData/>
  </xdr:twoCellAnchor>
  <xdr:twoCellAnchor editAs="oneCell">
    <xdr:from>
      <xdr:col>22</xdr:col>
      <xdr:colOff>0</xdr:colOff>
      <xdr:row>62</xdr:row>
      <xdr:rowOff>40821</xdr:rowOff>
    </xdr:from>
    <xdr:to>
      <xdr:col>22</xdr:col>
      <xdr:colOff>898602</xdr:colOff>
      <xdr:row>63</xdr:row>
      <xdr:rowOff>148779</xdr:rowOff>
    </xdr:to>
    <xdr:pic>
      <xdr:nvPicPr>
        <xdr:cNvPr id="13" name="Picture 12">
          <a:extLst>
            <a:ext uri="{FF2B5EF4-FFF2-40B4-BE49-F238E27FC236}">
              <a16:creationId xmlns:a16="http://schemas.microsoft.com/office/drawing/2014/main" id="{F5F6A247-923C-4DE1-B07D-303614C28E58}"/>
            </a:ext>
          </a:extLst>
        </xdr:cNvPr>
        <xdr:cNvPicPr>
          <a:picLocks noChangeAspect="1"/>
        </xdr:cNvPicPr>
      </xdr:nvPicPr>
      <xdr:blipFill>
        <a:blip xmlns:r="http://schemas.openxmlformats.org/officeDocument/2006/relationships" r:embed="rId4"/>
        <a:stretch>
          <a:fillRect/>
        </a:stretch>
      </xdr:blipFill>
      <xdr:spPr>
        <a:xfrm>
          <a:off x="23679150" y="12547146"/>
          <a:ext cx="908127" cy="30798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22</xdr:col>
      <xdr:colOff>1095375</xdr:colOff>
      <xdr:row>305</xdr:row>
      <xdr:rowOff>123825</xdr:rowOff>
    </xdr:from>
    <xdr:to>
      <xdr:col>22</xdr:col>
      <xdr:colOff>1895475</xdr:colOff>
      <xdr:row>306</xdr:row>
      <xdr:rowOff>152400</xdr:rowOff>
    </xdr:to>
    <xdr:pic>
      <xdr:nvPicPr>
        <xdr:cNvPr id="2" name="Picture 1" descr="C:\WINDOWS\TEMP\~0003946.gif">
          <a:extLst>
            <a:ext uri="{FF2B5EF4-FFF2-40B4-BE49-F238E27FC236}">
              <a16:creationId xmlns:a16="http://schemas.microsoft.com/office/drawing/2014/main" id="{79D77C00-4D71-43EE-A24A-19A060C2127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50775" y="61893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F57CB93F-9022-4490-A137-D4653060761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50775" y="407955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5A87B3B3-B45E-477B-B339-04B60399DA9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50775" y="285273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FBC88D20-1C9B-413B-A6A6-237133491C6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50775" y="1267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187381</xdr:rowOff>
    </xdr:to>
    <xdr:pic>
      <xdr:nvPicPr>
        <xdr:cNvPr id="6" name="Picture 5">
          <a:extLst>
            <a:ext uri="{FF2B5EF4-FFF2-40B4-BE49-F238E27FC236}">
              <a16:creationId xmlns:a16="http://schemas.microsoft.com/office/drawing/2014/main" id="{977D4485-269C-4BF7-BA9C-B9FCE5541E85}"/>
            </a:ext>
          </a:extLst>
        </xdr:cNvPr>
        <xdr:cNvPicPr>
          <a:picLocks noChangeAspect="1"/>
        </xdr:cNvPicPr>
      </xdr:nvPicPr>
      <xdr:blipFill>
        <a:blip xmlns:r="http://schemas.openxmlformats.org/officeDocument/2006/relationships" r:embed="rId3"/>
        <a:stretch>
          <a:fillRect/>
        </a:stretch>
      </xdr:blipFill>
      <xdr:spPr>
        <a:xfrm>
          <a:off x="136071" y="12651921"/>
          <a:ext cx="170703" cy="251335"/>
        </a:xfrm>
        <a:prstGeom prst="rect">
          <a:avLst/>
        </a:prstGeom>
      </xdr:spPr>
    </xdr:pic>
    <xdr:clientData/>
  </xdr:twoCellAnchor>
  <xdr:twoCellAnchor editAs="oneCell">
    <xdr:from>
      <xdr:col>0</xdr:col>
      <xdr:colOff>176893</xdr:colOff>
      <xdr:row>139</xdr:row>
      <xdr:rowOff>81643</xdr:rowOff>
    </xdr:from>
    <xdr:to>
      <xdr:col>1</xdr:col>
      <xdr:colOff>22022</xdr:colOff>
      <xdr:row>140</xdr:row>
      <xdr:rowOff>98663</xdr:rowOff>
    </xdr:to>
    <xdr:pic>
      <xdr:nvPicPr>
        <xdr:cNvPr id="7" name="Picture 6">
          <a:extLst>
            <a:ext uri="{FF2B5EF4-FFF2-40B4-BE49-F238E27FC236}">
              <a16:creationId xmlns:a16="http://schemas.microsoft.com/office/drawing/2014/main" id="{DF9130C3-B209-4F6D-927D-BE1BCA8E8322}"/>
            </a:ext>
          </a:extLst>
        </xdr:cNvPr>
        <xdr:cNvPicPr>
          <a:picLocks noChangeAspect="1"/>
        </xdr:cNvPicPr>
      </xdr:nvPicPr>
      <xdr:blipFill>
        <a:blip xmlns:r="http://schemas.openxmlformats.org/officeDocument/2006/relationships" r:embed="rId3"/>
        <a:stretch>
          <a:fillRect/>
        </a:stretch>
      </xdr:blipFill>
      <xdr:spPr>
        <a:xfrm>
          <a:off x="176893" y="28447093"/>
          <a:ext cx="188029" cy="217045"/>
        </a:xfrm>
        <a:prstGeom prst="rect">
          <a:avLst/>
        </a:prstGeom>
      </xdr:spPr>
    </xdr:pic>
    <xdr:clientData/>
  </xdr:twoCellAnchor>
  <xdr:twoCellAnchor editAs="oneCell">
    <xdr:from>
      <xdr:col>0</xdr:col>
      <xdr:colOff>176893</xdr:colOff>
      <xdr:row>200</xdr:row>
      <xdr:rowOff>108857</xdr:rowOff>
    </xdr:from>
    <xdr:to>
      <xdr:col>1</xdr:col>
      <xdr:colOff>22022</xdr:colOff>
      <xdr:row>201</xdr:row>
      <xdr:rowOff>149373</xdr:rowOff>
    </xdr:to>
    <xdr:pic>
      <xdr:nvPicPr>
        <xdr:cNvPr id="8" name="Picture 7">
          <a:extLst>
            <a:ext uri="{FF2B5EF4-FFF2-40B4-BE49-F238E27FC236}">
              <a16:creationId xmlns:a16="http://schemas.microsoft.com/office/drawing/2014/main" id="{35868DC2-F656-4469-86D7-EF052A0C8547}"/>
            </a:ext>
          </a:extLst>
        </xdr:cNvPr>
        <xdr:cNvPicPr>
          <a:picLocks noChangeAspect="1"/>
        </xdr:cNvPicPr>
      </xdr:nvPicPr>
      <xdr:blipFill>
        <a:blip xmlns:r="http://schemas.openxmlformats.org/officeDocument/2006/relationships" r:embed="rId3"/>
        <a:stretch>
          <a:fillRect/>
        </a:stretch>
      </xdr:blipFill>
      <xdr:spPr>
        <a:xfrm>
          <a:off x="176893" y="40752032"/>
          <a:ext cx="188029" cy="240541"/>
        </a:xfrm>
        <a:prstGeom prst="rect">
          <a:avLst/>
        </a:prstGeom>
      </xdr:spPr>
    </xdr:pic>
    <xdr:clientData/>
  </xdr:twoCellAnchor>
  <xdr:twoCellAnchor editAs="oneCell">
    <xdr:from>
      <xdr:col>0</xdr:col>
      <xdr:colOff>163286</xdr:colOff>
      <xdr:row>305</xdr:row>
      <xdr:rowOff>149678</xdr:rowOff>
    </xdr:from>
    <xdr:to>
      <xdr:col>1</xdr:col>
      <xdr:colOff>1068</xdr:colOff>
      <xdr:row>306</xdr:row>
      <xdr:rowOff>174954</xdr:rowOff>
    </xdr:to>
    <xdr:pic>
      <xdr:nvPicPr>
        <xdr:cNvPr id="9" name="Picture 8">
          <a:extLst>
            <a:ext uri="{FF2B5EF4-FFF2-40B4-BE49-F238E27FC236}">
              <a16:creationId xmlns:a16="http://schemas.microsoft.com/office/drawing/2014/main" id="{F0104F94-0CCC-48E3-98C2-E43C303479DA}"/>
            </a:ext>
          </a:extLst>
        </xdr:cNvPr>
        <xdr:cNvPicPr>
          <a:picLocks noChangeAspect="1"/>
        </xdr:cNvPicPr>
      </xdr:nvPicPr>
      <xdr:blipFill>
        <a:blip xmlns:r="http://schemas.openxmlformats.org/officeDocument/2006/relationships" r:embed="rId3"/>
        <a:stretch>
          <a:fillRect/>
        </a:stretch>
      </xdr:blipFill>
      <xdr:spPr>
        <a:xfrm>
          <a:off x="163286" y="61919303"/>
          <a:ext cx="180682" cy="225301"/>
        </a:xfrm>
        <a:prstGeom prst="rect">
          <a:avLst/>
        </a:prstGeom>
      </xdr:spPr>
    </xdr:pic>
    <xdr:clientData/>
  </xdr:twoCellAnchor>
  <xdr:twoCellAnchor editAs="oneCell">
    <xdr:from>
      <xdr:col>22</xdr:col>
      <xdr:colOff>0</xdr:colOff>
      <xdr:row>305</xdr:row>
      <xdr:rowOff>54429</xdr:rowOff>
    </xdr:from>
    <xdr:to>
      <xdr:col>22</xdr:col>
      <xdr:colOff>898602</xdr:colOff>
      <xdr:row>306</xdr:row>
      <xdr:rowOff>136353</xdr:rowOff>
    </xdr:to>
    <xdr:pic>
      <xdr:nvPicPr>
        <xdr:cNvPr id="10" name="Picture 9">
          <a:extLst>
            <a:ext uri="{FF2B5EF4-FFF2-40B4-BE49-F238E27FC236}">
              <a16:creationId xmlns:a16="http://schemas.microsoft.com/office/drawing/2014/main" id="{652AC81F-556A-4F6D-A58F-2B4BA24B789C}"/>
            </a:ext>
          </a:extLst>
        </xdr:cNvPr>
        <xdr:cNvPicPr>
          <a:picLocks noChangeAspect="1"/>
        </xdr:cNvPicPr>
      </xdr:nvPicPr>
      <xdr:blipFill>
        <a:blip xmlns:r="http://schemas.openxmlformats.org/officeDocument/2006/relationships" r:embed="rId4"/>
        <a:stretch>
          <a:fillRect/>
        </a:stretch>
      </xdr:blipFill>
      <xdr:spPr>
        <a:xfrm>
          <a:off x="24231600" y="61824054"/>
          <a:ext cx="898602" cy="281949"/>
        </a:xfrm>
        <a:prstGeom prst="rect">
          <a:avLst/>
        </a:prstGeom>
      </xdr:spPr>
    </xdr:pic>
    <xdr:clientData/>
  </xdr:twoCellAnchor>
  <xdr:twoCellAnchor editAs="oneCell">
    <xdr:from>
      <xdr:col>22</xdr:col>
      <xdr:colOff>0</xdr:colOff>
      <xdr:row>200</xdr:row>
      <xdr:rowOff>54429</xdr:rowOff>
    </xdr:from>
    <xdr:to>
      <xdr:col>22</xdr:col>
      <xdr:colOff>898602</xdr:colOff>
      <xdr:row>201</xdr:row>
      <xdr:rowOff>136353</xdr:rowOff>
    </xdr:to>
    <xdr:pic>
      <xdr:nvPicPr>
        <xdr:cNvPr id="11" name="Picture 10">
          <a:extLst>
            <a:ext uri="{FF2B5EF4-FFF2-40B4-BE49-F238E27FC236}">
              <a16:creationId xmlns:a16="http://schemas.microsoft.com/office/drawing/2014/main" id="{A951D0AD-9958-45E3-9198-302A667C6C62}"/>
            </a:ext>
          </a:extLst>
        </xdr:cNvPr>
        <xdr:cNvPicPr>
          <a:picLocks noChangeAspect="1"/>
        </xdr:cNvPicPr>
      </xdr:nvPicPr>
      <xdr:blipFill>
        <a:blip xmlns:r="http://schemas.openxmlformats.org/officeDocument/2006/relationships" r:embed="rId4"/>
        <a:stretch>
          <a:fillRect/>
        </a:stretch>
      </xdr:blipFill>
      <xdr:spPr>
        <a:xfrm>
          <a:off x="24231600" y="40697604"/>
          <a:ext cx="898602" cy="281949"/>
        </a:xfrm>
        <a:prstGeom prst="rect">
          <a:avLst/>
        </a:prstGeom>
      </xdr:spPr>
    </xdr:pic>
    <xdr:clientData/>
  </xdr:twoCellAnchor>
  <xdr:twoCellAnchor editAs="oneCell">
    <xdr:from>
      <xdr:col>21</xdr:col>
      <xdr:colOff>1238250</xdr:colOff>
      <xdr:row>139</xdr:row>
      <xdr:rowOff>54428</xdr:rowOff>
    </xdr:from>
    <xdr:to>
      <xdr:col>22</xdr:col>
      <xdr:colOff>872930</xdr:colOff>
      <xdr:row>140</xdr:row>
      <xdr:rowOff>136351</xdr:rowOff>
    </xdr:to>
    <xdr:pic>
      <xdr:nvPicPr>
        <xdr:cNvPr id="12" name="Picture 11">
          <a:extLst>
            <a:ext uri="{FF2B5EF4-FFF2-40B4-BE49-F238E27FC236}">
              <a16:creationId xmlns:a16="http://schemas.microsoft.com/office/drawing/2014/main" id="{CC7DC3C8-51C4-469A-8047-1B60ADF9FFBE}"/>
            </a:ext>
          </a:extLst>
        </xdr:cNvPr>
        <xdr:cNvPicPr>
          <a:picLocks noChangeAspect="1"/>
        </xdr:cNvPicPr>
      </xdr:nvPicPr>
      <xdr:blipFill>
        <a:blip xmlns:r="http://schemas.openxmlformats.org/officeDocument/2006/relationships" r:embed="rId4"/>
        <a:stretch>
          <a:fillRect/>
        </a:stretch>
      </xdr:blipFill>
      <xdr:spPr>
        <a:xfrm>
          <a:off x="24193500" y="28419878"/>
          <a:ext cx="911030" cy="281948"/>
        </a:xfrm>
        <a:prstGeom prst="rect">
          <a:avLst/>
        </a:prstGeom>
      </xdr:spPr>
    </xdr:pic>
    <xdr:clientData/>
  </xdr:twoCellAnchor>
  <xdr:twoCellAnchor editAs="oneCell">
    <xdr:from>
      <xdr:col>22</xdr:col>
      <xdr:colOff>0</xdr:colOff>
      <xdr:row>62</xdr:row>
      <xdr:rowOff>40821</xdr:rowOff>
    </xdr:from>
    <xdr:to>
      <xdr:col>22</xdr:col>
      <xdr:colOff>898602</xdr:colOff>
      <xdr:row>63</xdr:row>
      <xdr:rowOff>148779</xdr:rowOff>
    </xdr:to>
    <xdr:pic>
      <xdr:nvPicPr>
        <xdr:cNvPr id="13" name="Picture 12">
          <a:extLst>
            <a:ext uri="{FF2B5EF4-FFF2-40B4-BE49-F238E27FC236}">
              <a16:creationId xmlns:a16="http://schemas.microsoft.com/office/drawing/2014/main" id="{15C13B37-2154-4742-9468-15E9D35B6795}"/>
            </a:ext>
          </a:extLst>
        </xdr:cNvPr>
        <xdr:cNvPicPr>
          <a:picLocks noChangeAspect="1"/>
        </xdr:cNvPicPr>
      </xdr:nvPicPr>
      <xdr:blipFill>
        <a:blip xmlns:r="http://schemas.openxmlformats.org/officeDocument/2006/relationships" r:embed="rId4"/>
        <a:stretch>
          <a:fillRect/>
        </a:stretch>
      </xdr:blipFill>
      <xdr:spPr>
        <a:xfrm>
          <a:off x="24231600" y="12556671"/>
          <a:ext cx="898602" cy="30798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1601" name="Picture 1" descr="C:\WINDOWS\TEMP\Symbol.gif">
          <a:extLst>
            <a:ext uri="{FF2B5EF4-FFF2-40B4-BE49-F238E27FC236}">
              <a16:creationId xmlns:a16="http://schemas.microsoft.com/office/drawing/2014/main" id="{00000000-0008-0000-0600-0000A1F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61602" name="Picture 2" descr="C:\WINDOWS\TEMP\Symbol.gif">
          <a:extLst>
            <a:ext uri="{FF2B5EF4-FFF2-40B4-BE49-F238E27FC236}">
              <a16:creationId xmlns:a16="http://schemas.microsoft.com/office/drawing/2014/main" id="{00000000-0008-0000-0600-0000A2F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61603" name="Picture 3" descr="C:\WINDOWS\TEMP\Symbol.gif">
          <a:extLst>
            <a:ext uri="{FF2B5EF4-FFF2-40B4-BE49-F238E27FC236}">
              <a16:creationId xmlns:a16="http://schemas.microsoft.com/office/drawing/2014/main" id="{00000000-0008-0000-0600-0000A3F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61604" name="Picture 4" descr="C:\WINDOWS\TEMP\Symbol.gif">
          <a:extLst>
            <a:ext uri="{FF2B5EF4-FFF2-40B4-BE49-F238E27FC236}">
              <a16:creationId xmlns:a16="http://schemas.microsoft.com/office/drawing/2014/main" id="{00000000-0008-0000-0600-0000A4F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08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276</xdr:row>
      <xdr:rowOff>123825</xdr:rowOff>
    </xdr:from>
    <xdr:to>
      <xdr:col>22</xdr:col>
      <xdr:colOff>1895475</xdr:colOff>
      <xdr:row>277</xdr:row>
      <xdr:rowOff>152400</xdr:rowOff>
    </xdr:to>
    <xdr:pic>
      <xdr:nvPicPr>
        <xdr:cNvPr id="61605" name="Picture 5" descr="C:\WINDOWS\TEMP\~0003946.gif">
          <a:extLst>
            <a:ext uri="{FF2B5EF4-FFF2-40B4-BE49-F238E27FC236}">
              <a16:creationId xmlns:a16="http://schemas.microsoft.com/office/drawing/2014/main" id="{00000000-0008-0000-0600-0000A5F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04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61606" name="Picture 6" descr="C:\WINDOWS\TEMP\~0003946.gif">
          <a:extLst>
            <a:ext uri="{FF2B5EF4-FFF2-40B4-BE49-F238E27FC236}">
              <a16:creationId xmlns:a16="http://schemas.microsoft.com/office/drawing/2014/main" id="{00000000-0008-0000-0600-0000A6F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61607" name="Picture 7" descr="C:\WINDOWS\TEMP\~0003946.gif">
          <a:extLst>
            <a:ext uri="{FF2B5EF4-FFF2-40B4-BE49-F238E27FC236}">
              <a16:creationId xmlns:a16="http://schemas.microsoft.com/office/drawing/2014/main" id="{00000000-0008-0000-0600-0000A7F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61608" name="Picture 8" descr="C:\WINDOWS\TEMP\~0003946.gif">
          <a:extLst>
            <a:ext uri="{FF2B5EF4-FFF2-40B4-BE49-F238E27FC236}">
              <a16:creationId xmlns:a16="http://schemas.microsoft.com/office/drawing/2014/main" id="{00000000-0008-0000-0600-0000A8F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61609" name="Picture 9" descr="C:\WINDOWS\TEMP\~0003946.gif">
          <a:extLst>
            <a:ext uri="{FF2B5EF4-FFF2-40B4-BE49-F238E27FC236}">
              <a16:creationId xmlns:a16="http://schemas.microsoft.com/office/drawing/2014/main" id="{00000000-0008-0000-0600-0000A9F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61610" name="Picture 10" descr="C:\WINDOWS\TEMP\~0003946.gif">
          <a:extLst>
            <a:ext uri="{FF2B5EF4-FFF2-40B4-BE49-F238E27FC236}">
              <a16:creationId xmlns:a16="http://schemas.microsoft.com/office/drawing/2014/main" id="{00000000-0008-0000-0600-0000AAF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61611" name="Picture 11" descr="C:\WINDOWS\TEMP\~0003946.gif">
          <a:extLst>
            <a:ext uri="{FF2B5EF4-FFF2-40B4-BE49-F238E27FC236}">
              <a16:creationId xmlns:a16="http://schemas.microsoft.com/office/drawing/2014/main" id="{00000000-0008-0000-0600-0000ABF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276</xdr:row>
      <xdr:rowOff>104775</xdr:rowOff>
    </xdr:from>
    <xdr:to>
      <xdr:col>22</xdr:col>
      <xdr:colOff>895350</xdr:colOff>
      <xdr:row>277</xdr:row>
      <xdr:rowOff>133350</xdr:rowOff>
    </xdr:to>
    <xdr:pic>
      <xdr:nvPicPr>
        <xdr:cNvPr id="61612" name="Picture 12" descr="C:\WINDOWS\TEMP\~0003946.gif">
          <a:extLst>
            <a:ext uri="{FF2B5EF4-FFF2-40B4-BE49-F238E27FC236}">
              <a16:creationId xmlns:a16="http://schemas.microsoft.com/office/drawing/2014/main" id="{00000000-0008-0000-0600-0000ACF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02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61613" name="Picture 13" descr="logoMTL">
          <a:extLst>
            <a:ext uri="{FF2B5EF4-FFF2-40B4-BE49-F238E27FC236}">
              <a16:creationId xmlns:a16="http://schemas.microsoft.com/office/drawing/2014/main" id="{00000000-0008-0000-0600-0000ADF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61614" name="Picture 14" descr="logoMTL">
          <a:extLst>
            <a:ext uri="{FF2B5EF4-FFF2-40B4-BE49-F238E27FC236}">
              <a16:creationId xmlns:a16="http://schemas.microsoft.com/office/drawing/2014/main" id="{00000000-0008-0000-0600-0000AEF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61615" name="Picture 15" descr="logoMTL">
          <a:extLst>
            <a:ext uri="{FF2B5EF4-FFF2-40B4-BE49-F238E27FC236}">
              <a16:creationId xmlns:a16="http://schemas.microsoft.com/office/drawing/2014/main" id="{00000000-0008-0000-0600-0000AFF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276</xdr:row>
      <xdr:rowOff>0</xdr:rowOff>
    </xdr:from>
    <xdr:to>
      <xdr:col>21</xdr:col>
      <xdr:colOff>1228725</xdr:colOff>
      <xdr:row>277</xdr:row>
      <xdr:rowOff>123825</xdr:rowOff>
    </xdr:to>
    <xdr:pic>
      <xdr:nvPicPr>
        <xdr:cNvPr id="61616" name="Picture 16" descr="logoMTL">
          <a:extLst>
            <a:ext uri="{FF2B5EF4-FFF2-40B4-BE49-F238E27FC236}">
              <a16:creationId xmlns:a16="http://schemas.microsoft.com/office/drawing/2014/main" id="{00000000-0008-0000-0600-0000B0F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592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22</xdr:col>
      <xdr:colOff>1095375</xdr:colOff>
      <xdr:row>305</xdr:row>
      <xdr:rowOff>123825</xdr:rowOff>
    </xdr:from>
    <xdr:to>
      <xdr:col>22</xdr:col>
      <xdr:colOff>1895475</xdr:colOff>
      <xdr:row>306</xdr:row>
      <xdr:rowOff>152400</xdr:rowOff>
    </xdr:to>
    <xdr:pic>
      <xdr:nvPicPr>
        <xdr:cNvPr id="2" name="Picture 1" descr="C:\WINDOWS\TEMP\~0003946.gif">
          <a:extLst>
            <a:ext uri="{FF2B5EF4-FFF2-40B4-BE49-F238E27FC236}">
              <a16:creationId xmlns:a16="http://schemas.microsoft.com/office/drawing/2014/main" id="{FDF8D985-720A-4188-BEBD-2F81E541490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77370" y="6182868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E3FEF3D6-124A-4C9A-98F4-AC7A06C82CE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75465" y="4075747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43574707-830A-423F-93B7-79781B9A824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81180" y="285007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0C44A7E3-39B6-4893-8083-D13EB665F47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81180" y="1267015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187381</xdr:rowOff>
    </xdr:to>
    <xdr:pic>
      <xdr:nvPicPr>
        <xdr:cNvPr id="6" name="Picture 5">
          <a:extLst>
            <a:ext uri="{FF2B5EF4-FFF2-40B4-BE49-F238E27FC236}">
              <a16:creationId xmlns:a16="http://schemas.microsoft.com/office/drawing/2014/main" id="{3180C572-9E63-4597-88A2-EA708BA25016}"/>
            </a:ext>
          </a:extLst>
        </xdr:cNvPr>
        <xdr:cNvPicPr>
          <a:picLocks noChangeAspect="1"/>
        </xdr:cNvPicPr>
      </xdr:nvPicPr>
      <xdr:blipFill>
        <a:blip xmlns:r="http://schemas.openxmlformats.org/officeDocument/2006/relationships" r:embed="rId3"/>
        <a:stretch>
          <a:fillRect/>
        </a:stretch>
      </xdr:blipFill>
      <xdr:spPr>
        <a:xfrm>
          <a:off x="132261" y="12638586"/>
          <a:ext cx="174513" cy="255145"/>
        </a:xfrm>
        <a:prstGeom prst="rect">
          <a:avLst/>
        </a:prstGeom>
      </xdr:spPr>
    </xdr:pic>
    <xdr:clientData/>
  </xdr:twoCellAnchor>
  <xdr:twoCellAnchor editAs="oneCell">
    <xdr:from>
      <xdr:col>0</xdr:col>
      <xdr:colOff>176893</xdr:colOff>
      <xdr:row>139</xdr:row>
      <xdr:rowOff>81643</xdr:rowOff>
    </xdr:from>
    <xdr:to>
      <xdr:col>1</xdr:col>
      <xdr:colOff>18212</xdr:colOff>
      <xdr:row>140</xdr:row>
      <xdr:rowOff>94853</xdr:rowOff>
    </xdr:to>
    <xdr:pic>
      <xdr:nvPicPr>
        <xdr:cNvPr id="7" name="Picture 6">
          <a:extLst>
            <a:ext uri="{FF2B5EF4-FFF2-40B4-BE49-F238E27FC236}">
              <a16:creationId xmlns:a16="http://schemas.microsoft.com/office/drawing/2014/main" id="{28B88EDC-87E4-4EDD-8CC8-B98011ACD422}"/>
            </a:ext>
          </a:extLst>
        </xdr:cNvPr>
        <xdr:cNvPicPr>
          <a:picLocks noChangeAspect="1"/>
        </xdr:cNvPicPr>
      </xdr:nvPicPr>
      <xdr:blipFill>
        <a:blip xmlns:r="http://schemas.openxmlformats.org/officeDocument/2006/relationships" r:embed="rId3"/>
        <a:stretch>
          <a:fillRect/>
        </a:stretch>
      </xdr:blipFill>
      <xdr:spPr>
        <a:xfrm>
          <a:off x="173083" y="28420423"/>
          <a:ext cx="178504" cy="211330"/>
        </a:xfrm>
        <a:prstGeom prst="rect">
          <a:avLst/>
        </a:prstGeom>
      </xdr:spPr>
    </xdr:pic>
    <xdr:clientData/>
  </xdr:twoCellAnchor>
  <xdr:twoCellAnchor editAs="oneCell">
    <xdr:from>
      <xdr:col>0</xdr:col>
      <xdr:colOff>176893</xdr:colOff>
      <xdr:row>200</xdr:row>
      <xdr:rowOff>108857</xdr:rowOff>
    </xdr:from>
    <xdr:to>
      <xdr:col>1</xdr:col>
      <xdr:colOff>18212</xdr:colOff>
      <xdr:row>201</xdr:row>
      <xdr:rowOff>149373</xdr:rowOff>
    </xdr:to>
    <xdr:pic>
      <xdr:nvPicPr>
        <xdr:cNvPr id="8" name="Picture 7">
          <a:extLst>
            <a:ext uri="{FF2B5EF4-FFF2-40B4-BE49-F238E27FC236}">
              <a16:creationId xmlns:a16="http://schemas.microsoft.com/office/drawing/2014/main" id="{765B5353-2EF1-44B0-9BC1-886B16B008B6}"/>
            </a:ext>
          </a:extLst>
        </xdr:cNvPr>
        <xdr:cNvPicPr>
          <a:picLocks noChangeAspect="1"/>
        </xdr:cNvPicPr>
      </xdr:nvPicPr>
      <xdr:blipFill>
        <a:blip xmlns:r="http://schemas.openxmlformats.org/officeDocument/2006/relationships" r:embed="rId3"/>
        <a:stretch>
          <a:fillRect/>
        </a:stretch>
      </xdr:blipFill>
      <xdr:spPr>
        <a:xfrm>
          <a:off x="173083" y="40712027"/>
          <a:ext cx="178504" cy="242446"/>
        </a:xfrm>
        <a:prstGeom prst="rect">
          <a:avLst/>
        </a:prstGeom>
      </xdr:spPr>
    </xdr:pic>
    <xdr:clientData/>
  </xdr:twoCellAnchor>
  <xdr:twoCellAnchor editAs="oneCell">
    <xdr:from>
      <xdr:col>0</xdr:col>
      <xdr:colOff>163286</xdr:colOff>
      <xdr:row>305</xdr:row>
      <xdr:rowOff>149678</xdr:rowOff>
    </xdr:from>
    <xdr:to>
      <xdr:col>1</xdr:col>
      <xdr:colOff>1068</xdr:colOff>
      <xdr:row>306</xdr:row>
      <xdr:rowOff>171144</xdr:rowOff>
    </xdr:to>
    <xdr:pic>
      <xdr:nvPicPr>
        <xdr:cNvPr id="9" name="Picture 8">
          <a:extLst>
            <a:ext uri="{FF2B5EF4-FFF2-40B4-BE49-F238E27FC236}">
              <a16:creationId xmlns:a16="http://schemas.microsoft.com/office/drawing/2014/main" id="{75A5C351-104E-48DF-B1CC-8A7B33A6B49F}"/>
            </a:ext>
          </a:extLst>
        </xdr:cNvPr>
        <xdr:cNvPicPr>
          <a:picLocks noChangeAspect="1"/>
        </xdr:cNvPicPr>
      </xdr:nvPicPr>
      <xdr:blipFill>
        <a:blip xmlns:r="http://schemas.openxmlformats.org/officeDocument/2006/relationships" r:embed="rId3"/>
        <a:stretch>
          <a:fillRect/>
        </a:stretch>
      </xdr:blipFill>
      <xdr:spPr>
        <a:xfrm>
          <a:off x="165191" y="61852628"/>
          <a:ext cx="169252" cy="221491"/>
        </a:xfrm>
        <a:prstGeom prst="rect">
          <a:avLst/>
        </a:prstGeom>
      </xdr:spPr>
    </xdr:pic>
    <xdr:clientData/>
  </xdr:twoCellAnchor>
  <xdr:twoCellAnchor editAs="oneCell">
    <xdr:from>
      <xdr:col>22</xdr:col>
      <xdr:colOff>0</xdr:colOff>
      <xdr:row>305</xdr:row>
      <xdr:rowOff>54429</xdr:rowOff>
    </xdr:from>
    <xdr:to>
      <xdr:col>22</xdr:col>
      <xdr:colOff>894792</xdr:colOff>
      <xdr:row>306</xdr:row>
      <xdr:rowOff>132543</xdr:rowOff>
    </xdr:to>
    <xdr:pic>
      <xdr:nvPicPr>
        <xdr:cNvPr id="10" name="Picture 9">
          <a:extLst>
            <a:ext uri="{FF2B5EF4-FFF2-40B4-BE49-F238E27FC236}">
              <a16:creationId xmlns:a16="http://schemas.microsoft.com/office/drawing/2014/main" id="{D7456712-9BCF-4505-8300-9D233E57D63A}"/>
            </a:ext>
          </a:extLst>
        </xdr:cNvPr>
        <xdr:cNvPicPr>
          <a:picLocks noChangeAspect="1"/>
        </xdr:cNvPicPr>
      </xdr:nvPicPr>
      <xdr:blipFill>
        <a:blip xmlns:r="http://schemas.openxmlformats.org/officeDocument/2006/relationships" r:embed="rId4"/>
        <a:stretch>
          <a:fillRect/>
        </a:stretch>
      </xdr:blipFill>
      <xdr:spPr>
        <a:xfrm>
          <a:off x="23679150" y="61761189"/>
          <a:ext cx="894792" cy="274329"/>
        </a:xfrm>
        <a:prstGeom prst="rect">
          <a:avLst/>
        </a:prstGeom>
      </xdr:spPr>
    </xdr:pic>
    <xdr:clientData/>
  </xdr:twoCellAnchor>
  <xdr:twoCellAnchor editAs="oneCell">
    <xdr:from>
      <xdr:col>22</xdr:col>
      <xdr:colOff>0</xdr:colOff>
      <xdr:row>200</xdr:row>
      <xdr:rowOff>54429</xdr:rowOff>
    </xdr:from>
    <xdr:to>
      <xdr:col>22</xdr:col>
      <xdr:colOff>894792</xdr:colOff>
      <xdr:row>201</xdr:row>
      <xdr:rowOff>132543</xdr:rowOff>
    </xdr:to>
    <xdr:pic>
      <xdr:nvPicPr>
        <xdr:cNvPr id="11" name="Picture 10">
          <a:extLst>
            <a:ext uri="{FF2B5EF4-FFF2-40B4-BE49-F238E27FC236}">
              <a16:creationId xmlns:a16="http://schemas.microsoft.com/office/drawing/2014/main" id="{E0F3B44B-81C9-4168-AFBF-8A66490E6BE7}"/>
            </a:ext>
          </a:extLst>
        </xdr:cNvPr>
        <xdr:cNvPicPr>
          <a:picLocks noChangeAspect="1"/>
        </xdr:cNvPicPr>
      </xdr:nvPicPr>
      <xdr:blipFill>
        <a:blip xmlns:r="http://schemas.openxmlformats.org/officeDocument/2006/relationships" r:embed="rId4"/>
        <a:stretch>
          <a:fillRect/>
        </a:stretch>
      </xdr:blipFill>
      <xdr:spPr>
        <a:xfrm>
          <a:off x="23679150" y="40663314"/>
          <a:ext cx="894792" cy="274329"/>
        </a:xfrm>
        <a:prstGeom prst="rect">
          <a:avLst/>
        </a:prstGeom>
      </xdr:spPr>
    </xdr:pic>
    <xdr:clientData/>
  </xdr:twoCellAnchor>
  <xdr:twoCellAnchor editAs="oneCell">
    <xdr:from>
      <xdr:col>21</xdr:col>
      <xdr:colOff>1238250</xdr:colOff>
      <xdr:row>139</xdr:row>
      <xdr:rowOff>54428</xdr:rowOff>
    </xdr:from>
    <xdr:to>
      <xdr:col>22</xdr:col>
      <xdr:colOff>872930</xdr:colOff>
      <xdr:row>140</xdr:row>
      <xdr:rowOff>132541</xdr:rowOff>
    </xdr:to>
    <xdr:pic>
      <xdr:nvPicPr>
        <xdr:cNvPr id="12" name="Picture 11">
          <a:extLst>
            <a:ext uri="{FF2B5EF4-FFF2-40B4-BE49-F238E27FC236}">
              <a16:creationId xmlns:a16="http://schemas.microsoft.com/office/drawing/2014/main" id="{EBFD86C7-D1D5-4E50-BC3B-68F0094E1655}"/>
            </a:ext>
          </a:extLst>
        </xdr:cNvPr>
        <xdr:cNvPicPr>
          <a:picLocks noChangeAspect="1"/>
        </xdr:cNvPicPr>
      </xdr:nvPicPr>
      <xdr:blipFill>
        <a:blip xmlns:r="http://schemas.openxmlformats.org/officeDocument/2006/relationships" r:embed="rId4"/>
        <a:stretch>
          <a:fillRect/>
        </a:stretch>
      </xdr:blipFill>
      <xdr:spPr>
        <a:xfrm>
          <a:off x="23665815" y="28395113"/>
          <a:ext cx="886265" cy="274328"/>
        </a:xfrm>
        <a:prstGeom prst="rect">
          <a:avLst/>
        </a:prstGeom>
      </xdr:spPr>
    </xdr:pic>
    <xdr:clientData/>
  </xdr:twoCellAnchor>
  <xdr:twoCellAnchor editAs="oneCell">
    <xdr:from>
      <xdr:col>22</xdr:col>
      <xdr:colOff>0</xdr:colOff>
      <xdr:row>62</xdr:row>
      <xdr:rowOff>40821</xdr:rowOff>
    </xdr:from>
    <xdr:to>
      <xdr:col>22</xdr:col>
      <xdr:colOff>894792</xdr:colOff>
      <xdr:row>63</xdr:row>
      <xdr:rowOff>148779</xdr:rowOff>
    </xdr:to>
    <xdr:pic>
      <xdr:nvPicPr>
        <xdr:cNvPr id="13" name="Picture 12">
          <a:extLst>
            <a:ext uri="{FF2B5EF4-FFF2-40B4-BE49-F238E27FC236}">
              <a16:creationId xmlns:a16="http://schemas.microsoft.com/office/drawing/2014/main" id="{53DB483A-64E2-47DD-A699-468C4FA88144}"/>
            </a:ext>
          </a:extLst>
        </xdr:cNvPr>
        <xdr:cNvPicPr>
          <a:picLocks noChangeAspect="1"/>
        </xdr:cNvPicPr>
      </xdr:nvPicPr>
      <xdr:blipFill>
        <a:blip xmlns:r="http://schemas.openxmlformats.org/officeDocument/2006/relationships" r:embed="rId4"/>
        <a:stretch>
          <a:fillRect/>
        </a:stretch>
      </xdr:blipFill>
      <xdr:spPr>
        <a:xfrm>
          <a:off x="23679150" y="12547146"/>
          <a:ext cx="894792" cy="3079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2625" name="Picture 1" descr="C:\WINDOWS\TEMP\Symbol.gif">
          <a:extLst>
            <a:ext uri="{FF2B5EF4-FFF2-40B4-BE49-F238E27FC236}">
              <a16:creationId xmlns:a16="http://schemas.microsoft.com/office/drawing/2014/main" id="{00000000-0008-0000-0700-0000A1F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62626" name="Picture 2" descr="C:\WINDOWS\TEMP\Symbol.gif">
          <a:extLst>
            <a:ext uri="{FF2B5EF4-FFF2-40B4-BE49-F238E27FC236}">
              <a16:creationId xmlns:a16="http://schemas.microsoft.com/office/drawing/2014/main" id="{00000000-0008-0000-0700-0000A2F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62627" name="Picture 3" descr="C:\WINDOWS\TEMP\Symbol.gif">
          <a:extLst>
            <a:ext uri="{FF2B5EF4-FFF2-40B4-BE49-F238E27FC236}">
              <a16:creationId xmlns:a16="http://schemas.microsoft.com/office/drawing/2014/main" id="{00000000-0008-0000-0700-0000A3F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62628" name="Picture 4" descr="C:\WINDOWS\TEMP\Symbol.gif">
          <a:extLst>
            <a:ext uri="{FF2B5EF4-FFF2-40B4-BE49-F238E27FC236}">
              <a16:creationId xmlns:a16="http://schemas.microsoft.com/office/drawing/2014/main" id="{00000000-0008-0000-0700-0000A4F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08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276</xdr:row>
      <xdr:rowOff>123825</xdr:rowOff>
    </xdr:from>
    <xdr:to>
      <xdr:col>22</xdr:col>
      <xdr:colOff>1895475</xdr:colOff>
      <xdr:row>277</xdr:row>
      <xdr:rowOff>152400</xdr:rowOff>
    </xdr:to>
    <xdr:pic>
      <xdr:nvPicPr>
        <xdr:cNvPr id="62629" name="Picture 5" descr="C:\WINDOWS\TEMP\~0003946.gif">
          <a:extLst>
            <a:ext uri="{FF2B5EF4-FFF2-40B4-BE49-F238E27FC236}">
              <a16:creationId xmlns:a16="http://schemas.microsoft.com/office/drawing/2014/main" id="{00000000-0008-0000-0700-0000A5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04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62630" name="Picture 6" descr="C:\WINDOWS\TEMP\~0003946.gif">
          <a:extLst>
            <a:ext uri="{FF2B5EF4-FFF2-40B4-BE49-F238E27FC236}">
              <a16:creationId xmlns:a16="http://schemas.microsoft.com/office/drawing/2014/main" id="{00000000-0008-0000-0700-0000A6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62631" name="Picture 7" descr="C:\WINDOWS\TEMP\~0003946.gif">
          <a:extLst>
            <a:ext uri="{FF2B5EF4-FFF2-40B4-BE49-F238E27FC236}">
              <a16:creationId xmlns:a16="http://schemas.microsoft.com/office/drawing/2014/main" id="{00000000-0008-0000-0700-0000A7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62632" name="Picture 8" descr="C:\WINDOWS\TEMP\~0003946.gif">
          <a:extLst>
            <a:ext uri="{FF2B5EF4-FFF2-40B4-BE49-F238E27FC236}">
              <a16:creationId xmlns:a16="http://schemas.microsoft.com/office/drawing/2014/main" id="{00000000-0008-0000-0700-0000A8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62633" name="Picture 9" descr="C:\WINDOWS\TEMP\~0003946.gif">
          <a:extLst>
            <a:ext uri="{FF2B5EF4-FFF2-40B4-BE49-F238E27FC236}">
              <a16:creationId xmlns:a16="http://schemas.microsoft.com/office/drawing/2014/main" id="{00000000-0008-0000-0700-0000A9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62634" name="Picture 10" descr="C:\WINDOWS\TEMP\~0003946.gif">
          <a:extLst>
            <a:ext uri="{FF2B5EF4-FFF2-40B4-BE49-F238E27FC236}">
              <a16:creationId xmlns:a16="http://schemas.microsoft.com/office/drawing/2014/main" id="{00000000-0008-0000-0700-0000AA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62635" name="Picture 11" descr="C:\WINDOWS\TEMP\~0003946.gif">
          <a:extLst>
            <a:ext uri="{FF2B5EF4-FFF2-40B4-BE49-F238E27FC236}">
              <a16:creationId xmlns:a16="http://schemas.microsoft.com/office/drawing/2014/main" id="{00000000-0008-0000-0700-0000AB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276</xdr:row>
      <xdr:rowOff>104775</xdr:rowOff>
    </xdr:from>
    <xdr:to>
      <xdr:col>22</xdr:col>
      <xdr:colOff>895350</xdr:colOff>
      <xdr:row>277</xdr:row>
      <xdr:rowOff>133350</xdr:rowOff>
    </xdr:to>
    <xdr:pic>
      <xdr:nvPicPr>
        <xdr:cNvPr id="62636" name="Picture 12" descr="C:\WINDOWS\TEMP\~0003946.gif">
          <a:extLst>
            <a:ext uri="{FF2B5EF4-FFF2-40B4-BE49-F238E27FC236}">
              <a16:creationId xmlns:a16="http://schemas.microsoft.com/office/drawing/2014/main" id="{00000000-0008-0000-0700-0000AC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02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62637" name="Picture 13" descr="logoMTL">
          <a:extLst>
            <a:ext uri="{FF2B5EF4-FFF2-40B4-BE49-F238E27FC236}">
              <a16:creationId xmlns:a16="http://schemas.microsoft.com/office/drawing/2014/main" id="{00000000-0008-0000-0700-0000ADF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62638" name="Picture 14" descr="logoMTL">
          <a:extLst>
            <a:ext uri="{FF2B5EF4-FFF2-40B4-BE49-F238E27FC236}">
              <a16:creationId xmlns:a16="http://schemas.microsoft.com/office/drawing/2014/main" id="{00000000-0008-0000-0700-0000AEF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62639" name="Picture 15" descr="logoMTL">
          <a:extLst>
            <a:ext uri="{FF2B5EF4-FFF2-40B4-BE49-F238E27FC236}">
              <a16:creationId xmlns:a16="http://schemas.microsoft.com/office/drawing/2014/main" id="{00000000-0008-0000-0700-0000AFF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276</xdr:row>
      <xdr:rowOff>0</xdr:rowOff>
    </xdr:from>
    <xdr:to>
      <xdr:col>21</xdr:col>
      <xdr:colOff>1228725</xdr:colOff>
      <xdr:row>277</xdr:row>
      <xdr:rowOff>123825</xdr:rowOff>
    </xdr:to>
    <xdr:pic>
      <xdr:nvPicPr>
        <xdr:cNvPr id="62640" name="Picture 16" descr="logoMTL">
          <a:extLst>
            <a:ext uri="{FF2B5EF4-FFF2-40B4-BE49-F238E27FC236}">
              <a16:creationId xmlns:a16="http://schemas.microsoft.com/office/drawing/2014/main" id="{00000000-0008-0000-0700-0000B0F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592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3649" name="Picture 1" descr="C:\WINDOWS\TEMP\Symbol.gif">
          <a:extLst>
            <a:ext uri="{FF2B5EF4-FFF2-40B4-BE49-F238E27FC236}">
              <a16:creationId xmlns:a16="http://schemas.microsoft.com/office/drawing/2014/main" id="{00000000-0008-0000-0800-0000A1F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63650" name="Picture 2" descr="C:\WINDOWS\TEMP\Symbol.gif">
          <a:extLst>
            <a:ext uri="{FF2B5EF4-FFF2-40B4-BE49-F238E27FC236}">
              <a16:creationId xmlns:a16="http://schemas.microsoft.com/office/drawing/2014/main" id="{00000000-0008-0000-0800-0000A2F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63651" name="Picture 3" descr="C:\WINDOWS\TEMP\Symbol.gif">
          <a:extLst>
            <a:ext uri="{FF2B5EF4-FFF2-40B4-BE49-F238E27FC236}">
              <a16:creationId xmlns:a16="http://schemas.microsoft.com/office/drawing/2014/main" id="{00000000-0008-0000-0800-0000A3F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63652" name="Picture 4" descr="C:\WINDOWS\TEMP\Symbol.gif">
          <a:extLst>
            <a:ext uri="{FF2B5EF4-FFF2-40B4-BE49-F238E27FC236}">
              <a16:creationId xmlns:a16="http://schemas.microsoft.com/office/drawing/2014/main" id="{00000000-0008-0000-0800-0000A4F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08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276</xdr:row>
      <xdr:rowOff>123825</xdr:rowOff>
    </xdr:from>
    <xdr:to>
      <xdr:col>22</xdr:col>
      <xdr:colOff>1895475</xdr:colOff>
      <xdr:row>277</xdr:row>
      <xdr:rowOff>152400</xdr:rowOff>
    </xdr:to>
    <xdr:pic>
      <xdr:nvPicPr>
        <xdr:cNvPr id="63653" name="Picture 5" descr="C:\WINDOWS\TEMP\~0003946.gif">
          <a:extLst>
            <a:ext uri="{FF2B5EF4-FFF2-40B4-BE49-F238E27FC236}">
              <a16:creationId xmlns:a16="http://schemas.microsoft.com/office/drawing/2014/main" id="{00000000-0008-0000-0800-0000A5F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04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63654" name="Picture 6" descr="C:\WINDOWS\TEMP\~0003946.gif">
          <a:extLst>
            <a:ext uri="{FF2B5EF4-FFF2-40B4-BE49-F238E27FC236}">
              <a16:creationId xmlns:a16="http://schemas.microsoft.com/office/drawing/2014/main" id="{00000000-0008-0000-0800-0000A6F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63655" name="Picture 7" descr="C:\WINDOWS\TEMP\~0003946.gif">
          <a:extLst>
            <a:ext uri="{FF2B5EF4-FFF2-40B4-BE49-F238E27FC236}">
              <a16:creationId xmlns:a16="http://schemas.microsoft.com/office/drawing/2014/main" id="{00000000-0008-0000-0800-0000A7F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63656" name="Picture 8" descr="C:\WINDOWS\TEMP\~0003946.gif">
          <a:extLst>
            <a:ext uri="{FF2B5EF4-FFF2-40B4-BE49-F238E27FC236}">
              <a16:creationId xmlns:a16="http://schemas.microsoft.com/office/drawing/2014/main" id="{00000000-0008-0000-0800-0000A8F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63657" name="Picture 9" descr="C:\WINDOWS\TEMP\~0003946.gif">
          <a:extLst>
            <a:ext uri="{FF2B5EF4-FFF2-40B4-BE49-F238E27FC236}">
              <a16:creationId xmlns:a16="http://schemas.microsoft.com/office/drawing/2014/main" id="{00000000-0008-0000-0800-0000A9F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63658" name="Picture 10" descr="C:\WINDOWS\TEMP\~0003946.gif">
          <a:extLst>
            <a:ext uri="{FF2B5EF4-FFF2-40B4-BE49-F238E27FC236}">
              <a16:creationId xmlns:a16="http://schemas.microsoft.com/office/drawing/2014/main" id="{00000000-0008-0000-0800-0000AAF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63659" name="Picture 11" descr="C:\WINDOWS\TEMP\~0003946.gif">
          <a:extLst>
            <a:ext uri="{FF2B5EF4-FFF2-40B4-BE49-F238E27FC236}">
              <a16:creationId xmlns:a16="http://schemas.microsoft.com/office/drawing/2014/main" id="{00000000-0008-0000-0800-0000ABF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276</xdr:row>
      <xdr:rowOff>104775</xdr:rowOff>
    </xdr:from>
    <xdr:to>
      <xdr:col>22</xdr:col>
      <xdr:colOff>895350</xdr:colOff>
      <xdr:row>277</xdr:row>
      <xdr:rowOff>133350</xdr:rowOff>
    </xdr:to>
    <xdr:pic>
      <xdr:nvPicPr>
        <xdr:cNvPr id="63660" name="Picture 12" descr="C:\WINDOWS\TEMP\~0003946.gif">
          <a:extLst>
            <a:ext uri="{FF2B5EF4-FFF2-40B4-BE49-F238E27FC236}">
              <a16:creationId xmlns:a16="http://schemas.microsoft.com/office/drawing/2014/main" id="{00000000-0008-0000-0800-0000ACF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02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63661" name="Picture 13" descr="logoMTL">
          <a:extLst>
            <a:ext uri="{FF2B5EF4-FFF2-40B4-BE49-F238E27FC236}">
              <a16:creationId xmlns:a16="http://schemas.microsoft.com/office/drawing/2014/main" id="{00000000-0008-0000-0800-0000ADF8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63662" name="Picture 14" descr="logoMTL">
          <a:extLst>
            <a:ext uri="{FF2B5EF4-FFF2-40B4-BE49-F238E27FC236}">
              <a16:creationId xmlns:a16="http://schemas.microsoft.com/office/drawing/2014/main" id="{00000000-0008-0000-0800-0000AEF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63663" name="Picture 15" descr="logoMTL">
          <a:extLst>
            <a:ext uri="{FF2B5EF4-FFF2-40B4-BE49-F238E27FC236}">
              <a16:creationId xmlns:a16="http://schemas.microsoft.com/office/drawing/2014/main" id="{00000000-0008-0000-0800-0000AFF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276</xdr:row>
      <xdr:rowOff>0</xdr:rowOff>
    </xdr:from>
    <xdr:to>
      <xdr:col>21</xdr:col>
      <xdr:colOff>1228725</xdr:colOff>
      <xdr:row>277</xdr:row>
      <xdr:rowOff>123825</xdr:rowOff>
    </xdr:to>
    <xdr:pic>
      <xdr:nvPicPr>
        <xdr:cNvPr id="63664" name="Picture 16" descr="logoMTL">
          <a:extLst>
            <a:ext uri="{FF2B5EF4-FFF2-40B4-BE49-F238E27FC236}">
              <a16:creationId xmlns:a16="http://schemas.microsoft.com/office/drawing/2014/main" id="{00000000-0008-0000-0800-0000B0F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592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3" Type="http://schemas.openxmlformats.org/officeDocument/2006/relationships/hyperlink" Target="https://otp.tools.investis.com/clients/uk/paragon_group/rns1/regulatory-story.aspx?cid=1285&amp;newsid=1345190"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53.xml"/><Relationship Id="rId4"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hyperlink" Target="https://otp.tools.investis.com/clients/uk/paragon_group/rns1/regulatory-story.aspx?cid=1285&amp;newsid=1345190"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54.xml"/><Relationship Id="rId4"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hyperlink" Target="https://otp.tools.investis.com/clients/uk/paragon_group/rns1/regulatory-story.aspx?cid=1285&amp;newsid=1345190"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drawing" Target="../drawings/drawing55.xml"/><Relationship Id="rId5" Type="http://schemas.openxmlformats.org/officeDocument/2006/relationships/printerSettings" Target="../printerSettings/printerSettings55.bin"/><Relationship Id="rId4" Type="http://schemas.openxmlformats.org/officeDocument/2006/relationships/hyperlink" Target="http://www.paragonbankinggroup.co.uk/" TargetMode="External"/></Relationships>
</file>

<file path=xl/worksheets/_rels/sheet56.xml.rels><?xml version="1.0" encoding="UTF-8" standalone="yes"?>
<Relationships xmlns="http://schemas.openxmlformats.org/package/2006/relationships"><Relationship Id="rId3" Type="http://schemas.openxmlformats.org/officeDocument/2006/relationships/hyperlink" Target="https://otp.tools.investis.com/clients/uk/paragon_group/rns1/regulatory-story.aspx?cid=1285&amp;newsid=1345190"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drawing" Target="../drawings/drawing56.xml"/><Relationship Id="rId5" Type="http://schemas.openxmlformats.org/officeDocument/2006/relationships/printerSettings" Target="../printerSettings/printerSettings56.bin"/><Relationship Id="rId4" Type="http://schemas.openxmlformats.org/officeDocument/2006/relationships/hyperlink" Target="http://www.paragonbankinggroup.co.uk/" TargetMode="External"/></Relationships>
</file>

<file path=xl/worksheets/_rels/sheet57.xml.rels><?xml version="1.0" encoding="UTF-8" standalone="yes"?>
<Relationships xmlns="http://schemas.openxmlformats.org/package/2006/relationships"><Relationship Id="rId3" Type="http://schemas.openxmlformats.org/officeDocument/2006/relationships/hyperlink" Target="https://otp.tools.investis.com/clients/uk/paragon_group/rns1/regulatory-story.aspx?cid=1285&amp;newsid=1345190"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drawing" Target="../drawings/drawing57.xml"/><Relationship Id="rId5" Type="http://schemas.openxmlformats.org/officeDocument/2006/relationships/printerSettings" Target="../printerSettings/printerSettings57.bin"/><Relationship Id="rId4" Type="http://schemas.openxmlformats.org/officeDocument/2006/relationships/hyperlink" Target="http://www.paragonbankinggroup.co.uk/"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s://otp.tools.investis.com/clients/uk/paragon_group/rns1/regulatory-story.aspx?cid=1285&amp;newsid=1345190"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drawing" Target="../drawings/drawing58.xml"/><Relationship Id="rId5" Type="http://schemas.openxmlformats.org/officeDocument/2006/relationships/printerSettings" Target="../printerSettings/printerSettings58.bin"/><Relationship Id="rId4" Type="http://schemas.openxmlformats.org/officeDocument/2006/relationships/hyperlink" Target="http://www.paragonbankinggroup.co.uk/"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s://otp.tools.investis.com/clients/uk/paragon_group/rns1/regulatory-story.aspx?cid=1285&amp;newsid=1345190"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drawing" Target="../drawings/drawing59.xml"/><Relationship Id="rId5" Type="http://schemas.openxmlformats.org/officeDocument/2006/relationships/printerSettings" Target="../printerSettings/printerSettings59.bin"/><Relationship Id="rId4" Type="http://schemas.openxmlformats.org/officeDocument/2006/relationships/hyperlink" Target="http://www.paragonbankinggroup.co.uk/"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3" Type="http://schemas.openxmlformats.org/officeDocument/2006/relationships/hyperlink" Target="https://otp.tools.investis.com/clients/uk/paragon_group/rns1/regulatory-story.aspx?cid=1285&amp;newsid=1345190" TargetMode="External"/><Relationship Id="rId7" Type="http://schemas.openxmlformats.org/officeDocument/2006/relationships/drawing" Target="../drawings/drawing60.xm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printerSettings" Target="../printerSettings/printerSettings60.bin"/><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www.paragonbankinggroup.co.uk/" TargetMode="External"/></Relationships>
</file>

<file path=xl/worksheets/_rels/sheet61.xml.rels><?xml version="1.0" encoding="UTF-8" standalone="yes"?>
<Relationships xmlns="http://schemas.openxmlformats.org/package/2006/relationships"><Relationship Id="rId3" Type="http://schemas.openxmlformats.org/officeDocument/2006/relationships/hyperlink" Target="https://otp.tools.investis.com/clients/uk/paragon_group/rns1/regulatory-story.aspx?cid=1285&amp;newsid=1345190" TargetMode="External"/><Relationship Id="rId7" Type="http://schemas.openxmlformats.org/officeDocument/2006/relationships/drawing" Target="../drawings/drawing61.xm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printerSettings" Target="../printerSettings/printerSettings61.bin"/><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www.paragonbankinggroup.co.uk/" TargetMode="External"/></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62.bin"/><Relationship Id="rId3" Type="http://schemas.openxmlformats.org/officeDocument/2006/relationships/hyperlink" Target="https://otp.tools.investis.com/clients/uk/paragon_group/rns1/regulatory-story.aspx?cid=1285&amp;newsid=1345190" TargetMode="External"/><Relationship Id="rId7" Type="http://schemas.openxmlformats.org/officeDocument/2006/relationships/hyperlink" Target="https://protect-eu.mimecast.com/s/GQAHC60N2crGn7VHp3gPx?domain=londonstockexchange.com"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hyperlink" Target="https://protect-eu.mimecast.com/s/wcu_C4934SBRnRxHOTIMr?domain=londonstockexchange.com" TargetMode="External"/><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www.paragonbankinggroup.co.uk/" TargetMode="External"/><Relationship Id="rId9"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63.bin"/><Relationship Id="rId3" Type="http://schemas.openxmlformats.org/officeDocument/2006/relationships/hyperlink" Target="https://otp.tools.investis.com/clients/uk/paragon_group/rns1/regulatory-story.aspx?cid=1285&amp;newsid=1345190" TargetMode="External"/><Relationship Id="rId7" Type="http://schemas.openxmlformats.org/officeDocument/2006/relationships/hyperlink" Target="https://protect-eu.mimecast.com/s/GQAHC60N2crGn7VHp3gPx?domain=londonstockexchange.com"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hyperlink" Target="https://protect-eu.mimecast.com/s/wcu_C4934SBRnRxHOTIMr?domain=londonstockexchange.com" TargetMode="External"/><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www.paragonbankinggroup.co.uk/" TargetMode="External"/><Relationship Id="rId9"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64.bin"/><Relationship Id="rId3" Type="http://schemas.openxmlformats.org/officeDocument/2006/relationships/hyperlink" Target="https://otp.tools.investis.com/clients/uk/paragon_group/rns1/regulatory-story.aspx?cid=1285&amp;newsid=1345190" TargetMode="External"/><Relationship Id="rId7" Type="http://schemas.openxmlformats.org/officeDocument/2006/relationships/hyperlink" Target="https://protect-eu.mimecast.com/s/GQAHC60N2crGn7VHp3gPx?domain=londonstockexchange.com"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hyperlink" Target="https://protect-eu.mimecast.com/s/wcu_C4934SBRnRxHOTIMr?domain=londonstockexchange.com" TargetMode="External"/><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www.paragonbankinggroup.co.uk/" TargetMode="External"/><Relationship Id="rId9"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65.bin"/><Relationship Id="rId3" Type="http://schemas.openxmlformats.org/officeDocument/2006/relationships/hyperlink" Target="https://otp.tools.investis.com/clients/uk/paragon_group/rns1/regulatory-story.aspx?cid=1285&amp;newsid=1345190" TargetMode="External"/><Relationship Id="rId7" Type="http://schemas.openxmlformats.org/officeDocument/2006/relationships/hyperlink" Target="https://protect-eu.mimecast.com/s/GQAHC60N2crGn7VHp3gPx?domain=londonstockexchange.com"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hyperlink" Target="https://protect-eu.mimecast.com/s/wcu_C4934SBRnRxHOTIMr?domain=londonstockexchange.com" TargetMode="External"/><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www.paragonbankinggroup.co.uk/" TargetMode="External"/><Relationship Id="rId9"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66.bin"/><Relationship Id="rId3" Type="http://schemas.openxmlformats.org/officeDocument/2006/relationships/hyperlink" Target="https://otp.tools.investis.com/clients/uk/paragon_group/rns1/regulatory-story.aspx?cid=1285&amp;newsid=1345190" TargetMode="External"/><Relationship Id="rId7" Type="http://schemas.openxmlformats.org/officeDocument/2006/relationships/hyperlink" Target="https://protect-eu.mimecast.com/s/GQAHC60N2crGn7VHp3gPx?domain=londonstockexchange.com"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hyperlink" Target="https://protect-eu.mimecast.com/s/wcu_C4934SBRnRxHOTIMr?domain=londonstockexchange.com" TargetMode="External"/><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www.paragonbankinggroup.co.uk/" TargetMode="External"/><Relationship Id="rId9"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8" Type="http://schemas.openxmlformats.org/officeDocument/2006/relationships/printerSettings" Target="../printerSettings/printerSettings67.bin"/><Relationship Id="rId3" Type="http://schemas.openxmlformats.org/officeDocument/2006/relationships/hyperlink" Target="https://otp.tools.investis.com/clients/uk/paragon_group/rns1/regulatory-story.aspx?cid=1285&amp;newsid=1345190" TargetMode="External"/><Relationship Id="rId7" Type="http://schemas.openxmlformats.org/officeDocument/2006/relationships/hyperlink" Target="https://protect-eu.mimecast.com/s/GQAHC60N2crGn7VHp3gPx?domain=londonstockexchange.com"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hyperlink" Target="https://protect-eu.mimecast.com/s/wcu_C4934SBRnRxHOTIMr?domain=londonstockexchange.com" TargetMode="External"/><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www.paragonbankinggroup.co.uk/" TargetMode="External"/><Relationship Id="rId9"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hyperlink" Target="https://otp.tools.investis.com/clients/uk/paragon_group/rns1/regulatory-story.aspx?cid=1285&amp;newsid=1345190" TargetMode="External"/><Relationship Id="rId7" Type="http://schemas.openxmlformats.org/officeDocument/2006/relationships/hyperlink" Target="https://protect-eu.mimecast.com/s/GQAHC60N2crGn7VHp3gPx?domain=londonstockexchange.com"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hyperlink" Target="https://protect-eu.mimecast.com/s/wcu_C4934SBRnRxHOTIMr?domain=londonstockexchange.com" TargetMode="External"/><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www.paragonbankinggroup.co.uk/" TargetMode="External"/><Relationship Id="rId9"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69.bin"/><Relationship Id="rId3" Type="http://schemas.openxmlformats.org/officeDocument/2006/relationships/hyperlink" Target="https://otp.tools.investis.com/clients/uk/paragon_group/rns1/regulatory-story.aspx?cid=1285&amp;newsid=1345190" TargetMode="External"/><Relationship Id="rId7" Type="http://schemas.openxmlformats.org/officeDocument/2006/relationships/hyperlink" Target="https://protect-eu.mimecast.com/s/GQAHC60N2crGn7VHp3gPx?domain=londonstockexchange.com"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hyperlink" Target="https://protect-eu.mimecast.com/s/wcu_C4934SBRnRxHOTIMr?domain=londonstockexchange.com" TargetMode="External"/><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www.paragonbankinggroup.co.uk/" TargetMode="External"/><Relationship Id="rId9"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8" Type="http://schemas.openxmlformats.org/officeDocument/2006/relationships/printerSettings" Target="../printerSettings/printerSettings70.bin"/><Relationship Id="rId3" Type="http://schemas.openxmlformats.org/officeDocument/2006/relationships/hyperlink" Target="https://otp.tools.investis.com/clients/uk/paragon_group/rns1/regulatory-story.aspx?cid=1285&amp;newsid=1345190" TargetMode="External"/><Relationship Id="rId7" Type="http://schemas.openxmlformats.org/officeDocument/2006/relationships/hyperlink" Target="https://protect-eu.mimecast.com/s/GQAHC60N2crGn7VHp3gPx?domain=londonstockexchange.com"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hyperlink" Target="https://protect-eu.mimecast.com/s/wcu_C4934SBRnRxHOTIMr?domain=londonstockexchange.com" TargetMode="External"/><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www.paragonbankinggroup.co.uk/" TargetMode="External"/><Relationship Id="rId9" Type="http://schemas.openxmlformats.org/officeDocument/2006/relationships/drawing" Target="../drawings/drawing70.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9CB31"/>
  </sheetPr>
  <dimension ref="A1:Y277"/>
  <sheetViews>
    <sheetView showGridLines="0" showOutlineSymbols="0" topLeftCell="C16" zoomScale="70" zoomScaleNormal="70" workbookViewId="0">
      <selection activeCell="Y34" sqref="Y34"/>
    </sheetView>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0.59589999999999999</v>
      </c>
      <c r="T16" s="17" t="s">
        <v>145</v>
      </c>
      <c r="U16" s="137">
        <v>0.40410000000000001</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39045</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107</v>
      </c>
      <c r="U20" s="8"/>
      <c r="V20" s="12"/>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2"/>
      <c r="V22" s="12"/>
      <c r="W22" s="8"/>
      <c r="X22" s="5"/>
    </row>
    <row r="23" spans="1:24"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27"/>
      <c r="V23" s="27"/>
      <c r="W23" s="25"/>
      <c r="X23" s="5"/>
    </row>
    <row r="24" spans="1:24"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27"/>
      <c r="V24" s="27"/>
      <c r="W24" s="25"/>
      <c r="X24" s="5"/>
    </row>
    <row r="25" spans="1:24"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27"/>
      <c r="V25" s="27"/>
      <c r="W25" s="25"/>
      <c r="X25" s="5"/>
    </row>
    <row r="26" spans="1:24"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27"/>
      <c r="V26" s="27"/>
      <c r="W26" s="25"/>
      <c r="X26" s="5"/>
    </row>
    <row r="27" spans="1:24"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27"/>
      <c r="V27" s="27"/>
      <c r="W27" s="25"/>
      <c r="X27" s="5"/>
    </row>
    <row r="28" spans="1:24"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27"/>
      <c r="V28" s="27"/>
      <c r="W28" s="25"/>
      <c r="X28" s="5"/>
    </row>
    <row r="29" spans="1:24"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33"/>
      <c r="V29" s="31"/>
      <c r="W29" s="34"/>
      <c r="X29" s="5"/>
    </row>
    <row r="30" spans="1:24"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33"/>
      <c r="V30" s="31"/>
      <c r="W30" s="34"/>
      <c r="X30" s="5"/>
    </row>
    <row r="31" spans="1:24"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4" ht="15.6" x14ac:dyDescent="0.3">
      <c r="A32" s="24"/>
      <c r="B32" s="25" t="s">
        <v>137</v>
      </c>
      <c r="C32" s="32"/>
      <c r="D32" s="146">
        <v>0</v>
      </c>
      <c r="E32" s="32"/>
      <c r="F32" s="31">
        <v>0</v>
      </c>
      <c r="G32" s="31"/>
      <c r="H32" s="124">
        <v>0</v>
      </c>
      <c r="I32" s="124"/>
      <c r="J32" s="146">
        <v>0</v>
      </c>
      <c r="K32" s="31"/>
      <c r="L32" s="31">
        <v>0</v>
      </c>
      <c r="M32" s="31"/>
      <c r="N32" s="124">
        <v>0</v>
      </c>
      <c r="O32" s="31"/>
      <c r="P32" s="31">
        <v>0</v>
      </c>
      <c r="Q32" s="31"/>
      <c r="R32" s="124">
        <v>0</v>
      </c>
      <c r="S32" s="31"/>
      <c r="T32" s="31"/>
      <c r="U32" s="33"/>
      <c r="V32" s="31"/>
      <c r="W32" s="34"/>
      <c r="X32" s="5"/>
    </row>
    <row r="33" spans="1:25" ht="15.6" x14ac:dyDescent="0.3">
      <c r="A33" s="24"/>
      <c r="B33" s="29" t="s">
        <v>139</v>
      </c>
      <c r="C33" s="32"/>
      <c r="D33" s="151">
        <f>D37*D31</f>
        <v>1471110</v>
      </c>
      <c r="E33" s="36"/>
      <c r="F33" s="35">
        <f>F37*F31</f>
        <v>142207.29999999999</v>
      </c>
      <c r="G33" s="35"/>
      <c r="H33" s="125">
        <f>H31*H37</f>
        <v>240281.3</v>
      </c>
      <c r="I33" s="125"/>
      <c r="J33" s="151">
        <f>J37*J31</f>
        <v>305010.13999999996</v>
      </c>
      <c r="K33" s="35"/>
      <c r="L33" s="35">
        <f>L31*L37</f>
        <v>25000</v>
      </c>
      <c r="M33" s="35"/>
      <c r="N33" s="125">
        <f>N31*N37</f>
        <v>126000</v>
      </c>
      <c r="O33" s="35"/>
      <c r="P33" s="35">
        <f>P31*P37</f>
        <v>17000</v>
      </c>
      <c r="Q33" s="35"/>
      <c r="R33" s="125">
        <f>R31*R37</f>
        <v>106000</v>
      </c>
      <c r="S33" s="31"/>
      <c r="T33" s="31"/>
      <c r="U33" s="33"/>
      <c r="V33" s="31"/>
      <c r="W33" s="34"/>
      <c r="X33" s="5"/>
    </row>
    <row r="34" spans="1:25"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c r="Y34" s="622">
        <f>+V147/V34</f>
        <v>1.9E-2</v>
      </c>
    </row>
    <row r="35" spans="1:25" ht="15.6" x14ac:dyDescent="0.3">
      <c r="A35" s="28"/>
      <c r="B35" s="25" t="s">
        <v>294</v>
      </c>
      <c r="C35" s="126"/>
      <c r="D35" s="31">
        <v>0</v>
      </c>
      <c r="E35" s="32"/>
      <c r="F35" s="31">
        <v>0</v>
      </c>
      <c r="G35" s="31"/>
      <c r="H35" s="31">
        <v>0</v>
      </c>
      <c r="I35" s="31"/>
      <c r="J35" s="31">
        <v>0</v>
      </c>
      <c r="K35" s="31"/>
      <c r="L35" s="31">
        <v>0</v>
      </c>
      <c r="M35" s="31"/>
      <c r="N35" s="31">
        <v>0</v>
      </c>
      <c r="O35" s="31"/>
      <c r="P35" s="31">
        <v>0</v>
      </c>
      <c r="Q35" s="31"/>
      <c r="R35" s="31">
        <v>0</v>
      </c>
      <c r="S35" s="31"/>
      <c r="T35" s="31"/>
      <c r="U35" s="33"/>
      <c r="V35" s="154">
        <f>SUM(C35:R35)</f>
        <v>0</v>
      </c>
      <c r="W35" s="34"/>
      <c r="X35" s="5"/>
    </row>
    <row r="36" spans="1:25" ht="15.6" x14ac:dyDescent="0.3">
      <c r="A36" s="28"/>
      <c r="B36" s="29" t="s">
        <v>295</v>
      </c>
      <c r="C36" s="126"/>
      <c r="D36" s="35">
        <f>D34*D37</f>
        <v>799515.92057999992</v>
      </c>
      <c r="E36" s="36"/>
      <c r="F36" s="35">
        <f>F34*F37</f>
        <v>142207.29999999999</v>
      </c>
      <c r="G36" s="35"/>
      <c r="H36" s="35">
        <f>H34*H37</f>
        <v>165711.71484</v>
      </c>
      <c r="I36" s="35"/>
      <c r="J36" s="35">
        <f>J34*J37</f>
        <v>165766.63627999998</v>
      </c>
      <c r="K36" s="35"/>
      <c r="L36" s="35">
        <f>+L34</f>
        <v>25000</v>
      </c>
      <c r="M36" s="35"/>
      <c r="N36" s="35">
        <f>+N34</f>
        <v>86897</v>
      </c>
      <c r="O36" s="35"/>
      <c r="P36" s="35">
        <f>+P34</f>
        <v>17000</v>
      </c>
      <c r="Q36" s="35"/>
      <c r="R36" s="35">
        <f>+R34</f>
        <v>73103</v>
      </c>
      <c r="S36" s="128"/>
      <c r="T36" s="128"/>
      <c r="U36" s="33"/>
      <c r="V36" s="155">
        <f>SUM(C36:R36)</f>
        <v>1475201.5717</v>
      </c>
      <c r="W36" s="34"/>
      <c r="X36" s="5"/>
    </row>
    <row r="37" spans="1:25" ht="15.6" x14ac:dyDescent="0.3">
      <c r="A37" s="24"/>
      <c r="B37" s="122" t="s">
        <v>135</v>
      </c>
      <c r="C37" s="25"/>
      <c r="D37" s="135">
        <v>0.98073999999999995</v>
      </c>
      <c r="E37" s="136"/>
      <c r="F37" s="135">
        <v>0.98073999999999995</v>
      </c>
      <c r="G37" s="135"/>
      <c r="H37" s="135">
        <v>0.98073999999999995</v>
      </c>
      <c r="I37" s="135"/>
      <c r="J37" s="135">
        <v>0.98073999999999995</v>
      </c>
      <c r="K37" s="135"/>
      <c r="L37" s="135">
        <v>1</v>
      </c>
      <c r="M37" s="135"/>
      <c r="N37" s="135">
        <v>1</v>
      </c>
      <c r="O37" s="135"/>
      <c r="P37" s="135">
        <v>1</v>
      </c>
      <c r="Q37" s="135"/>
      <c r="R37" s="135">
        <v>1</v>
      </c>
      <c r="S37" s="30"/>
      <c r="T37" s="30"/>
      <c r="U37" s="27"/>
      <c r="V37" s="27"/>
      <c r="W37" s="25"/>
      <c r="X37" s="5"/>
    </row>
    <row r="38" spans="1:25" ht="15.6" x14ac:dyDescent="0.3">
      <c r="A38" s="24"/>
      <c r="B38" s="122" t="s">
        <v>136</v>
      </c>
      <c r="C38" s="25"/>
      <c r="D38" s="135">
        <v>1</v>
      </c>
      <c r="E38" s="136"/>
      <c r="F38" s="135">
        <v>1</v>
      </c>
      <c r="G38" s="135"/>
      <c r="H38" s="135">
        <v>1</v>
      </c>
      <c r="I38" s="135"/>
      <c r="J38" s="135">
        <v>1</v>
      </c>
      <c r="K38" s="135"/>
      <c r="L38" s="135">
        <v>1</v>
      </c>
      <c r="M38" s="135"/>
      <c r="N38" s="135">
        <v>1</v>
      </c>
      <c r="O38" s="135"/>
      <c r="P38" s="135">
        <v>1</v>
      </c>
      <c r="Q38" s="135"/>
      <c r="R38" s="135">
        <v>1</v>
      </c>
      <c r="S38" s="39"/>
      <c r="T38" s="38"/>
      <c r="U38" s="27"/>
      <c r="V38" s="39"/>
      <c r="W38" s="25"/>
      <c r="X38" s="5"/>
    </row>
    <row r="39" spans="1:25" ht="15.6" x14ac:dyDescent="0.3">
      <c r="A39" s="24"/>
      <c r="B39" s="25" t="s">
        <v>11</v>
      </c>
      <c r="C39" s="25"/>
      <c r="D39" s="30" t="s">
        <v>234</v>
      </c>
      <c r="E39" s="25"/>
      <c r="F39" s="30" t="s">
        <v>235</v>
      </c>
      <c r="G39" s="30"/>
      <c r="H39" s="30" t="s">
        <v>235</v>
      </c>
      <c r="I39" s="30"/>
      <c r="J39" s="30" t="s">
        <v>236</v>
      </c>
      <c r="K39" s="30"/>
      <c r="L39" s="30" t="s">
        <v>237</v>
      </c>
      <c r="M39" s="30"/>
      <c r="N39" s="30" t="s">
        <v>237</v>
      </c>
      <c r="O39" s="30"/>
      <c r="P39" s="30" t="s">
        <v>238</v>
      </c>
      <c r="Q39" s="30"/>
      <c r="R39" s="30" t="s">
        <v>238</v>
      </c>
      <c r="S39" s="39"/>
      <c r="T39" s="38"/>
      <c r="U39" s="27"/>
      <c r="V39" s="27"/>
      <c r="W39" s="25"/>
      <c r="X39" s="5"/>
    </row>
    <row r="40" spans="1:25" ht="15.6" x14ac:dyDescent="0.3">
      <c r="A40" s="24"/>
      <c r="B40" s="25" t="s">
        <v>12</v>
      </c>
      <c r="C40" s="25"/>
      <c r="D40" s="38">
        <v>5.3199999999999997E-2</v>
      </c>
      <c r="E40" s="25"/>
      <c r="F40" s="38">
        <v>4.8880100000000003E-2</v>
      </c>
      <c r="G40" s="39"/>
      <c r="H40" s="38">
        <v>3.2759999999999997E-2</v>
      </c>
      <c r="I40" s="38"/>
      <c r="J40" s="38">
        <v>5.62835E-2</v>
      </c>
      <c r="K40" s="39"/>
      <c r="L40" s="38">
        <v>5.0080100000000002E-2</v>
      </c>
      <c r="M40" s="39"/>
      <c r="N40" s="38">
        <v>3.3959999999999997E-2</v>
      </c>
      <c r="O40" s="39"/>
      <c r="P40" s="38">
        <v>5.2280100000000003E-2</v>
      </c>
      <c r="Q40" s="39"/>
      <c r="R40" s="38">
        <v>3.6159999999999998E-2</v>
      </c>
      <c r="S40" s="39"/>
      <c r="T40" s="38"/>
      <c r="U40" s="27"/>
      <c r="V40" s="30"/>
      <c r="W40" s="25"/>
      <c r="X40" s="5"/>
    </row>
    <row r="41" spans="1:25" ht="15.6" x14ac:dyDescent="0.3">
      <c r="A41" s="24"/>
      <c r="B41" s="25" t="s">
        <v>13</v>
      </c>
      <c r="C41" s="25"/>
      <c r="D41" s="38">
        <v>0</v>
      </c>
      <c r="E41" s="25"/>
      <c r="F41" s="38">
        <v>0</v>
      </c>
      <c r="G41" s="39"/>
      <c r="H41" s="38">
        <v>0</v>
      </c>
      <c r="I41" s="38"/>
      <c r="J41" s="38">
        <v>0</v>
      </c>
      <c r="K41" s="38"/>
      <c r="L41" s="38">
        <v>0</v>
      </c>
      <c r="M41" s="38"/>
      <c r="N41" s="38">
        <v>0</v>
      </c>
      <c r="O41" s="38"/>
      <c r="P41" s="38">
        <v>0</v>
      </c>
      <c r="Q41" s="38"/>
      <c r="R41" s="38">
        <v>0</v>
      </c>
      <c r="S41" s="39"/>
      <c r="T41" s="38"/>
      <c r="U41" s="27"/>
      <c r="V41" s="39" t="s">
        <v>199</v>
      </c>
      <c r="W41" s="25"/>
      <c r="X41" s="5"/>
    </row>
    <row r="42" spans="1:25" ht="15.6" x14ac:dyDescent="0.3">
      <c r="A42" s="24"/>
      <c r="B42" s="25" t="s">
        <v>296</v>
      </c>
      <c r="C42" s="25"/>
      <c r="D42" s="30" t="s">
        <v>268</v>
      </c>
      <c r="E42" s="25"/>
      <c r="F42" s="30" t="s">
        <v>235</v>
      </c>
      <c r="G42" s="30"/>
      <c r="H42" s="30" t="s">
        <v>267</v>
      </c>
      <c r="I42" s="30"/>
      <c r="J42" s="30" t="s">
        <v>266</v>
      </c>
      <c r="K42" s="30"/>
      <c r="L42" s="30" t="s">
        <v>237</v>
      </c>
      <c r="M42" s="30"/>
      <c r="N42" s="30" t="s">
        <v>265</v>
      </c>
      <c r="O42" s="30"/>
      <c r="P42" s="30" t="s">
        <v>238</v>
      </c>
      <c r="Q42" s="30"/>
      <c r="R42" s="30" t="s">
        <v>240</v>
      </c>
      <c r="S42" s="39"/>
      <c r="T42" s="38"/>
      <c r="U42" s="27"/>
      <c r="V42" s="27"/>
      <c r="W42" s="25"/>
      <c r="X42" s="5"/>
    </row>
    <row r="43" spans="1:25" ht="15.6" x14ac:dyDescent="0.3">
      <c r="A43" s="24"/>
      <c r="B43" s="25" t="s">
        <v>297</v>
      </c>
      <c r="C43" s="110"/>
      <c r="D43" s="38">
        <v>4.7670700000000003E-2</v>
      </c>
      <c r="E43" s="38"/>
      <c r="F43" s="38">
        <f>+F40</f>
        <v>4.8880100000000003E-2</v>
      </c>
      <c r="G43" s="38"/>
      <c r="H43" s="38">
        <v>4.8841099999999998E-2</v>
      </c>
      <c r="I43" s="38"/>
      <c r="J43" s="38">
        <v>4.8962100000000001E-2</v>
      </c>
      <c r="K43" s="38"/>
      <c r="L43" s="38">
        <f>+L40</f>
        <v>5.0080100000000002E-2</v>
      </c>
      <c r="M43" s="38"/>
      <c r="N43" s="38">
        <v>5.0181099999999999E-2</v>
      </c>
      <c r="O43" s="38"/>
      <c r="P43" s="38">
        <f>+P40</f>
        <v>5.2280100000000003E-2</v>
      </c>
      <c r="Q43" s="39"/>
      <c r="R43" s="38">
        <v>5.2516100000000003E-2</v>
      </c>
      <c r="S43" s="30"/>
      <c r="T43" s="30"/>
      <c r="U43" s="27"/>
      <c r="V43" s="39">
        <f>SUMPRODUCT(D43:R43,D34:R34)/V34</f>
        <v>4.8538814772447772E-2</v>
      </c>
      <c r="W43" s="25"/>
      <c r="X43" s="5"/>
    </row>
    <row r="44" spans="1:25" ht="15.6" x14ac:dyDescent="0.3">
      <c r="A44" s="24"/>
      <c r="B44" s="25" t="s">
        <v>298</v>
      </c>
      <c r="C44" s="110"/>
      <c r="D44" s="38">
        <v>0</v>
      </c>
      <c r="E44" s="25"/>
      <c r="F44" s="38">
        <v>0</v>
      </c>
      <c r="G44" s="39"/>
      <c r="H44" s="38">
        <v>0</v>
      </c>
      <c r="I44" s="38"/>
      <c r="J44" s="38">
        <v>0</v>
      </c>
      <c r="K44" s="39"/>
      <c r="L44" s="38">
        <v>0</v>
      </c>
      <c r="M44" s="39"/>
      <c r="N44" s="38">
        <v>0</v>
      </c>
      <c r="O44" s="39"/>
      <c r="P44" s="38">
        <v>0</v>
      </c>
      <c r="Q44" s="39"/>
      <c r="R44" s="38">
        <v>0</v>
      </c>
      <c r="S44" s="30"/>
      <c r="T44" s="30"/>
      <c r="U44" s="27"/>
      <c r="V44" s="27"/>
      <c r="W44" s="25"/>
      <c r="X44" s="5"/>
    </row>
    <row r="45" spans="1:25"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27"/>
      <c r="V45" s="27"/>
      <c r="W45" s="25"/>
      <c r="X45" s="5"/>
    </row>
    <row r="46" spans="1:25"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27"/>
      <c r="V46" s="27"/>
      <c r="W46" s="25"/>
      <c r="X46" s="5"/>
    </row>
    <row r="47" spans="1:25"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5"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0.1586551607301947</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39036</v>
      </c>
      <c r="W56" s="25"/>
      <c r="X56" s="5"/>
    </row>
    <row r="57" spans="1:25" ht="15.6" x14ac:dyDescent="0.3">
      <c r="A57" s="24"/>
      <c r="B57" s="25" t="s">
        <v>126</v>
      </c>
      <c r="C57" s="25"/>
      <c r="D57" s="25"/>
      <c r="E57" s="25"/>
      <c r="F57" s="25"/>
      <c r="G57" s="25"/>
      <c r="H57" s="58"/>
      <c r="I57" s="58"/>
      <c r="J57" s="58"/>
      <c r="K57" s="58"/>
      <c r="L57" s="58"/>
      <c r="M57" s="58"/>
      <c r="N57" s="58"/>
      <c r="O57" s="58"/>
      <c r="P57" s="58"/>
      <c r="Q57" s="58"/>
      <c r="R57" s="58"/>
      <c r="S57" s="58"/>
      <c r="T57" s="45"/>
      <c r="U57" s="46"/>
      <c r="V57" s="45"/>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118</v>
      </c>
      <c r="S58" s="25"/>
      <c r="T58" s="45">
        <v>38918</v>
      </c>
      <c r="U58" s="46"/>
      <c r="V58" s="45">
        <v>39035</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39022</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229</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1500162</v>
      </c>
      <c r="O69" s="34"/>
      <c r="P69" s="34">
        <f>25000-42+8435+533+2</f>
        <v>33928</v>
      </c>
      <c r="Q69" s="34"/>
      <c r="R69" s="34">
        <f>8435+533</f>
        <v>8968</v>
      </c>
      <c r="S69" s="34"/>
      <c r="T69" s="34">
        <v>0</v>
      </c>
      <c r="U69" s="34"/>
      <c r="V69" s="53">
        <f>+L69-P69+R69-T69</f>
        <v>1475202</v>
      </c>
      <c r="W69" s="25"/>
      <c r="X69" s="5"/>
    </row>
    <row r="70" spans="1:24" ht="15.6" x14ac:dyDescent="0.3">
      <c r="A70" s="24"/>
      <c r="B70" s="25" t="s">
        <v>20</v>
      </c>
      <c r="C70" s="34"/>
      <c r="D70" s="34"/>
      <c r="E70" s="34"/>
      <c r="F70" s="34"/>
      <c r="G70" s="34"/>
      <c r="H70" s="34"/>
      <c r="I70" s="34"/>
      <c r="J70" s="34"/>
      <c r="K70" s="34"/>
      <c r="L70" s="34">
        <v>42</v>
      </c>
      <c r="M70" s="34"/>
      <c r="N70" s="53">
        <v>42</v>
      </c>
      <c r="O70" s="34"/>
      <c r="P70" s="34">
        <v>42</v>
      </c>
      <c r="Q70" s="34"/>
      <c r="R70" s="34">
        <v>0</v>
      </c>
      <c r="S70" s="34"/>
      <c r="T70" s="34">
        <v>0</v>
      </c>
      <c r="U70" s="34"/>
      <c r="V70" s="53">
        <f>+L70-P70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1500204</v>
      </c>
      <c r="O72" s="34"/>
      <c r="P72" s="34">
        <f>SUM(P69:P71)</f>
        <v>33970</v>
      </c>
      <c r="Q72" s="34"/>
      <c r="R72" s="34">
        <f>SUM(R69:R71)</f>
        <v>8968</v>
      </c>
      <c r="S72" s="34"/>
      <c r="T72" s="34">
        <f>SUM(T69:T71)</f>
        <v>0</v>
      </c>
      <c r="U72" s="34"/>
      <c r="V72" s="54">
        <f>SUM(V69:V71)</f>
        <v>1475202</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1</v>
      </c>
      <c r="O83" s="34"/>
      <c r="P83" s="34">
        <v>-1</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1500205</v>
      </c>
      <c r="O85" s="34"/>
      <c r="P85" s="34"/>
      <c r="Q85" s="34"/>
      <c r="R85" s="34"/>
      <c r="S85" s="34"/>
      <c r="T85" s="54"/>
      <c r="U85" s="34"/>
      <c r="V85" s="54">
        <f>SUM(V72:V84)</f>
        <v>1475202</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+T194</f>
        <v>39021</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1</v>
      </c>
      <c r="U89" s="25"/>
      <c r="V89" s="53">
        <v>12</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v>33928</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18543+10056+395-2494-467+113+1</f>
        <v>26147</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245+60</f>
        <v>305</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192</v>
      </c>
      <c r="W93" s="25"/>
      <c r="X93" s="5"/>
    </row>
    <row r="94" spans="1:24" ht="15.6" x14ac:dyDescent="0.3">
      <c r="A94" s="24"/>
      <c r="B94" s="25" t="s">
        <v>140</v>
      </c>
      <c r="C94" s="25"/>
      <c r="D94" s="25"/>
      <c r="E94" s="25"/>
      <c r="F94" s="25"/>
      <c r="G94" s="25"/>
      <c r="H94" s="25"/>
      <c r="I94" s="25"/>
      <c r="J94" s="25"/>
      <c r="K94" s="25"/>
      <c r="L94" s="25"/>
      <c r="M94" s="25"/>
      <c r="N94" s="25"/>
      <c r="O94" s="25"/>
      <c r="P94" s="25"/>
      <c r="Q94" s="25"/>
      <c r="R94" s="25"/>
      <c r="S94" s="25"/>
      <c r="T94" s="34"/>
      <c r="U94" s="25"/>
      <c r="V94" s="53">
        <v>0</v>
      </c>
      <c r="W94" s="25"/>
      <c r="X94" s="5"/>
    </row>
    <row r="95" spans="1:24" ht="15.6" x14ac:dyDescent="0.3">
      <c r="A95" s="24"/>
      <c r="B95" s="25" t="s">
        <v>233</v>
      </c>
      <c r="C95" s="25"/>
      <c r="D95" s="25"/>
      <c r="E95" s="25"/>
      <c r="F95" s="25"/>
      <c r="G95" s="25"/>
      <c r="H95" s="25"/>
      <c r="I95" s="25"/>
      <c r="J95" s="25"/>
      <c r="K95" s="25"/>
      <c r="L95" s="25"/>
      <c r="M95" s="25"/>
      <c r="N95" s="25"/>
      <c r="O95" s="25"/>
      <c r="P95" s="25"/>
      <c r="Q95" s="25"/>
      <c r="R95" s="25"/>
      <c r="S95" s="25"/>
      <c r="T95" s="34"/>
      <c r="U95" s="25"/>
      <c r="V95" s="53">
        <v>5104</v>
      </c>
      <c r="W95" s="25"/>
      <c r="X95" s="5"/>
    </row>
    <row r="96" spans="1:24" ht="15.6" x14ac:dyDescent="0.3">
      <c r="A96" s="24"/>
      <c r="B96" s="25" t="s">
        <v>30</v>
      </c>
      <c r="C96" s="25"/>
      <c r="D96" s="25"/>
      <c r="E96" s="25"/>
      <c r="F96" s="25"/>
      <c r="G96" s="25"/>
      <c r="H96" s="25"/>
      <c r="I96" s="25"/>
      <c r="J96" s="25"/>
      <c r="K96" s="25"/>
      <c r="L96" s="25"/>
      <c r="M96" s="25"/>
      <c r="N96" s="25"/>
      <c r="O96" s="25"/>
      <c r="P96" s="25"/>
      <c r="Q96" s="25"/>
      <c r="R96" s="25"/>
      <c r="S96" s="25"/>
      <c r="T96" s="34">
        <f>SUM(T89:T95)</f>
        <v>33929</v>
      </c>
      <c r="U96" s="25"/>
      <c r="V96" s="54">
        <f>SUM(V89:V95)</f>
        <v>31760</v>
      </c>
      <c r="W96" s="25"/>
      <c r="X96" s="5"/>
    </row>
    <row r="97" spans="1:25" ht="15.6" x14ac:dyDescent="0.3">
      <c r="A97" s="24"/>
      <c r="B97" s="25" t="s">
        <v>166</v>
      </c>
      <c r="C97" s="25"/>
      <c r="D97" s="25"/>
      <c r="E97" s="25"/>
      <c r="F97" s="25"/>
      <c r="G97" s="25"/>
      <c r="H97" s="25"/>
      <c r="I97" s="25"/>
      <c r="J97" s="25"/>
      <c r="K97" s="25"/>
      <c r="L97" s="25"/>
      <c r="M97" s="25"/>
      <c r="N97" s="25"/>
      <c r="O97" s="25"/>
      <c r="P97" s="25"/>
      <c r="Q97" s="25"/>
      <c r="R97" s="25"/>
      <c r="S97" s="25"/>
      <c r="T97" s="34">
        <f>-V97</f>
        <v>-29</v>
      </c>
      <c r="U97" s="25"/>
      <c r="V97" s="54">
        <v>29</v>
      </c>
      <c r="W97" s="25"/>
      <c r="X97" s="5"/>
    </row>
    <row r="98" spans="1:25" ht="15.6" x14ac:dyDescent="0.3">
      <c r="A98" s="24"/>
      <c r="B98" s="25" t="s">
        <v>31</v>
      </c>
      <c r="C98" s="25"/>
      <c r="D98" s="25"/>
      <c r="E98" s="25"/>
      <c r="F98" s="25"/>
      <c r="G98" s="25"/>
      <c r="H98" s="25"/>
      <c r="I98" s="25"/>
      <c r="J98" s="25"/>
      <c r="K98" s="25"/>
      <c r="L98" s="25"/>
      <c r="M98" s="25"/>
      <c r="N98" s="25"/>
      <c r="O98" s="25"/>
      <c r="P98" s="25"/>
      <c r="Q98" s="25"/>
      <c r="R98" s="25"/>
      <c r="S98" s="25"/>
      <c r="T98" s="34">
        <f>-V98</f>
        <v>42</v>
      </c>
      <c r="U98" s="25"/>
      <c r="V98" s="53">
        <v>-42</v>
      </c>
      <c r="W98" s="25"/>
      <c r="X98" s="5"/>
    </row>
    <row r="99" spans="1:25" ht="15.6" x14ac:dyDescent="0.3">
      <c r="A99" s="24"/>
      <c r="B99" s="25" t="s">
        <v>32</v>
      </c>
      <c r="C99" s="25"/>
      <c r="D99" s="25"/>
      <c r="E99" s="25"/>
      <c r="F99" s="25"/>
      <c r="G99" s="25"/>
      <c r="H99" s="25"/>
      <c r="I99" s="25"/>
      <c r="J99" s="25"/>
      <c r="K99" s="25"/>
      <c r="L99" s="25"/>
      <c r="M99" s="25"/>
      <c r="N99" s="25"/>
      <c r="O99" s="25"/>
      <c r="P99" s="25"/>
      <c r="Q99" s="25"/>
      <c r="R99" s="25"/>
      <c r="S99" s="25"/>
      <c r="T99" s="34">
        <f>T96+T98+T97</f>
        <v>33942</v>
      </c>
      <c r="U99" s="25"/>
      <c r="V99" s="54">
        <f>V96+V98+V97</f>
        <v>31747</v>
      </c>
      <c r="W99" s="25"/>
      <c r="X99" s="5"/>
    </row>
    <row r="100" spans="1:25" ht="15.6" x14ac:dyDescent="0.3">
      <c r="A100" s="24"/>
      <c r="B100" s="118" t="s">
        <v>33</v>
      </c>
      <c r="C100" s="25"/>
      <c r="D100" s="25"/>
      <c r="E100" s="25"/>
      <c r="F100" s="25"/>
      <c r="G100" s="25"/>
      <c r="H100" s="25"/>
      <c r="I100" s="25"/>
      <c r="J100" s="25"/>
      <c r="K100" s="25"/>
      <c r="L100" s="25"/>
      <c r="M100" s="25"/>
      <c r="N100" s="25"/>
      <c r="O100" s="25"/>
      <c r="P100" s="25"/>
      <c r="Q100" s="25"/>
      <c r="R100" s="25"/>
      <c r="S100" s="25"/>
      <c r="T100" s="34"/>
      <c r="U100" s="25"/>
      <c r="V100" s="53"/>
      <c r="W100" s="25"/>
      <c r="X100" s="5"/>
    </row>
    <row r="101" spans="1:25" ht="15.6" x14ac:dyDescent="0.3">
      <c r="A101" s="24">
        <v>1</v>
      </c>
      <c r="B101" s="25" t="s">
        <v>34</v>
      </c>
      <c r="C101" s="25"/>
      <c r="D101" s="25"/>
      <c r="E101" s="25"/>
      <c r="F101" s="25"/>
      <c r="G101" s="25"/>
      <c r="H101" s="25"/>
      <c r="I101" s="25"/>
      <c r="J101" s="25"/>
      <c r="K101" s="25"/>
      <c r="L101" s="25"/>
      <c r="M101" s="25"/>
      <c r="N101" s="25"/>
      <c r="O101" s="25"/>
      <c r="P101" s="25"/>
      <c r="Q101" s="25"/>
      <c r="R101" s="25"/>
      <c r="S101" s="25"/>
      <c r="T101" s="25"/>
      <c r="U101" s="25"/>
      <c r="V101" s="53">
        <f>-2453-1492</f>
        <v>-3945</v>
      </c>
      <c r="W101" s="25"/>
      <c r="X101" s="5"/>
    </row>
    <row r="102" spans="1:25" ht="15.6" x14ac:dyDescent="0.3">
      <c r="A102" s="24">
        <f>+A101+1</f>
        <v>2</v>
      </c>
      <c r="B102" s="25" t="s">
        <v>259</v>
      </c>
      <c r="C102" s="25"/>
      <c r="D102" s="25"/>
      <c r="E102" s="25"/>
      <c r="F102" s="25"/>
      <c r="G102" s="25"/>
      <c r="H102" s="25"/>
      <c r="I102" s="25"/>
      <c r="J102" s="25"/>
      <c r="K102" s="25"/>
      <c r="L102" s="25"/>
      <c r="M102" s="25"/>
      <c r="N102" s="25"/>
      <c r="O102" s="25"/>
      <c r="P102" s="25"/>
      <c r="Q102" s="25"/>
      <c r="R102" s="25"/>
      <c r="S102" s="25"/>
      <c r="T102" s="25"/>
      <c r="U102" s="25"/>
      <c r="V102" s="53">
        <v>-2</v>
      </c>
      <c r="W102" s="25"/>
      <c r="X102" s="5"/>
    </row>
    <row r="103" spans="1:25" ht="15.6" x14ac:dyDescent="0.3">
      <c r="A103" s="24">
        <f>+A102+1</f>
        <v>3</v>
      </c>
      <c r="B103" s="25" t="s">
        <v>210</v>
      </c>
      <c r="C103" s="25"/>
      <c r="D103" s="25"/>
      <c r="E103" s="25"/>
      <c r="F103" s="25"/>
      <c r="G103" s="25"/>
      <c r="H103" s="25"/>
      <c r="I103" s="25"/>
      <c r="J103" s="25"/>
      <c r="K103" s="25"/>
      <c r="L103" s="25"/>
      <c r="M103" s="25"/>
      <c r="N103" s="25"/>
      <c r="O103" s="25"/>
      <c r="P103" s="25"/>
      <c r="Q103" s="25"/>
      <c r="R103" s="25"/>
      <c r="S103" s="25"/>
      <c r="T103" s="25"/>
      <c r="U103" s="25"/>
      <c r="V103" s="53">
        <f>-694-5-23</f>
        <v>-722</v>
      </c>
      <c r="W103" s="25"/>
      <c r="X103" s="5"/>
    </row>
    <row r="104" spans="1:25" ht="15.6" x14ac:dyDescent="0.3">
      <c r="A104" s="24" t="s">
        <v>132</v>
      </c>
      <c r="B104" s="25" t="s">
        <v>121</v>
      </c>
      <c r="C104" s="25"/>
      <c r="D104" s="25"/>
      <c r="E104" s="25"/>
      <c r="F104" s="25"/>
      <c r="G104" s="25"/>
      <c r="H104" s="25"/>
      <c r="I104" s="25"/>
      <c r="J104" s="25"/>
      <c r="K104" s="25"/>
      <c r="L104" s="25"/>
      <c r="M104" s="25"/>
      <c r="N104" s="25"/>
      <c r="O104" s="25"/>
      <c r="P104" s="25"/>
      <c r="Q104" s="25"/>
      <c r="R104" s="25"/>
      <c r="S104" s="25"/>
      <c r="T104" s="25"/>
      <c r="U104" s="25"/>
      <c r="V104" s="53">
        <v>-694</v>
      </c>
      <c r="W104" s="25"/>
      <c r="X104" s="5"/>
    </row>
    <row r="105" spans="1:25" ht="15.6" x14ac:dyDescent="0.3">
      <c r="A105" s="24" t="s">
        <v>133</v>
      </c>
      <c r="B105" s="25" t="s">
        <v>256</v>
      </c>
      <c r="C105" s="25"/>
      <c r="D105" s="25"/>
      <c r="E105" s="25"/>
      <c r="F105" s="25"/>
      <c r="G105" s="25"/>
      <c r="H105" s="25"/>
      <c r="I105" s="25"/>
      <c r="J105" s="25"/>
      <c r="K105" s="25"/>
      <c r="L105" s="25"/>
      <c r="M105" s="25"/>
      <c r="N105" s="25"/>
      <c r="O105" s="25"/>
      <c r="P105" s="25"/>
      <c r="Q105" s="25"/>
      <c r="R105" s="25"/>
      <c r="S105" s="25"/>
      <c r="T105" s="25"/>
      <c r="U105" s="25"/>
      <c r="V105" s="53">
        <f>-12564-2667-2676</f>
        <v>-17907</v>
      </c>
      <c r="W105" s="25"/>
      <c r="X105" s="5"/>
      <c r="Y105" s="109"/>
    </row>
    <row r="106" spans="1:25" ht="15.6" x14ac:dyDescent="0.3">
      <c r="A106" s="24" t="s">
        <v>155</v>
      </c>
      <c r="B106" s="25" t="s">
        <v>190</v>
      </c>
      <c r="C106" s="25"/>
      <c r="D106" s="25"/>
      <c r="E106" s="25"/>
      <c r="F106" s="25"/>
      <c r="G106" s="25"/>
      <c r="H106" s="25"/>
      <c r="I106" s="25"/>
      <c r="J106" s="25"/>
      <c r="K106" s="25"/>
      <c r="L106" s="25"/>
      <c r="M106" s="25"/>
      <c r="N106" s="25"/>
      <c r="O106" s="25"/>
      <c r="P106" s="25"/>
      <c r="Q106" s="25"/>
      <c r="R106" s="25"/>
      <c r="S106" s="25"/>
      <c r="T106" s="25"/>
      <c r="U106" s="25"/>
      <c r="V106" s="53">
        <v>-2291</v>
      </c>
      <c r="W106" s="25"/>
      <c r="X106" s="5"/>
    </row>
    <row r="107" spans="1:25" ht="15.6" x14ac:dyDescent="0.3">
      <c r="A107" s="24" t="s">
        <v>211</v>
      </c>
      <c r="B107" s="25" t="s">
        <v>191</v>
      </c>
      <c r="C107" s="25"/>
      <c r="D107" s="25"/>
      <c r="E107" s="25"/>
      <c r="F107" s="25"/>
      <c r="G107" s="25"/>
      <c r="H107" s="25"/>
      <c r="I107" s="25"/>
      <c r="J107" s="25"/>
      <c r="K107" s="25"/>
      <c r="L107" s="25"/>
      <c r="M107" s="25"/>
      <c r="N107" s="25"/>
      <c r="O107" s="25"/>
      <c r="P107" s="25"/>
      <c r="Q107" s="25"/>
      <c r="R107" s="25"/>
      <c r="S107" s="25"/>
      <c r="T107" s="25"/>
      <c r="U107" s="25"/>
      <c r="V107" s="53">
        <v>-1410</v>
      </c>
      <c r="W107" s="25"/>
      <c r="X107" s="5"/>
      <c r="Y107" s="109"/>
    </row>
    <row r="108" spans="1:25" ht="15.6" x14ac:dyDescent="0.3">
      <c r="A108" s="24" t="s">
        <v>212</v>
      </c>
      <c r="B108" s="25" t="s">
        <v>192</v>
      </c>
      <c r="C108" s="25"/>
      <c r="D108" s="25"/>
      <c r="E108" s="25"/>
      <c r="F108" s="25"/>
      <c r="G108" s="25"/>
      <c r="H108" s="25"/>
      <c r="I108" s="25"/>
      <c r="J108" s="25"/>
      <c r="K108" s="25"/>
      <c r="L108" s="25"/>
      <c r="M108" s="25"/>
      <c r="N108" s="25"/>
      <c r="O108" s="25"/>
      <c r="P108" s="25"/>
      <c r="Q108" s="25"/>
      <c r="R108" s="25"/>
      <c r="S108" s="25"/>
      <c r="T108" s="25"/>
      <c r="U108" s="25"/>
      <c r="V108" s="53">
        <v>-404</v>
      </c>
      <c r="W108" s="25"/>
      <c r="X108" s="5"/>
      <c r="Y108" s="109"/>
    </row>
    <row r="109" spans="1:25" ht="15.6" x14ac:dyDescent="0.3">
      <c r="A109" s="24" t="s">
        <v>213</v>
      </c>
      <c r="B109" s="25" t="s">
        <v>202</v>
      </c>
      <c r="C109" s="25"/>
      <c r="D109" s="25"/>
      <c r="E109" s="25"/>
      <c r="F109" s="25"/>
      <c r="G109" s="25"/>
      <c r="H109" s="25"/>
      <c r="I109" s="25"/>
      <c r="J109" s="25"/>
      <c r="K109" s="25"/>
      <c r="L109" s="25"/>
      <c r="M109" s="25"/>
      <c r="N109" s="25"/>
      <c r="O109" s="25"/>
      <c r="P109" s="25"/>
      <c r="Q109" s="25"/>
      <c r="R109" s="25"/>
      <c r="S109" s="25"/>
      <c r="T109" s="25"/>
      <c r="U109" s="25"/>
      <c r="V109" s="53">
        <v>-1241</v>
      </c>
      <c r="W109" s="25"/>
      <c r="X109" s="5"/>
      <c r="Y109" s="109"/>
    </row>
    <row r="110" spans="1:25" ht="15.6" x14ac:dyDescent="0.3">
      <c r="A110" s="24" t="s">
        <v>258</v>
      </c>
      <c r="B110" s="25" t="s">
        <v>257</v>
      </c>
      <c r="C110" s="25"/>
      <c r="D110" s="25"/>
      <c r="E110" s="25"/>
      <c r="F110" s="25"/>
      <c r="G110" s="25"/>
      <c r="H110" s="25"/>
      <c r="I110" s="25"/>
      <c r="J110" s="25"/>
      <c r="K110" s="25"/>
      <c r="L110" s="25"/>
      <c r="M110" s="25"/>
      <c r="N110" s="25"/>
      <c r="O110" s="25"/>
      <c r="P110" s="25"/>
      <c r="Q110" s="25"/>
      <c r="R110" s="25"/>
      <c r="S110" s="25"/>
      <c r="T110" s="25"/>
      <c r="U110" s="25"/>
      <c r="V110" s="53">
        <v>-287</v>
      </c>
      <c r="W110" s="25"/>
      <c r="X110" s="5"/>
      <c r="Y110" s="109"/>
    </row>
    <row r="111" spans="1:25" ht="15.6" x14ac:dyDescent="0.3">
      <c r="A111" s="24">
        <v>7</v>
      </c>
      <c r="B111" s="25" t="s">
        <v>35</v>
      </c>
      <c r="C111" s="25"/>
      <c r="D111" s="25"/>
      <c r="E111" s="25"/>
      <c r="F111" s="25"/>
      <c r="G111" s="25"/>
      <c r="H111" s="25"/>
      <c r="I111" s="25"/>
      <c r="J111" s="25"/>
      <c r="K111" s="25"/>
      <c r="L111" s="25"/>
      <c r="M111" s="25"/>
      <c r="N111" s="25"/>
      <c r="O111" s="25"/>
      <c r="P111" s="25"/>
      <c r="Q111" s="25"/>
      <c r="R111" s="25"/>
      <c r="S111" s="25"/>
      <c r="T111" s="25"/>
      <c r="U111" s="25"/>
      <c r="V111" s="53">
        <v>-10</v>
      </c>
      <c r="W111" s="25"/>
      <c r="X111" s="5"/>
    </row>
    <row r="112" spans="1:25" ht="15.6" x14ac:dyDescent="0.3">
      <c r="A112" s="24">
        <f t="shared" ref="A112:A117" si="0">+A111+1</f>
        <v>8</v>
      </c>
      <c r="B112" s="25" t="s">
        <v>46</v>
      </c>
      <c r="C112" s="25"/>
      <c r="D112" s="25"/>
      <c r="E112" s="25"/>
      <c r="F112" s="25"/>
      <c r="G112" s="25"/>
      <c r="H112" s="25"/>
      <c r="I112" s="25"/>
      <c r="J112" s="25"/>
      <c r="K112" s="25"/>
      <c r="L112" s="25"/>
      <c r="M112" s="25"/>
      <c r="N112" s="25"/>
      <c r="O112" s="25"/>
      <c r="P112" s="25"/>
      <c r="Q112" s="25"/>
      <c r="R112" s="25"/>
      <c r="S112" s="25"/>
      <c r="T112" s="25"/>
      <c r="U112" s="25"/>
      <c r="V112" s="53">
        <v>0</v>
      </c>
      <c r="W112" s="25"/>
      <c r="X112" s="5"/>
    </row>
    <row r="113" spans="1:24" ht="15.6" x14ac:dyDescent="0.3">
      <c r="A113" s="24">
        <f t="shared" si="0"/>
        <v>9</v>
      </c>
      <c r="B113" s="25" t="s">
        <v>130</v>
      </c>
      <c r="C113" s="25"/>
      <c r="D113" s="25"/>
      <c r="E113" s="25"/>
      <c r="F113" s="25"/>
      <c r="G113" s="25"/>
      <c r="H113" s="25"/>
      <c r="I113" s="25"/>
      <c r="J113" s="25"/>
      <c r="K113" s="25"/>
      <c r="L113" s="25"/>
      <c r="M113" s="25"/>
      <c r="N113" s="25"/>
      <c r="O113" s="25"/>
      <c r="P113" s="25"/>
      <c r="Q113" s="25"/>
      <c r="R113" s="25"/>
      <c r="S113" s="25"/>
      <c r="T113" s="25"/>
      <c r="U113" s="25"/>
      <c r="V113" s="53">
        <v>0</v>
      </c>
      <c r="W113" s="25"/>
      <c r="X113" s="5"/>
    </row>
    <row r="114" spans="1:24" ht="15.6" x14ac:dyDescent="0.3">
      <c r="A114" s="24">
        <f t="shared" si="0"/>
        <v>10</v>
      </c>
      <c r="B114" s="25" t="s">
        <v>36</v>
      </c>
      <c r="C114" s="25"/>
      <c r="D114" s="25"/>
      <c r="E114" s="25"/>
      <c r="F114" s="25"/>
      <c r="G114" s="25"/>
      <c r="H114" s="25"/>
      <c r="I114" s="25"/>
      <c r="J114" s="25"/>
      <c r="K114" s="25"/>
      <c r="L114" s="25"/>
      <c r="M114" s="25"/>
      <c r="N114" s="25"/>
      <c r="O114" s="25"/>
      <c r="P114" s="25"/>
      <c r="Q114" s="25"/>
      <c r="R114" s="25"/>
      <c r="S114" s="25"/>
      <c r="T114" s="25"/>
      <c r="U114" s="25"/>
      <c r="V114" s="53">
        <v>0</v>
      </c>
      <c r="W114" s="25"/>
      <c r="X114" s="5"/>
    </row>
    <row r="115" spans="1:24" ht="15.6" x14ac:dyDescent="0.3">
      <c r="A115" s="24">
        <f t="shared" si="0"/>
        <v>11</v>
      </c>
      <c r="B115" s="25" t="s">
        <v>37</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12</v>
      </c>
      <c r="B116" s="25" t="s">
        <v>154</v>
      </c>
      <c r="C116" s="25"/>
      <c r="D116" s="25"/>
      <c r="E116" s="25"/>
      <c r="F116" s="25"/>
      <c r="G116" s="25"/>
      <c r="H116" s="25"/>
      <c r="I116" s="25"/>
      <c r="J116" s="25"/>
      <c r="K116" s="25"/>
      <c r="L116" s="25"/>
      <c r="M116" s="25"/>
      <c r="N116" s="25"/>
      <c r="O116" s="25"/>
      <c r="P116" s="25"/>
      <c r="Q116" s="25"/>
      <c r="R116" s="25"/>
      <c r="S116" s="25"/>
      <c r="T116" s="25"/>
      <c r="U116" s="25"/>
      <c r="V116" s="53">
        <v>-641</v>
      </c>
      <c r="W116" s="25"/>
      <c r="X116" s="5"/>
    </row>
    <row r="117" spans="1:24" ht="15.6" x14ac:dyDescent="0.3">
      <c r="A117" s="24">
        <f t="shared" si="0"/>
        <v>13</v>
      </c>
      <c r="B117" s="25" t="s">
        <v>131</v>
      </c>
      <c r="C117" s="25"/>
      <c r="D117" s="25"/>
      <c r="E117" s="25"/>
      <c r="F117" s="25"/>
      <c r="G117" s="25"/>
      <c r="H117" s="25"/>
      <c r="I117" s="25"/>
      <c r="J117" s="25"/>
      <c r="K117" s="25"/>
      <c r="L117" s="25"/>
      <c r="M117" s="25"/>
      <c r="N117" s="25"/>
      <c r="O117" s="25"/>
      <c r="P117" s="25"/>
      <c r="Q117" s="25"/>
      <c r="R117" s="25"/>
      <c r="S117" s="25"/>
      <c r="T117" s="25"/>
      <c r="U117" s="25"/>
      <c r="V117" s="53">
        <f>-V99-SUM(V101:V116)</f>
        <v>-2193</v>
      </c>
      <c r="W117" s="25"/>
      <c r="X117" s="5"/>
    </row>
    <row r="118" spans="1:24" ht="15.6" x14ac:dyDescent="0.3">
      <c r="A118" s="24"/>
      <c r="B118" s="118" t="s">
        <v>38</v>
      </c>
      <c r="C118" s="25"/>
      <c r="D118" s="25"/>
      <c r="E118" s="25"/>
      <c r="F118" s="25"/>
      <c r="G118" s="25"/>
      <c r="H118" s="25"/>
      <c r="I118" s="25"/>
      <c r="J118" s="25"/>
      <c r="K118" s="25"/>
      <c r="L118" s="25"/>
      <c r="M118" s="25"/>
      <c r="N118" s="25"/>
      <c r="O118" s="25"/>
      <c r="P118" s="25"/>
      <c r="Q118" s="25"/>
      <c r="R118" s="25"/>
      <c r="S118" s="25"/>
      <c r="T118" s="25"/>
      <c r="U118" s="25"/>
      <c r="V118" s="59"/>
      <c r="W118" s="25"/>
      <c r="X118" s="5"/>
    </row>
    <row r="119" spans="1:24" ht="15.6" x14ac:dyDescent="0.3">
      <c r="A119" s="24"/>
      <c r="B119" s="25" t="s">
        <v>179</v>
      </c>
      <c r="C119" s="25"/>
      <c r="D119" s="25"/>
      <c r="E119" s="25"/>
      <c r="F119" s="25"/>
      <c r="G119" s="25"/>
      <c r="H119" s="25"/>
      <c r="I119" s="25"/>
      <c r="J119" s="25"/>
      <c r="K119" s="25"/>
      <c r="L119" s="25"/>
      <c r="M119" s="25"/>
      <c r="N119" s="25"/>
      <c r="O119" s="25"/>
      <c r="P119" s="25"/>
      <c r="Q119" s="25"/>
      <c r="R119" s="25"/>
      <c r="S119" s="25"/>
      <c r="T119" s="34">
        <f>-T178</f>
        <v>-3699</v>
      </c>
      <c r="U119" s="34"/>
      <c r="V119" s="53"/>
      <c r="W119" s="25"/>
      <c r="X119" s="5"/>
    </row>
    <row r="120" spans="1:24" ht="15.6" x14ac:dyDescent="0.3">
      <c r="A120" s="24"/>
      <c r="B120" s="25" t="s">
        <v>180</v>
      </c>
      <c r="C120" s="25"/>
      <c r="D120" s="25"/>
      <c r="E120" s="25"/>
      <c r="F120" s="25"/>
      <c r="G120" s="25"/>
      <c r="H120" s="25"/>
      <c r="I120" s="25"/>
      <c r="J120" s="25"/>
      <c r="K120" s="25"/>
      <c r="L120" s="25"/>
      <c r="M120" s="25"/>
      <c r="N120" s="25"/>
      <c r="O120" s="25"/>
      <c r="P120" s="25"/>
      <c r="Q120" s="25"/>
      <c r="R120" s="25"/>
      <c r="S120" s="25"/>
      <c r="T120" s="34">
        <v>-86</v>
      </c>
      <c r="U120" s="34"/>
      <c r="V120" s="53"/>
      <c r="W120" s="25"/>
      <c r="X120" s="5"/>
    </row>
    <row r="121" spans="1:24" ht="15.6" x14ac:dyDescent="0.3">
      <c r="A121" s="24"/>
      <c r="B121" s="25" t="s">
        <v>39</v>
      </c>
      <c r="C121" s="25"/>
      <c r="D121" s="25"/>
      <c r="E121" s="25"/>
      <c r="F121" s="25"/>
      <c r="G121" s="25"/>
      <c r="H121" s="25"/>
      <c r="I121" s="25"/>
      <c r="J121" s="25"/>
      <c r="K121" s="25"/>
      <c r="L121" s="25"/>
      <c r="M121" s="25"/>
      <c r="N121" s="25"/>
      <c r="O121" s="25"/>
      <c r="P121" s="25"/>
      <c r="Q121" s="25"/>
      <c r="R121" s="25"/>
      <c r="S121" s="25"/>
      <c r="T121" s="34">
        <f>-S178</f>
        <v>-5154</v>
      </c>
      <c r="U121" s="34"/>
      <c r="V121" s="53"/>
      <c r="W121" s="25"/>
      <c r="X121" s="5"/>
    </row>
    <row r="122" spans="1:24" ht="15.6" x14ac:dyDescent="0.3">
      <c r="A122" s="24"/>
      <c r="B122" s="25" t="s">
        <v>203</v>
      </c>
      <c r="C122" s="25"/>
      <c r="D122" s="25"/>
      <c r="E122" s="25"/>
      <c r="F122" s="25"/>
      <c r="G122" s="25"/>
      <c r="H122" s="25"/>
      <c r="I122" s="25"/>
      <c r="J122" s="25"/>
      <c r="K122" s="25"/>
      <c r="L122" s="25"/>
      <c r="M122" s="25"/>
      <c r="N122" s="25"/>
      <c r="O122" s="25"/>
      <c r="P122" s="25"/>
      <c r="Q122" s="25"/>
      <c r="R122" s="25"/>
      <c r="S122" s="25"/>
      <c r="T122" s="34">
        <v>-15701</v>
      </c>
      <c r="U122" s="34"/>
      <c r="V122" s="53"/>
      <c r="W122" s="25"/>
      <c r="X122" s="5"/>
    </row>
    <row r="123" spans="1:24" ht="15.6" x14ac:dyDescent="0.3">
      <c r="A123" s="24"/>
      <c r="B123" s="25" t="s">
        <v>201</v>
      </c>
      <c r="C123" s="25"/>
      <c r="D123" s="25"/>
      <c r="E123" s="25"/>
      <c r="F123" s="25"/>
      <c r="G123" s="25"/>
      <c r="H123" s="25"/>
      <c r="I123" s="25"/>
      <c r="J123" s="25"/>
      <c r="K123" s="25"/>
      <c r="L123" s="25"/>
      <c r="M123" s="25"/>
      <c r="N123" s="25"/>
      <c r="O123" s="25"/>
      <c r="P123" s="25"/>
      <c r="Q123" s="25"/>
      <c r="R123" s="25"/>
      <c r="S123" s="25"/>
      <c r="T123" s="34">
        <v>-2793</v>
      </c>
      <c r="U123" s="34"/>
      <c r="V123" s="53"/>
      <c r="W123" s="25"/>
      <c r="X123" s="5"/>
    </row>
    <row r="124" spans="1:24" ht="15.6" x14ac:dyDescent="0.3">
      <c r="A124" s="24"/>
      <c r="B124" s="25" t="s">
        <v>200</v>
      </c>
      <c r="C124" s="25"/>
      <c r="D124" s="25"/>
      <c r="E124" s="25"/>
      <c r="F124" s="25"/>
      <c r="G124" s="25"/>
      <c r="H124" s="25"/>
      <c r="I124" s="25"/>
      <c r="J124" s="25"/>
      <c r="K124" s="25"/>
      <c r="L124" s="25"/>
      <c r="M124" s="25"/>
      <c r="N124" s="25"/>
      <c r="O124" s="25"/>
      <c r="P124" s="25"/>
      <c r="Q124" s="25"/>
      <c r="R124" s="25"/>
      <c r="S124" s="25"/>
      <c r="T124" s="34">
        <v>-3254</v>
      </c>
      <c r="U124" s="34"/>
      <c r="V124" s="53"/>
      <c r="W124" s="25"/>
      <c r="X124" s="5"/>
    </row>
    <row r="125" spans="1:24" ht="15.6" x14ac:dyDescent="0.3">
      <c r="A125" s="24"/>
      <c r="B125" s="25" t="s">
        <v>260</v>
      </c>
      <c r="C125" s="25"/>
      <c r="D125" s="25"/>
      <c r="E125" s="25"/>
      <c r="F125" s="25"/>
      <c r="G125" s="25"/>
      <c r="H125" s="25"/>
      <c r="I125" s="25"/>
      <c r="J125" s="25"/>
      <c r="K125" s="25"/>
      <c r="L125" s="25"/>
      <c r="M125" s="25"/>
      <c r="N125" s="25"/>
      <c r="O125" s="25"/>
      <c r="P125" s="25"/>
      <c r="Q125" s="25"/>
      <c r="R125" s="25"/>
      <c r="S125" s="25"/>
      <c r="T125" s="34">
        <v>-3255</v>
      </c>
      <c r="U125" s="34"/>
      <c r="V125" s="53"/>
      <c r="W125" s="25"/>
      <c r="X125" s="5"/>
    </row>
    <row r="126" spans="1:24" ht="15.6" x14ac:dyDescent="0.3">
      <c r="A126" s="24"/>
      <c r="B126" s="25" t="s">
        <v>195</v>
      </c>
      <c r="C126" s="25"/>
      <c r="D126" s="25"/>
      <c r="E126" s="25"/>
      <c r="F126" s="25"/>
      <c r="G126" s="25"/>
      <c r="H126" s="25"/>
      <c r="I126" s="25"/>
      <c r="J126" s="25"/>
      <c r="K126" s="25"/>
      <c r="L126" s="25"/>
      <c r="M126" s="25"/>
      <c r="N126" s="25"/>
      <c r="O126" s="25"/>
      <c r="P126" s="25"/>
      <c r="Q126" s="25"/>
      <c r="R126" s="25"/>
      <c r="S126" s="25"/>
      <c r="T126" s="34">
        <v>0</v>
      </c>
      <c r="U126" s="34"/>
      <c r="V126" s="53"/>
      <c r="W126" s="25"/>
      <c r="X126" s="5"/>
    </row>
    <row r="127" spans="1:24" ht="15.6" x14ac:dyDescent="0.3">
      <c r="A127" s="24"/>
      <c r="B127" s="25" t="s">
        <v>194</v>
      </c>
      <c r="C127" s="25"/>
      <c r="D127" s="25"/>
      <c r="E127" s="25"/>
      <c r="F127" s="25"/>
      <c r="G127" s="25"/>
      <c r="H127" s="25"/>
      <c r="I127" s="25"/>
      <c r="J127" s="25"/>
      <c r="K127" s="25"/>
      <c r="L127" s="25"/>
      <c r="M127" s="25"/>
      <c r="N127" s="25"/>
      <c r="O127" s="25"/>
      <c r="P127" s="25"/>
      <c r="Q127" s="25"/>
      <c r="R127" s="25"/>
      <c r="S127" s="25"/>
      <c r="T127" s="34">
        <v>0</v>
      </c>
      <c r="U127" s="34"/>
      <c r="V127" s="53"/>
      <c r="W127" s="25"/>
      <c r="X127" s="5"/>
    </row>
    <row r="128" spans="1:24" ht="15.6" x14ac:dyDescent="0.3">
      <c r="A128" s="24"/>
      <c r="B128" s="25" t="s">
        <v>261</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193</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40</v>
      </c>
      <c r="C130" s="25"/>
      <c r="D130" s="25"/>
      <c r="E130" s="25"/>
      <c r="F130" s="25"/>
      <c r="G130" s="25"/>
      <c r="H130" s="25"/>
      <c r="I130" s="25"/>
      <c r="J130" s="25"/>
      <c r="K130" s="25"/>
      <c r="L130" s="25"/>
      <c r="M130" s="25"/>
      <c r="N130" s="25"/>
      <c r="O130" s="25"/>
      <c r="P130" s="25"/>
      <c r="Q130" s="25"/>
      <c r="R130" s="25"/>
      <c r="S130" s="25"/>
      <c r="T130" s="34">
        <f>SUM(T119:T129)</f>
        <v>-33942</v>
      </c>
      <c r="U130" s="34"/>
      <c r="V130" s="34">
        <f>SUM(V100:V127)</f>
        <v>-31747</v>
      </c>
      <c r="W130" s="25"/>
      <c r="X130" s="5"/>
    </row>
    <row r="131" spans="1:24" ht="15.6" x14ac:dyDescent="0.3">
      <c r="A131" s="24"/>
      <c r="B131" s="25" t="s">
        <v>41</v>
      </c>
      <c r="C131" s="25"/>
      <c r="D131" s="25"/>
      <c r="E131" s="25"/>
      <c r="F131" s="25"/>
      <c r="G131" s="25"/>
      <c r="H131" s="25"/>
      <c r="I131" s="25"/>
      <c r="J131" s="25"/>
      <c r="K131" s="25"/>
      <c r="L131" s="25"/>
      <c r="M131" s="25"/>
      <c r="N131" s="25"/>
      <c r="O131" s="25"/>
      <c r="P131" s="25"/>
      <c r="Q131" s="25"/>
      <c r="R131" s="25"/>
      <c r="S131" s="25"/>
      <c r="T131" s="34">
        <f>T99+T130</f>
        <v>0</v>
      </c>
      <c r="U131" s="34"/>
      <c r="V131" s="34">
        <f>V99+V130</f>
        <v>0</v>
      </c>
      <c r="W131" s="25"/>
      <c r="X131" s="5"/>
    </row>
    <row r="132" spans="1:24" ht="15.6" x14ac:dyDescent="0.3">
      <c r="A132" s="24"/>
      <c r="B132" s="25"/>
      <c r="C132" s="25"/>
      <c r="D132" s="25"/>
      <c r="E132" s="25"/>
      <c r="F132" s="25"/>
      <c r="G132" s="25"/>
      <c r="H132" s="25"/>
      <c r="I132" s="25"/>
      <c r="J132" s="25"/>
      <c r="K132" s="25"/>
      <c r="L132" s="25"/>
      <c r="M132" s="25"/>
      <c r="N132" s="25"/>
      <c r="O132" s="25"/>
      <c r="P132" s="25"/>
      <c r="Q132" s="25"/>
      <c r="R132" s="25"/>
      <c r="S132" s="25"/>
      <c r="T132" s="34"/>
      <c r="U132" s="34"/>
      <c r="V132" s="34"/>
      <c r="W132" s="25"/>
      <c r="X132" s="5"/>
    </row>
    <row r="133" spans="1:24" ht="15.6" x14ac:dyDescent="0.3">
      <c r="A133" s="6"/>
      <c r="B133" s="8"/>
      <c r="C133" s="8"/>
      <c r="D133" s="8"/>
      <c r="E133" s="8"/>
      <c r="F133" s="8"/>
      <c r="G133" s="8"/>
      <c r="H133" s="8"/>
      <c r="I133" s="8"/>
      <c r="J133" s="8"/>
      <c r="K133" s="8"/>
      <c r="L133" s="8"/>
      <c r="M133" s="8"/>
      <c r="N133" s="8"/>
      <c r="O133" s="8"/>
      <c r="P133" s="8"/>
      <c r="Q133" s="8"/>
      <c r="R133" s="8"/>
      <c r="S133" s="8"/>
      <c r="T133" s="8"/>
      <c r="U133" s="8"/>
      <c r="V133" s="52"/>
      <c r="W133" s="8"/>
      <c r="X133" s="5"/>
    </row>
    <row r="134" spans="1:24" ht="18" thickBot="1" x14ac:dyDescent="0.35">
      <c r="A134" s="101"/>
      <c r="B134" s="102" t="str">
        <f>B64</f>
        <v>PM12 INVESTOR REPORT QUARTER ENDING OCTOBER 2006</v>
      </c>
      <c r="C134" s="103"/>
      <c r="D134" s="103"/>
      <c r="E134" s="103"/>
      <c r="F134" s="103"/>
      <c r="G134" s="103"/>
      <c r="H134" s="103"/>
      <c r="I134" s="103"/>
      <c r="J134" s="103"/>
      <c r="K134" s="103"/>
      <c r="L134" s="103"/>
      <c r="M134" s="103"/>
      <c r="N134" s="103"/>
      <c r="O134" s="103"/>
      <c r="P134" s="103"/>
      <c r="Q134" s="103"/>
      <c r="R134" s="103"/>
      <c r="S134" s="103"/>
      <c r="T134" s="103"/>
      <c r="U134" s="103"/>
      <c r="V134" s="106"/>
      <c r="W134" s="105"/>
      <c r="X134" s="5"/>
    </row>
    <row r="135" spans="1:24" ht="15.6" x14ac:dyDescent="0.3">
      <c r="A135" s="2"/>
      <c r="B135" s="60" t="s">
        <v>42</v>
      </c>
      <c r="C135" s="4"/>
      <c r="D135" s="4"/>
      <c r="E135" s="4"/>
      <c r="F135" s="4"/>
      <c r="G135" s="4"/>
      <c r="H135" s="4"/>
      <c r="I135" s="4"/>
      <c r="J135" s="4"/>
      <c r="K135" s="4"/>
      <c r="L135" s="4"/>
      <c r="M135" s="4"/>
      <c r="N135" s="4"/>
      <c r="O135" s="4"/>
      <c r="P135" s="4"/>
      <c r="Q135" s="4"/>
      <c r="R135" s="4"/>
      <c r="S135" s="4"/>
      <c r="T135" s="4"/>
      <c r="U135" s="4"/>
      <c r="V135" s="50"/>
      <c r="W135" s="4"/>
      <c r="X135" s="5"/>
    </row>
    <row r="136" spans="1:24" ht="15.6" x14ac:dyDescent="0.3">
      <c r="A136" s="6"/>
      <c r="B136" s="21"/>
      <c r="C136" s="8"/>
      <c r="D136" s="8"/>
      <c r="E136" s="8"/>
      <c r="F136" s="8"/>
      <c r="G136" s="8"/>
      <c r="H136" s="8"/>
      <c r="I136" s="8"/>
      <c r="J136" s="8"/>
      <c r="K136" s="8"/>
      <c r="L136" s="8"/>
      <c r="M136" s="8"/>
      <c r="N136" s="8"/>
      <c r="O136" s="8"/>
      <c r="P136" s="8"/>
      <c r="Q136" s="8"/>
      <c r="R136" s="8"/>
      <c r="S136" s="8"/>
      <c r="T136" s="8"/>
      <c r="U136" s="8"/>
      <c r="V136" s="52"/>
      <c r="W136" s="8"/>
      <c r="X136" s="5"/>
    </row>
    <row r="137" spans="1:24" ht="15.6" x14ac:dyDescent="0.3">
      <c r="A137" s="6"/>
      <c r="B137" s="119" t="s">
        <v>43</v>
      </c>
      <c r="C137" s="8"/>
      <c r="D137" s="8"/>
      <c r="E137" s="8"/>
      <c r="F137" s="8"/>
      <c r="G137" s="8"/>
      <c r="H137" s="8"/>
      <c r="I137" s="8"/>
      <c r="J137" s="8"/>
      <c r="K137" s="8"/>
      <c r="L137" s="8"/>
      <c r="M137" s="8"/>
      <c r="N137" s="8"/>
      <c r="O137" s="8"/>
      <c r="P137" s="8"/>
      <c r="Q137" s="8"/>
      <c r="R137" s="8"/>
      <c r="S137" s="8"/>
      <c r="T137" s="8"/>
      <c r="U137" s="8"/>
      <c r="V137" s="52"/>
      <c r="W137" s="8"/>
      <c r="X137" s="5"/>
    </row>
    <row r="138" spans="1:24" ht="15.6" x14ac:dyDescent="0.3">
      <c r="A138" s="24"/>
      <c r="B138" s="25" t="s">
        <v>44</v>
      </c>
      <c r="C138" s="25"/>
      <c r="D138" s="25"/>
      <c r="E138" s="25"/>
      <c r="F138" s="25"/>
      <c r="G138" s="25"/>
      <c r="H138" s="25"/>
      <c r="I138" s="25"/>
      <c r="J138" s="25"/>
      <c r="K138" s="25"/>
      <c r="L138" s="25"/>
      <c r="M138" s="25"/>
      <c r="N138" s="25"/>
      <c r="O138" s="25"/>
      <c r="P138" s="25"/>
      <c r="Q138" s="25"/>
      <c r="R138" s="25"/>
      <c r="S138" s="25"/>
      <c r="T138" s="25"/>
      <c r="U138" s="25"/>
      <c r="V138" s="53">
        <f>+V34*0.019</f>
        <v>28503.895</v>
      </c>
      <c r="W138" s="25"/>
      <c r="X138" s="5"/>
    </row>
    <row r="139" spans="1:24" ht="15.6" x14ac:dyDescent="0.3">
      <c r="A139" s="24"/>
      <c r="B139" s="25" t="s">
        <v>45</v>
      </c>
      <c r="C139" s="25"/>
      <c r="D139" s="25"/>
      <c r="E139" s="25"/>
      <c r="F139" s="25"/>
      <c r="G139" s="25"/>
      <c r="H139" s="25"/>
      <c r="I139" s="25"/>
      <c r="J139" s="25"/>
      <c r="K139" s="25"/>
      <c r="L139" s="25"/>
      <c r="M139" s="25"/>
      <c r="N139" s="25"/>
      <c r="O139" s="25"/>
      <c r="P139" s="25"/>
      <c r="Q139" s="25"/>
      <c r="R139" s="25"/>
      <c r="S139" s="25"/>
      <c r="T139" s="25"/>
      <c r="U139" s="25"/>
      <c r="V139" s="53">
        <v>0</v>
      </c>
      <c r="W139" s="25"/>
      <c r="X139" s="5"/>
    </row>
    <row r="140" spans="1:24" ht="15.6" x14ac:dyDescent="0.3">
      <c r="A140" s="24"/>
      <c r="B140" s="25" t="s">
        <v>141</v>
      </c>
      <c r="C140" s="25"/>
      <c r="D140" s="25"/>
      <c r="E140" s="25"/>
      <c r="F140" s="25"/>
      <c r="G140" s="25"/>
      <c r="H140" s="25"/>
      <c r="I140" s="25"/>
      <c r="J140" s="25"/>
      <c r="K140" s="25"/>
      <c r="L140" s="25"/>
      <c r="M140" s="25"/>
      <c r="N140" s="25"/>
      <c r="O140" s="25"/>
      <c r="P140" s="25"/>
      <c r="Q140" s="25"/>
      <c r="R140" s="25"/>
      <c r="S140" s="25"/>
      <c r="T140" s="25"/>
      <c r="U140" s="25"/>
      <c r="V140" s="53">
        <v>0</v>
      </c>
      <c r="W140" s="25"/>
      <c r="X140" s="5"/>
    </row>
    <row r="141" spans="1:24" ht="15.6" x14ac:dyDescent="0.3">
      <c r="A141" s="24"/>
      <c r="B141" s="25" t="s">
        <v>128</v>
      </c>
      <c r="C141" s="25"/>
      <c r="D141" s="25"/>
      <c r="E141" s="25"/>
      <c r="F141" s="25"/>
      <c r="G141" s="25"/>
      <c r="H141" s="25"/>
      <c r="I141" s="25"/>
      <c r="J141" s="25"/>
      <c r="K141" s="25"/>
      <c r="L141" s="25"/>
      <c r="M141" s="25"/>
      <c r="N141" s="25"/>
      <c r="O141" s="25"/>
      <c r="P141" s="25"/>
      <c r="Q141" s="25"/>
      <c r="R141" s="25"/>
      <c r="S141" s="25"/>
      <c r="T141" s="25"/>
      <c r="U141" s="25"/>
      <c r="V141" s="53">
        <v>0</v>
      </c>
      <c r="W141" s="25"/>
      <c r="X141" s="5"/>
    </row>
    <row r="142" spans="1:24" ht="15.6" x14ac:dyDescent="0.3">
      <c r="A142" s="24"/>
      <c r="B142" s="25" t="s">
        <v>129</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181</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46</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134</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230</v>
      </c>
      <c r="C146" s="25"/>
      <c r="D146" s="25"/>
      <c r="E146" s="25"/>
      <c r="F146" s="25"/>
      <c r="G146" s="25"/>
      <c r="H146" s="25"/>
      <c r="I146" s="25"/>
      <c r="J146" s="25"/>
      <c r="K146" s="25"/>
      <c r="L146" s="25"/>
      <c r="M146" s="25"/>
      <c r="N146" s="25"/>
      <c r="O146" s="25"/>
      <c r="P146" s="25"/>
      <c r="Q146" s="25"/>
      <c r="R146" s="25"/>
      <c r="S146" s="25"/>
      <c r="T146" s="25"/>
      <c r="U146" s="25"/>
      <c r="V146" s="53">
        <v>0</v>
      </c>
      <c r="W146" s="25"/>
      <c r="X146" s="5"/>
      <c r="Y146" s="109"/>
    </row>
    <row r="147" spans="1:25" ht="15.6" x14ac:dyDescent="0.3">
      <c r="A147" s="24"/>
      <c r="B147" s="25" t="s">
        <v>47</v>
      </c>
      <c r="C147" s="25"/>
      <c r="D147" s="25"/>
      <c r="E147" s="25"/>
      <c r="F147" s="25"/>
      <c r="G147" s="25"/>
      <c r="H147" s="25"/>
      <c r="I147" s="25"/>
      <c r="J147" s="25"/>
      <c r="K147" s="25"/>
      <c r="L147" s="25"/>
      <c r="M147" s="25"/>
      <c r="N147" s="25"/>
      <c r="O147" s="25"/>
      <c r="P147" s="25"/>
      <c r="Q147" s="25"/>
      <c r="R147" s="25"/>
      <c r="S147" s="25"/>
      <c r="T147" s="25"/>
      <c r="U147" s="25"/>
      <c r="V147" s="53">
        <f>SUM(V138:V146)</f>
        <v>28503.895</v>
      </c>
      <c r="W147" s="25"/>
      <c r="X147" s="5"/>
    </row>
    <row r="148" spans="1:25" ht="15.6" x14ac:dyDescent="0.3">
      <c r="A148" s="24"/>
      <c r="B148" s="25"/>
      <c r="C148" s="25"/>
      <c r="D148" s="25"/>
      <c r="E148" s="25"/>
      <c r="F148" s="25"/>
      <c r="G148" s="25"/>
      <c r="H148" s="25"/>
      <c r="I148" s="25"/>
      <c r="J148" s="25"/>
      <c r="K148" s="25"/>
      <c r="L148" s="25"/>
      <c r="M148" s="25"/>
      <c r="N148" s="25"/>
      <c r="O148" s="25"/>
      <c r="P148" s="25"/>
      <c r="Q148" s="25"/>
      <c r="R148" s="25"/>
      <c r="S148" s="25"/>
      <c r="T148" s="25"/>
      <c r="U148" s="25"/>
      <c r="V148" s="53"/>
      <c r="W148" s="25"/>
      <c r="X148" s="5"/>
    </row>
    <row r="149" spans="1:25" ht="15.6" x14ac:dyDescent="0.3">
      <c r="A149" s="24"/>
      <c r="B149" s="138" t="s">
        <v>269</v>
      </c>
      <c r="C149" s="25"/>
      <c r="D149" s="25"/>
      <c r="E149" s="25"/>
      <c r="F149" s="25"/>
      <c r="G149" s="25"/>
      <c r="H149" s="25"/>
      <c r="I149" s="25"/>
      <c r="J149" s="25"/>
      <c r="K149" s="25"/>
      <c r="L149" s="25"/>
      <c r="M149" s="25"/>
      <c r="N149" s="25"/>
      <c r="O149" s="25"/>
      <c r="P149" s="25"/>
      <c r="Q149" s="25"/>
      <c r="R149" s="25"/>
      <c r="S149" s="25"/>
      <c r="T149" s="25"/>
      <c r="U149" s="25"/>
      <c r="V149" s="53"/>
      <c r="W149" s="25"/>
      <c r="X149" s="5"/>
    </row>
    <row r="150" spans="1:25" ht="15.6" x14ac:dyDescent="0.3">
      <c r="A150" s="24"/>
      <c r="B150" s="25" t="s">
        <v>160</v>
      </c>
      <c r="C150" s="25"/>
      <c r="D150" s="25"/>
      <c r="E150" s="25"/>
      <c r="F150" s="25"/>
      <c r="G150" s="25"/>
      <c r="H150" s="25"/>
      <c r="I150" s="25"/>
      <c r="J150" s="25"/>
      <c r="K150" s="25"/>
      <c r="L150" s="25"/>
      <c r="M150" s="25"/>
      <c r="N150" s="25"/>
      <c r="O150" s="25"/>
      <c r="P150" s="25"/>
      <c r="Q150" s="25"/>
      <c r="R150" s="25"/>
      <c r="S150" s="25"/>
      <c r="T150" s="25"/>
      <c r="U150" s="25"/>
      <c r="V150" s="53">
        <v>0</v>
      </c>
      <c r="W150" s="25"/>
      <c r="X150" s="5"/>
    </row>
    <row r="151" spans="1:25" ht="15.6" x14ac:dyDescent="0.3">
      <c r="A151" s="24"/>
      <c r="B151" s="25" t="s">
        <v>178</v>
      </c>
      <c r="C151" s="25"/>
      <c r="D151" s="25"/>
      <c r="E151" s="25"/>
      <c r="F151" s="25"/>
      <c r="G151" s="25"/>
      <c r="H151" s="25"/>
      <c r="I151" s="25"/>
      <c r="J151" s="25"/>
      <c r="K151" s="25"/>
      <c r="L151" s="25"/>
      <c r="M151" s="25"/>
      <c r="N151" s="25"/>
      <c r="O151" s="25"/>
      <c r="P151" s="25"/>
      <c r="Q151" s="25"/>
      <c r="R151" s="25"/>
      <c r="S151" s="25"/>
      <c r="T151" s="25"/>
      <c r="U151" s="25"/>
      <c r="V151" s="53">
        <v>0</v>
      </c>
      <c r="W151" s="25"/>
      <c r="X151" s="5"/>
    </row>
    <row r="152" spans="1:25" ht="15.6" x14ac:dyDescent="0.3">
      <c r="A152" s="24"/>
      <c r="B152" s="25" t="s">
        <v>270</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c r="C153" s="25"/>
      <c r="D153" s="25"/>
      <c r="E153" s="25"/>
      <c r="F153" s="25"/>
      <c r="G153" s="25"/>
      <c r="H153" s="25"/>
      <c r="I153" s="25"/>
      <c r="J153" s="25"/>
      <c r="K153" s="25"/>
      <c r="L153" s="25"/>
      <c r="M153" s="25"/>
      <c r="N153" s="25"/>
      <c r="O153" s="25"/>
      <c r="P153" s="25"/>
      <c r="Q153" s="25"/>
      <c r="R153" s="25"/>
      <c r="S153" s="25"/>
      <c r="T153" s="25"/>
      <c r="U153" s="25"/>
      <c r="V153" s="53"/>
      <c r="W153" s="25"/>
      <c r="X153" s="5"/>
    </row>
    <row r="154" spans="1:25" ht="15.6" x14ac:dyDescent="0.3">
      <c r="A154" s="24"/>
      <c r="B154" s="25"/>
      <c r="C154" s="25"/>
      <c r="D154" s="25"/>
      <c r="E154" s="25"/>
      <c r="F154" s="25"/>
      <c r="G154" s="25"/>
      <c r="H154" s="25"/>
      <c r="I154" s="25"/>
      <c r="J154" s="25"/>
      <c r="K154" s="25"/>
      <c r="L154" s="25"/>
      <c r="M154" s="25"/>
      <c r="N154" s="25"/>
      <c r="O154" s="25"/>
      <c r="P154" s="25"/>
      <c r="Q154" s="25"/>
      <c r="R154" s="25"/>
      <c r="S154" s="25"/>
      <c r="T154" s="25"/>
      <c r="U154" s="25"/>
      <c r="V154" s="61"/>
      <c r="W154" s="25"/>
      <c r="X154" s="5"/>
    </row>
    <row r="155" spans="1:25" ht="15.6" x14ac:dyDescent="0.3">
      <c r="A155" s="6"/>
      <c r="B155" s="119" t="s">
        <v>24</v>
      </c>
      <c r="C155" s="8"/>
      <c r="D155" s="8"/>
      <c r="E155" s="8"/>
      <c r="F155" s="8"/>
      <c r="G155" s="8"/>
      <c r="H155" s="8"/>
      <c r="I155" s="8"/>
      <c r="J155" s="8"/>
      <c r="K155" s="8"/>
      <c r="L155" s="8"/>
      <c r="M155" s="8"/>
      <c r="N155" s="8"/>
      <c r="O155" s="8"/>
      <c r="P155" s="8"/>
      <c r="Q155" s="8"/>
      <c r="R155" s="8"/>
      <c r="S155" s="8"/>
      <c r="T155" s="8"/>
      <c r="U155" s="8"/>
      <c r="V155" s="52"/>
      <c r="W155" s="8"/>
      <c r="X155" s="5"/>
    </row>
    <row r="156" spans="1:25" ht="15.6" x14ac:dyDescent="0.3">
      <c r="A156" s="24"/>
      <c r="B156" s="25" t="s">
        <v>48</v>
      </c>
      <c r="C156" s="25"/>
      <c r="D156" s="25"/>
      <c r="E156" s="25"/>
      <c r="F156" s="25"/>
      <c r="G156" s="25"/>
      <c r="H156" s="25"/>
      <c r="I156" s="25"/>
      <c r="J156" s="25"/>
      <c r="K156" s="25"/>
      <c r="L156" s="25"/>
      <c r="M156" s="25"/>
      <c r="N156" s="25"/>
      <c r="O156" s="25"/>
      <c r="P156" s="25"/>
      <c r="Q156" s="25"/>
      <c r="R156" s="25"/>
      <c r="S156" s="25"/>
      <c r="T156" s="25"/>
      <c r="U156" s="25"/>
      <c r="V156" s="59" t="s">
        <v>123</v>
      </c>
      <c r="W156" s="25"/>
      <c r="X156" s="5"/>
    </row>
    <row r="157" spans="1:25" ht="15.6" x14ac:dyDescent="0.3">
      <c r="A157" s="24"/>
      <c r="B157" s="25" t="s">
        <v>49</v>
      </c>
      <c r="C157" s="27"/>
      <c r="D157" s="27"/>
      <c r="E157" s="27"/>
      <c r="F157" s="27"/>
      <c r="G157" s="27"/>
      <c r="H157" s="27"/>
      <c r="I157" s="27"/>
      <c r="J157" s="27"/>
      <c r="K157" s="27"/>
      <c r="L157" s="27"/>
      <c r="M157" s="27"/>
      <c r="N157" s="27"/>
      <c r="O157" s="27"/>
      <c r="P157" s="27"/>
      <c r="Q157" s="27"/>
      <c r="R157" s="27"/>
      <c r="S157" s="27"/>
      <c r="T157" s="27"/>
      <c r="U157" s="27"/>
      <c r="V157" s="59" t="s">
        <v>123</v>
      </c>
      <c r="W157" s="25"/>
      <c r="X157" s="5"/>
    </row>
    <row r="158" spans="1:25" ht="15.6" x14ac:dyDescent="0.3">
      <c r="A158" s="24"/>
      <c r="B158" s="25" t="s">
        <v>50</v>
      </c>
      <c r="C158" s="25"/>
      <c r="D158" s="25"/>
      <c r="E158" s="25"/>
      <c r="F158" s="25"/>
      <c r="G158" s="25"/>
      <c r="H158" s="25"/>
      <c r="I158" s="25"/>
      <c r="J158" s="25"/>
      <c r="K158" s="25"/>
      <c r="L158" s="25"/>
      <c r="M158" s="25"/>
      <c r="N158" s="25"/>
      <c r="O158" s="25"/>
      <c r="P158" s="25"/>
      <c r="Q158" s="25"/>
      <c r="R158" s="25"/>
      <c r="S158" s="25"/>
      <c r="T158" s="25"/>
      <c r="U158" s="25"/>
      <c r="V158" s="59" t="s">
        <v>123</v>
      </c>
      <c r="W158" s="25"/>
      <c r="X158" s="5"/>
    </row>
    <row r="159" spans="1:25" ht="15.6" x14ac:dyDescent="0.3">
      <c r="A159" s="24"/>
      <c r="B159" s="25" t="s">
        <v>51</v>
      </c>
      <c r="C159" s="25"/>
      <c r="D159" s="25"/>
      <c r="E159" s="25"/>
      <c r="F159" s="25"/>
      <c r="G159" s="25"/>
      <c r="H159" s="25"/>
      <c r="I159" s="25"/>
      <c r="J159" s="25"/>
      <c r="K159" s="25"/>
      <c r="L159" s="25"/>
      <c r="M159" s="25"/>
      <c r="N159" s="25"/>
      <c r="O159" s="25"/>
      <c r="P159" s="25"/>
      <c r="Q159" s="25"/>
      <c r="R159" s="25"/>
      <c r="S159" s="25"/>
      <c r="T159" s="25"/>
      <c r="U159" s="25"/>
      <c r="V159" s="59" t="s">
        <v>123</v>
      </c>
      <c r="W159" s="25"/>
      <c r="X159" s="5"/>
    </row>
    <row r="160" spans="1:25" ht="15.6" x14ac:dyDescent="0.3">
      <c r="A160" s="24"/>
      <c r="B160" s="25"/>
      <c r="C160" s="25"/>
      <c r="D160" s="25"/>
      <c r="E160" s="25"/>
      <c r="F160" s="25"/>
      <c r="G160" s="25"/>
      <c r="H160" s="25"/>
      <c r="I160" s="25"/>
      <c r="J160" s="25"/>
      <c r="K160" s="25"/>
      <c r="L160" s="25"/>
      <c r="M160" s="25"/>
      <c r="N160" s="25"/>
      <c r="O160" s="25"/>
      <c r="P160" s="25"/>
      <c r="Q160" s="25"/>
      <c r="R160" s="25"/>
      <c r="S160" s="25"/>
      <c r="T160" s="25"/>
      <c r="U160" s="25"/>
      <c r="V160" s="61"/>
      <c r="W160" s="25"/>
      <c r="X160" s="5"/>
    </row>
    <row r="161" spans="1:24" ht="15.6" x14ac:dyDescent="0.3">
      <c r="A161" s="6"/>
      <c r="B161" s="119" t="s">
        <v>52</v>
      </c>
      <c r="C161" s="8"/>
      <c r="D161" s="8"/>
      <c r="E161" s="8"/>
      <c r="F161" s="8"/>
      <c r="G161" s="8"/>
      <c r="H161" s="8"/>
      <c r="I161" s="8"/>
      <c r="J161" s="8"/>
      <c r="K161" s="8"/>
      <c r="L161" s="8"/>
      <c r="M161" s="8"/>
      <c r="N161" s="8"/>
      <c r="O161" s="8"/>
      <c r="P161" s="8"/>
      <c r="Q161" s="8"/>
      <c r="R161" s="8"/>
      <c r="S161" s="8"/>
      <c r="T161" s="8"/>
      <c r="U161" s="8"/>
      <c r="V161" s="63"/>
      <c r="W161" s="8"/>
      <c r="X161" s="5"/>
    </row>
    <row r="162" spans="1:24" ht="15.6" x14ac:dyDescent="0.3">
      <c r="A162" s="24"/>
      <c r="B162" s="25" t="s">
        <v>53</v>
      </c>
      <c r="C162" s="25"/>
      <c r="D162" s="25"/>
      <c r="E162" s="25"/>
      <c r="F162" s="25"/>
      <c r="G162" s="25"/>
      <c r="H162" s="25"/>
      <c r="I162" s="25"/>
      <c r="J162" s="25"/>
      <c r="K162" s="25"/>
      <c r="L162" s="25"/>
      <c r="M162" s="25"/>
      <c r="N162" s="25"/>
      <c r="O162" s="25"/>
      <c r="P162" s="25"/>
      <c r="Q162" s="25"/>
      <c r="R162" s="25"/>
      <c r="S162" s="25"/>
      <c r="T162" s="25"/>
      <c r="U162" s="25"/>
      <c r="V162" s="53">
        <v>0</v>
      </c>
      <c r="W162" s="25"/>
      <c r="X162" s="5"/>
    </row>
    <row r="163" spans="1:24" ht="15.6" x14ac:dyDescent="0.3">
      <c r="A163" s="24"/>
      <c r="B163" s="25" t="s">
        <v>54</v>
      </c>
      <c r="C163" s="25"/>
      <c r="D163" s="25"/>
      <c r="E163" s="25"/>
      <c r="F163" s="25"/>
      <c r="G163" s="25"/>
      <c r="H163" s="25"/>
      <c r="I163" s="25"/>
      <c r="J163" s="25"/>
      <c r="K163" s="25"/>
      <c r="L163" s="25"/>
      <c r="M163" s="25"/>
      <c r="N163" s="25"/>
      <c r="O163" s="25"/>
      <c r="P163" s="25"/>
      <c r="Q163" s="25"/>
      <c r="R163" s="25"/>
      <c r="S163" s="25"/>
      <c r="T163" s="25"/>
      <c r="U163" s="25"/>
      <c r="V163" s="53">
        <v>0</v>
      </c>
      <c r="W163" s="25"/>
      <c r="X163" s="5"/>
    </row>
    <row r="164" spans="1:24" ht="15.6" x14ac:dyDescent="0.3">
      <c r="A164" s="24"/>
      <c r="B164" s="25" t="s">
        <v>55</v>
      </c>
      <c r="C164" s="25"/>
      <c r="D164" s="25"/>
      <c r="E164" s="25"/>
      <c r="F164" s="25"/>
      <c r="G164" s="25"/>
      <c r="H164" s="25"/>
      <c r="I164" s="25"/>
      <c r="J164" s="25"/>
      <c r="K164" s="25"/>
      <c r="L164" s="25"/>
      <c r="M164" s="25"/>
      <c r="N164" s="25"/>
      <c r="O164" s="25"/>
      <c r="P164" s="25"/>
      <c r="Q164" s="25"/>
      <c r="R164" s="25"/>
      <c r="S164" s="25"/>
      <c r="T164" s="25"/>
      <c r="U164" s="25"/>
      <c r="V164" s="53">
        <f>V163+V162</f>
        <v>0</v>
      </c>
      <c r="W164" s="25"/>
      <c r="X164" s="5"/>
    </row>
    <row r="165" spans="1:24" ht="15.6" x14ac:dyDescent="0.3">
      <c r="A165" s="24"/>
      <c r="B165" s="25" t="s">
        <v>310</v>
      </c>
      <c r="C165" s="25"/>
      <c r="D165" s="25"/>
      <c r="E165" s="25"/>
      <c r="F165" s="25"/>
      <c r="G165" s="25"/>
      <c r="H165" s="25"/>
      <c r="I165" s="25"/>
      <c r="J165" s="25"/>
      <c r="K165" s="25"/>
      <c r="L165" s="25"/>
      <c r="M165" s="25"/>
      <c r="N165" s="25"/>
      <c r="O165" s="25"/>
      <c r="P165" s="25"/>
      <c r="Q165" s="25"/>
      <c r="R165" s="25"/>
      <c r="S165" s="25"/>
      <c r="T165" s="25"/>
      <c r="U165" s="25"/>
      <c r="V165" s="53">
        <f>V113</f>
        <v>0</v>
      </c>
      <c r="W165" s="25"/>
      <c r="X165" s="5"/>
    </row>
    <row r="166" spans="1:24" ht="15.6" x14ac:dyDescent="0.3">
      <c r="A166" s="24"/>
      <c r="B166" s="25" t="s">
        <v>56</v>
      </c>
      <c r="C166" s="25"/>
      <c r="D166" s="25"/>
      <c r="E166" s="25"/>
      <c r="F166" s="25"/>
      <c r="G166" s="25"/>
      <c r="H166" s="25"/>
      <c r="I166" s="25"/>
      <c r="J166" s="25"/>
      <c r="K166" s="25"/>
      <c r="L166" s="25"/>
      <c r="M166" s="25"/>
      <c r="N166" s="25"/>
      <c r="O166" s="25"/>
      <c r="P166" s="25"/>
      <c r="Q166" s="25"/>
      <c r="R166" s="25"/>
      <c r="S166" s="25"/>
      <c r="T166" s="25"/>
      <c r="U166" s="25"/>
      <c r="V166" s="53">
        <f>V164+V165</f>
        <v>0</v>
      </c>
      <c r="W166" s="25"/>
      <c r="X166" s="5"/>
    </row>
    <row r="167" spans="1:24" ht="16.2" thickBot="1" x14ac:dyDescent="0.35">
      <c r="A167" s="24"/>
      <c r="B167" s="25"/>
      <c r="C167" s="25"/>
      <c r="D167" s="25"/>
      <c r="E167" s="25"/>
      <c r="F167" s="25"/>
      <c r="G167" s="25"/>
      <c r="H167" s="25"/>
      <c r="I167" s="25"/>
      <c r="J167" s="25"/>
      <c r="K167" s="25"/>
      <c r="L167" s="25"/>
      <c r="M167" s="25"/>
      <c r="N167" s="25"/>
      <c r="O167" s="25"/>
      <c r="P167" s="25"/>
      <c r="Q167" s="25"/>
      <c r="R167" s="25"/>
      <c r="S167" s="25"/>
      <c r="T167" s="25"/>
      <c r="U167" s="25"/>
      <c r="V167" s="61"/>
      <c r="W167" s="25"/>
      <c r="X167" s="5"/>
    </row>
    <row r="168" spans="1:24" ht="15.6" x14ac:dyDescent="0.3">
      <c r="A168" s="2"/>
      <c r="B168" s="4"/>
      <c r="C168" s="4"/>
      <c r="D168" s="4"/>
      <c r="E168" s="4"/>
      <c r="F168" s="4"/>
      <c r="G168" s="4"/>
      <c r="H168" s="4"/>
      <c r="I168" s="4"/>
      <c r="J168" s="4"/>
      <c r="K168" s="4"/>
      <c r="L168" s="4"/>
      <c r="M168" s="4"/>
      <c r="N168" s="4"/>
      <c r="O168" s="4"/>
      <c r="P168" s="4"/>
      <c r="Q168" s="4"/>
      <c r="R168" s="4"/>
      <c r="S168" s="4"/>
      <c r="T168" s="4"/>
      <c r="U168" s="4"/>
      <c r="V168" s="50"/>
      <c r="W168" s="4"/>
      <c r="X168" s="5"/>
    </row>
    <row r="169" spans="1:24" ht="15.6" x14ac:dyDescent="0.3">
      <c r="A169" s="6"/>
      <c r="B169" s="119" t="s">
        <v>57</v>
      </c>
      <c r="C169" s="8"/>
      <c r="D169" s="8"/>
      <c r="E169" s="8"/>
      <c r="F169" s="8"/>
      <c r="G169" s="8"/>
      <c r="H169" s="8"/>
      <c r="I169" s="8"/>
      <c r="J169" s="8"/>
      <c r="K169" s="8"/>
      <c r="L169" s="8"/>
      <c r="M169" s="8"/>
      <c r="N169" s="8"/>
      <c r="O169" s="8"/>
      <c r="P169" s="8"/>
      <c r="Q169" s="8"/>
      <c r="R169" s="8"/>
      <c r="S169" s="8"/>
      <c r="T169" s="8"/>
      <c r="U169" s="8"/>
      <c r="V169" s="52"/>
      <c r="W169" s="8"/>
      <c r="X169" s="5"/>
    </row>
    <row r="170" spans="1:24" ht="15.6" x14ac:dyDescent="0.3">
      <c r="A170" s="6"/>
      <c r="B170" s="21"/>
      <c r="C170" s="8"/>
      <c r="D170" s="8"/>
      <c r="E170" s="8"/>
      <c r="F170" s="8"/>
      <c r="G170" s="8"/>
      <c r="H170" s="8"/>
      <c r="I170" s="8"/>
      <c r="J170" s="8"/>
      <c r="K170" s="8"/>
      <c r="L170" s="8"/>
      <c r="M170" s="8"/>
      <c r="N170" s="8"/>
      <c r="O170" s="8"/>
      <c r="P170" s="8"/>
      <c r="Q170" s="8"/>
      <c r="R170" s="8"/>
      <c r="S170" s="8"/>
      <c r="T170" s="8"/>
      <c r="U170" s="8"/>
      <c r="V170" s="52"/>
      <c r="W170" s="8"/>
      <c r="X170" s="5"/>
    </row>
    <row r="171" spans="1:24" ht="15.6" x14ac:dyDescent="0.3">
      <c r="A171" s="24"/>
      <c r="B171" s="25" t="s">
        <v>58</v>
      </c>
      <c r="C171" s="25"/>
      <c r="D171" s="25"/>
      <c r="E171" s="25"/>
      <c r="F171" s="25"/>
      <c r="G171" s="25"/>
      <c r="H171" s="25"/>
      <c r="I171" s="25"/>
      <c r="J171" s="25"/>
      <c r="K171" s="25"/>
      <c r="L171" s="25"/>
      <c r="M171" s="25"/>
      <c r="N171" s="25"/>
      <c r="O171" s="25"/>
      <c r="P171" s="25"/>
      <c r="Q171" s="25"/>
      <c r="R171" s="25"/>
      <c r="S171" s="25"/>
      <c r="T171" s="25"/>
      <c r="U171" s="25"/>
      <c r="V171" s="53">
        <f>V72</f>
        <v>1475202</v>
      </c>
      <c r="W171" s="25"/>
      <c r="X171" s="5"/>
    </row>
    <row r="172" spans="1:24" ht="15.6" x14ac:dyDescent="0.3">
      <c r="A172" s="24"/>
      <c r="B172" s="25" t="s">
        <v>59</v>
      </c>
      <c r="C172" s="25"/>
      <c r="D172" s="25"/>
      <c r="E172" s="25"/>
      <c r="F172" s="25"/>
      <c r="G172" s="25"/>
      <c r="H172" s="25"/>
      <c r="I172" s="25"/>
      <c r="J172" s="25"/>
      <c r="K172" s="25"/>
      <c r="L172" s="25"/>
      <c r="M172" s="25"/>
      <c r="N172" s="25"/>
      <c r="O172" s="25"/>
      <c r="P172" s="25"/>
      <c r="Q172" s="25"/>
      <c r="R172" s="25"/>
      <c r="S172" s="25"/>
      <c r="T172" s="25"/>
      <c r="U172" s="25"/>
      <c r="V172" s="53">
        <f>V85</f>
        <v>1475202</v>
      </c>
      <c r="W172" s="25"/>
      <c r="X172" s="5"/>
    </row>
    <row r="173" spans="1:24" ht="16.2" thickBot="1" x14ac:dyDescent="0.35">
      <c r="A173" s="24"/>
      <c r="B173" s="25"/>
      <c r="C173" s="25"/>
      <c r="D173" s="25"/>
      <c r="E173" s="25"/>
      <c r="F173" s="25"/>
      <c r="G173" s="25"/>
      <c r="H173" s="25"/>
      <c r="I173" s="25"/>
      <c r="J173" s="25"/>
      <c r="K173" s="25"/>
      <c r="L173" s="25"/>
      <c r="M173" s="25"/>
      <c r="N173" s="25"/>
      <c r="O173" s="25"/>
      <c r="P173" s="25"/>
      <c r="Q173" s="25"/>
      <c r="R173" s="25"/>
      <c r="S173" s="25"/>
      <c r="T173" s="25"/>
      <c r="U173" s="25"/>
      <c r="V173" s="61"/>
      <c r="W173" s="25"/>
      <c r="X173" s="5"/>
    </row>
    <row r="174" spans="1:24" ht="15.6" x14ac:dyDescent="0.3">
      <c r="A174" s="2"/>
      <c r="B174" s="4"/>
      <c r="C174" s="4"/>
      <c r="D174" s="4"/>
      <c r="E174" s="4"/>
      <c r="F174" s="4"/>
      <c r="G174" s="4"/>
      <c r="H174" s="4"/>
      <c r="I174" s="4"/>
      <c r="J174" s="4"/>
      <c r="K174" s="4"/>
      <c r="L174" s="4"/>
      <c r="M174" s="4"/>
      <c r="N174" s="4"/>
      <c r="O174" s="4"/>
      <c r="P174" s="4"/>
      <c r="Q174" s="4"/>
      <c r="R174" s="4"/>
      <c r="S174" s="4"/>
      <c r="T174" s="4"/>
      <c r="U174" s="4"/>
      <c r="V174" s="50"/>
      <c r="W174" s="4"/>
      <c r="X174" s="5"/>
    </row>
    <row r="175" spans="1:24" ht="15.6" x14ac:dyDescent="0.3">
      <c r="A175" s="6"/>
      <c r="B175" s="119" t="s">
        <v>60</v>
      </c>
      <c r="C175" s="117"/>
      <c r="D175" s="117"/>
      <c r="E175" s="117"/>
      <c r="F175" s="117"/>
      <c r="G175" s="117"/>
      <c r="H175" s="120"/>
      <c r="I175" s="120"/>
      <c r="J175" s="120"/>
      <c r="K175" s="120"/>
      <c r="L175" s="120"/>
      <c r="M175" s="120"/>
      <c r="N175" s="120"/>
      <c r="O175" s="120"/>
      <c r="P175" s="120"/>
      <c r="Q175" s="120"/>
      <c r="R175" s="120"/>
      <c r="S175" s="120" t="s">
        <v>103</v>
      </c>
      <c r="T175" s="120" t="s">
        <v>182</v>
      </c>
      <c r="U175" s="111"/>
      <c r="V175" s="121" t="s">
        <v>119</v>
      </c>
      <c r="W175" s="10"/>
      <c r="X175" s="5"/>
    </row>
    <row r="176" spans="1:24" ht="15.6" x14ac:dyDescent="0.3">
      <c r="A176" s="24"/>
      <c r="B176" s="25" t="s">
        <v>61</v>
      </c>
      <c r="C176" s="25"/>
      <c r="D176" s="25"/>
      <c r="E176" s="25"/>
      <c r="F176" s="25"/>
      <c r="G176" s="25"/>
      <c r="H176" s="25"/>
      <c r="I176" s="25"/>
      <c r="J176" s="25"/>
      <c r="K176" s="25"/>
      <c r="L176" s="25"/>
      <c r="M176" s="25"/>
      <c r="N176" s="25"/>
      <c r="O176" s="25"/>
      <c r="P176" s="25"/>
      <c r="Q176" s="25"/>
      <c r="R176" s="25"/>
      <c r="S176" s="53">
        <f>+V34*0.16</f>
        <v>240032.80000000002</v>
      </c>
      <c r="T176" s="40"/>
      <c r="U176" s="25"/>
      <c r="V176" s="53"/>
      <c r="W176" s="25"/>
      <c r="X176" s="5"/>
    </row>
    <row r="177" spans="1:24" ht="15.6" x14ac:dyDescent="0.3">
      <c r="A177" s="24"/>
      <c r="B177" s="25" t="s">
        <v>62</v>
      </c>
      <c r="C177" s="25"/>
      <c r="D177" s="25"/>
      <c r="E177" s="25"/>
      <c r="F177" s="25"/>
      <c r="G177" s="25"/>
      <c r="H177" s="25"/>
      <c r="I177" s="25"/>
      <c r="J177" s="25"/>
      <c r="K177" s="25"/>
      <c r="L177" s="25"/>
      <c r="M177" s="25"/>
      <c r="N177" s="25"/>
      <c r="O177" s="25"/>
      <c r="P177" s="25"/>
      <c r="Q177" s="25"/>
      <c r="R177" s="25"/>
      <c r="S177" s="53">
        <v>0</v>
      </c>
      <c r="T177" s="53">
        <v>0</v>
      </c>
      <c r="U177" s="25"/>
      <c r="V177" s="53">
        <f>S177+T177</f>
        <v>0</v>
      </c>
      <c r="W177" s="25"/>
      <c r="X177" s="5"/>
    </row>
    <row r="178" spans="1:24" ht="15.6" x14ac:dyDescent="0.3">
      <c r="A178" s="24"/>
      <c r="B178" s="25" t="s">
        <v>63</v>
      </c>
      <c r="C178" s="25"/>
      <c r="D178" s="25"/>
      <c r="E178" s="25"/>
      <c r="F178" s="25"/>
      <c r="G178" s="25"/>
      <c r="H178" s="25"/>
      <c r="I178" s="25"/>
      <c r="J178" s="25"/>
      <c r="K178" s="25"/>
      <c r="L178" s="25"/>
      <c r="M178" s="25"/>
      <c r="N178" s="25"/>
      <c r="O178" s="25"/>
      <c r="P178" s="25"/>
      <c r="Q178" s="25"/>
      <c r="R178" s="25"/>
      <c r="S178" s="34">
        <v>5154</v>
      </c>
      <c r="T178" s="34">
        <v>3699</v>
      </c>
      <c r="U178" s="25"/>
      <c r="V178" s="53">
        <f>S178+T178</f>
        <v>8853</v>
      </c>
      <c r="W178" s="25"/>
      <c r="X178" s="5"/>
    </row>
    <row r="179" spans="1:24" ht="15.6" x14ac:dyDescent="0.3">
      <c r="A179" s="24"/>
      <c r="B179" s="25" t="s">
        <v>64</v>
      </c>
      <c r="C179" s="25"/>
      <c r="D179" s="25"/>
      <c r="E179" s="25"/>
      <c r="F179" s="25"/>
      <c r="G179" s="25"/>
      <c r="H179" s="25"/>
      <c r="I179" s="25"/>
      <c r="J179" s="25"/>
      <c r="K179" s="25"/>
      <c r="L179" s="25"/>
      <c r="M179" s="25"/>
      <c r="N179" s="25"/>
      <c r="O179" s="25"/>
      <c r="P179" s="25"/>
      <c r="Q179" s="25"/>
      <c r="R179" s="25"/>
      <c r="S179" s="53">
        <f>S177+S178</f>
        <v>5154</v>
      </c>
      <c r="T179" s="53">
        <f>T178+T177</f>
        <v>3699</v>
      </c>
      <c r="U179" s="25"/>
      <c r="V179" s="53">
        <f>S179+T179</f>
        <v>8853</v>
      </c>
      <c r="W179" s="25"/>
      <c r="X179" s="5"/>
    </row>
    <row r="180" spans="1:24" ht="15.6" x14ac:dyDescent="0.3">
      <c r="A180" s="24"/>
      <c r="B180" s="25" t="s">
        <v>65</v>
      </c>
      <c r="C180" s="25"/>
      <c r="D180" s="25"/>
      <c r="E180" s="25"/>
      <c r="F180" s="25"/>
      <c r="G180" s="25"/>
      <c r="H180" s="25"/>
      <c r="I180" s="25"/>
      <c r="J180" s="25"/>
      <c r="K180" s="25"/>
      <c r="L180" s="25"/>
      <c r="M180" s="25"/>
      <c r="N180" s="25"/>
      <c r="O180" s="25"/>
      <c r="P180" s="25"/>
      <c r="Q180" s="25"/>
      <c r="R180" s="25"/>
      <c r="S180" s="53">
        <f>S176-S179-T179</f>
        <v>231179.80000000002</v>
      </c>
      <c r="T180" s="40"/>
      <c r="U180" s="25"/>
      <c r="V180" s="53"/>
      <c r="W180" s="25"/>
      <c r="X180" s="5"/>
    </row>
    <row r="181" spans="1:24" ht="16.2" thickBot="1" x14ac:dyDescent="0.35">
      <c r="A181" s="24"/>
      <c r="B181" s="25"/>
      <c r="C181" s="25"/>
      <c r="D181" s="25"/>
      <c r="E181" s="25"/>
      <c r="F181" s="25"/>
      <c r="G181" s="25"/>
      <c r="H181" s="25"/>
      <c r="I181" s="25"/>
      <c r="J181" s="25"/>
      <c r="K181" s="25"/>
      <c r="L181" s="25"/>
      <c r="M181" s="25"/>
      <c r="N181" s="25"/>
      <c r="O181" s="25"/>
      <c r="P181" s="25"/>
      <c r="Q181" s="25"/>
      <c r="R181" s="25"/>
      <c r="S181" s="25"/>
      <c r="T181" s="25"/>
      <c r="U181" s="25"/>
      <c r="V181" s="61"/>
      <c r="W181" s="25"/>
      <c r="X181" s="5"/>
    </row>
    <row r="182" spans="1:24" ht="15.6" x14ac:dyDescent="0.3">
      <c r="A182" s="2"/>
      <c r="B182" s="4"/>
      <c r="C182" s="4"/>
      <c r="D182" s="4"/>
      <c r="E182" s="4"/>
      <c r="F182" s="4"/>
      <c r="G182" s="4"/>
      <c r="H182" s="4"/>
      <c r="I182" s="4"/>
      <c r="J182" s="4"/>
      <c r="K182" s="4"/>
      <c r="L182" s="4"/>
      <c r="M182" s="4"/>
      <c r="N182" s="4"/>
      <c r="O182" s="4"/>
      <c r="P182" s="4"/>
      <c r="Q182" s="4"/>
      <c r="R182" s="4"/>
      <c r="S182" s="4"/>
      <c r="T182" s="4"/>
      <c r="U182" s="4"/>
      <c r="V182" s="50"/>
      <c r="W182" s="4"/>
      <c r="X182" s="5"/>
    </row>
    <row r="183" spans="1:24" ht="15.6" x14ac:dyDescent="0.3">
      <c r="A183" s="6"/>
      <c r="B183" s="119" t="s">
        <v>66</v>
      </c>
      <c r="C183" s="8"/>
      <c r="D183" s="8"/>
      <c r="E183" s="8"/>
      <c r="F183" s="8"/>
      <c r="G183" s="8"/>
      <c r="H183" s="8"/>
      <c r="I183" s="8"/>
      <c r="J183" s="8"/>
      <c r="K183" s="8"/>
      <c r="L183" s="8"/>
      <c r="M183" s="8"/>
      <c r="N183" s="8"/>
      <c r="O183" s="8"/>
      <c r="P183" s="8"/>
      <c r="Q183" s="8"/>
      <c r="R183" s="8"/>
      <c r="S183" s="8"/>
      <c r="T183" s="8"/>
      <c r="U183" s="8"/>
      <c r="V183" s="65"/>
      <c r="W183" s="8"/>
      <c r="X183" s="5"/>
    </row>
    <row r="184" spans="1:24" ht="15.6" x14ac:dyDescent="0.3">
      <c r="A184" s="24"/>
      <c r="B184" s="25" t="s">
        <v>67</v>
      </c>
      <c r="C184" s="25"/>
      <c r="D184" s="25"/>
      <c r="E184" s="25"/>
      <c r="F184" s="25"/>
      <c r="G184" s="25"/>
      <c r="H184" s="25"/>
      <c r="I184" s="25"/>
      <c r="J184" s="25"/>
      <c r="K184" s="25"/>
      <c r="L184" s="25"/>
      <c r="M184" s="25"/>
      <c r="N184" s="25"/>
      <c r="O184" s="25"/>
      <c r="P184" s="25"/>
      <c r="Q184" s="25"/>
      <c r="R184" s="25"/>
      <c r="S184" s="25"/>
      <c r="T184" s="25"/>
      <c r="U184" s="25"/>
      <c r="V184" s="59">
        <f>(V99+V101+V102+V103+V104)/-(V105+V106)</f>
        <v>1.3062679473215171</v>
      </c>
      <c r="W184" s="25" t="s">
        <v>120</v>
      </c>
      <c r="X184" s="5"/>
    </row>
    <row r="185" spans="1:24" ht="15.6" x14ac:dyDescent="0.3">
      <c r="A185" s="24"/>
      <c r="B185" s="25" t="s">
        <v>68</v>
      </c>
      <c r="C185" s="25"/>
      <c r="D185" s="25"/>
      <c r="E185" s="25"/>
      <c r="F185" s="25"/>
      <c r="G185" s="25"/>
      <c r="H185" s="25"/>
      <c r="I185" s="25"/>
      <c r="J185" s="25"/>
      <c r="K185" s="25"/>
      <c r="L185" s="25"/>
      <c r="M185" s="25"/>
      <c r="N185" s="25"/>
      <c r="O185" s="25"/>
      <c r="P185" s="25"/>
      <c r="Q185" s="25"/>
      <c r="R185" s="25"/>
      <c r="S185" s="25"/>
      <c r="T185" s="25"/>
      <c r="U185" s="25"/>
      <c r="V185" s="66">
        <v>1.31</v>
      </c>
      <c r="W185" s="25" t="s">
        <v>120</v>
      </c>
      <c r="X185" s="5"/>
    </row>
    <row r="186" spans="1:24" ht="15.6" x14ac:dyDescent="0.3">
      <c r="A186" s="24"/>
      <c r="B186" s="25" t="s">
        <v>69</v>
      </c>
      <c r="C186" s="25"/>
      <c r="D186" s="25"/>
      <c r="E186" s="25"/>
      <c r="F186" s="25"/>
      <c r="G186" s="25"/>
      <c r="H186" s="25"/>
      <c r="I186" s="25"/>
      <c r="J186" s="25"/>
      <c r="K186" s="25"/>
      <c r="L186" s="25"/>
      <c r="M186" s="25"/>
      <c r="N186" s="25"/>
      <c r="O186" s="25"/>
      <c r="P186" s="25"/>
      <c r="Q186" s="25"/>
      <c r="R186" s="25"/>
      <c r="S186" s="25"/>
      <c r="T186" s="25"/>
      <c r="U186" s="25"/>
      <c r="V186" s="59">
        <f>(V99+V101+V102+V103+V104+V105+V106)/-(V107+V108)</f>
        <v>3.4101433296582138</v>
      </c>
      <c r="W186" s="25" t="s">
        <v>120</v>
      </c>
      <c r="X186" s="5"/>
    </row>
    <row r="187" spans="1:24" ht="15.6" x14ac:dyDescent="0.3">
      <c r="A187" s="24"/>
      <c r="B187" s="25" t="s">
        <v>70</v>
      </c>
      <c r="C187" s="25"/>
      <c r="D187" s="25"/>
      <c r="E187" s="25"/>
      <c r="F187" s="25"/>
      <c r="G187" s="25"/>
      <c r="H187" s="25"/>
      <c r="I187" s="25"/>
      <c r="J187" s="25"/>
      <c r="K187" s="25"/>
      <c r="L187" s="25"/>
      <c r="M187" s="25"/>
      <c r="N187" s="25"/>
      <c r="O187" s="25"/>
      <c r="P187" s="25"/>
      <c r="Q187" s="25"/>
      <c r="R187" s="25"/>
      <c r="S187" s="25"/>
      <c r="T187" s="25"/>
      <c r="U187" s="25"/>
      <c r="V187" s="66">
        <v>3.41</v>
      </c>
      <c r="W187" s="25" t="s">
        <v>120</v>
      </c>
      <c r="X187" s="5"/>
    </row>
    <row r="188" spans="1:24" ht="15.6" x14ac:dyDescent="0.3">
      <c r="A188" s="24"/>
      <c r="B188" s="25" t="s">
        <v>204</v>
      </c>
      <c r="C188" s="25"/>
      <c r="D188" s="25"/>
      <c r="E188" s="25"/>
      <c r="F188" s="25"/>
      <c r="G188" s="25"/>
      <c r="H188" s="25"/>
      <c r="I188" s="25"/>
      <c r="J188" s="25"/>
      <c r="K188" s="25"/>
      <c r="L188" s="25"/>
      <c r="M188" s="25"/>
      <c r="N188" s="25"/>
      <c r="O188" s="25"/>
      <c r="P188" s="25"/>
      <c r="Q188" s="25"/>
      <c r="R188" s="25"/>
      <c r="S188" s="25"/>
      <c r="T188" s="25"/>
      <c r="U188" s="25"/>
      <c r="V188" s="59">
        <f>(V99+V101+V102+V103+V104+V105+V106+V107+V108)/-(V109+V110)</f>
        <v>2.8612565445026177</v>
      </c>
      <c r="W188" s="25" t="s">
        <v>120</v>
      </c>
      <c r="X188" s="5"/>
    </row>
    <row r="189" spans="1:24" ht="15.6" x14ac:dyDescent="0.3">
      <c r="A189" s="24"/>
      <c r="B189" s="25" t="s">
        <v>205</v>
      </c>
      <c r="C189" s="25"/>
      <c r="D189" s="25"/>
      <c r="E189" s="25"/>
      <c r="F189" s="25"/>
      <c r="G189" s="25"/>
      <c r="H189" s="25"/>
      <c r="I189" s="25"/>
      <c r="J189" s="25"/>
      <c r="K189" s="25"/>
      <c r="L189" s="25"/>
      <c r="M189" s="25"/>
      <c r="N189" s="25"/>
      <c r="O189" s="25"/>
      <c r="P189" s="25"/>
      <c r="Q189" s="25"/>
      <c r="R189" s="25"/>
      <c r="S189" s="25"/>
      <c r="T189" s="25"/>
      <c r="U189" s="25"/>
      <c r="V189" s="66">
        <v>2.86</v>
      </c>
      <c r="W189" s="25" t="s">
        <v>120</v>
      </c>
      <c r="X189" s="5"/>
    </row>
    <row r="190" spans="1:24" ht="15.6" x14ac:dyDescent="0.3">
      <c r="A190" s="24"/>
      <c r="B190" s="25"/>
      <c r="C190" s="25"/>
      <c r="D190" s="25"/>
      <c r="E190" s="25"/>
      <c r="F190" s="25"/>
      <c r="G190" s="25"/>
      <c r="H190" s="25"/>
      <c r="I190" s="25"/>
      <c r="J190" s="25"/>
      <c r="K190" s="25"/>
      <c r="L190" s="25"/>
      <c r="M190" s="25"/>
      <c r="N190" s="25"/>
      <c r="O190" s="25"/>
      <c r="P190" s="25"/>
      <c r="Q190" s="25"/>
      <c r="R190" s="25"/>
      <c r="S190" s="25"/>
      <c r="T190" s="25"/>
      <c r="U190" s="25"/>
      <c r="V190" s="25"/>
      <c r="W190" s="25"/>
      <c r="X190" s="5"/>
    </row>
    <row r="191" spans="1:24" ht="15.6" x14ac:dyDescent="0.3">
      <c r="A191" s="24"/>
      <c r="B191" s="25"/>
      <c r="C191" s="25"/>
      <c r="D191" s="25"/>
      <c r="E191" s="25"/>
      <c r="F191" s="25"/>
      <c r="G191" s="25"/>
      <c r="H191" s="25"/>
      <c r="I191" s="25"/>
      <c r="J191" s="25"/>
      <c r="K191" s="25"/>
      <c r="L191" s="25"/>
      <c r="M191" s="25"/>
      <c r="N191" s="25"/>
      <c r="O191" s="25"/>
      <c r="P191" s="25"/>
      <c r="Q191" s="25"/>
      <c r="R191" s="25"/>
      <c r="S191" s="25"/>
      <c r="T191" s="25"/>
      <c r="U191" s="25"/>
      <c r="V191" s="25"/>
      <c r="W191" s="25"/>
      <c r="X191" s="5"/>
    </row>
    <row r="192" spans="1:24" ht="15.6" x14ac:dyDescent="0.3">
      <c r="A192" s="6"/>
      <c r="B192" s="8"/>
      <c r="C192" s="8"/>
      <c r="D192" s="8"/>
      <c r="E192" s="8"/>
      <c r="F192" s="8"/>
      <c r="G192" s="8"/>
      <c r="H192" s="8"/>
      <c r="I192" s="8"/>
      <c r="J192" s="8"/>
      <c r="K192" s="8"/>
      <c r="L192" s="8"/>
      <c r="M192" s="8"/>
      <c r="N192" s="8"/>
      <c r="O192" s="8"/>
      <c r="P192" s="8"/>
      <c r="Q192" s="8"/>
      <c r="R192" s="8"/>
      <c r="S192" s="8"/>
      <c r="T192" s="8"/>
      <c r="U192" s="8"/>
      <c r="V192" s="8"/>
      <c r="W192" s="8"/>
      <c r="X192" s="5"/>
    </row>
    <row r="193" spans="1:24" ht="18" thickBot="1" x14ac:dyDescent="0.35">
      <c r="A193" s="101"/>
      <c r="B193" s="102" t="str">
        <f>B134</f>
        <v>PM12 INVESTOR REPORT QUARTER ENDING OCTOBER 2006</v>
      </c>
      <c r="C193" s="107"/>
      <c r="D193" s="107"/>
      <c r="E193" s="107"/>
      <c r="F193" s="107"/>
      <c r="G193" s="107"/>
      <c r="H193" s="107"/>
      <c r="I193" s="107"/>
      <c r="J193" s="107"/>
      <c r="K193" s="107"/>
      <c r="L193" s="107"/>
      <c r="M193" s="107"/>
      <c r="N193" s="107"/>
      <c r="O193" s="107"/>
      <c r="P193" s="107"/>
      <c r="Q193" s="107"/>
      <c r="R193" s="107"/>
      <c r="S193" s="107"/>
      <c r="T193" s="107"/>
      <c r="U193" s="107"/>
      <c r="V193" s="107"/>
      <c r="W193" s="108"/>
      <c r="X193" s="5"/>
    </row>
    <row r="194" spans="1:24" ht="15.6" x14ac:dyDescent="0.3">
      <c r="A194" s="67"/>
      <c r="B194" s="60" t="s">
        <v>71</v>
      </c>
      <c r="C194" s="68"/>
      <c r="D194" s="68"/>
      <c r="E194" s="68"/>
      <c r="F194" s="68"/>
      <c r="G194" s="69"/>
      <c r="H194" s="69"/>
      <c r="I194" s="69"/>
      <c r="J194" s="69"/>
      <c r="K194" s="69"/>
      <c r="L194" s="69"/>
      <c r="M194" s="69"/>
      <c r="N194" s="69"/>
      <c r="O194" s="69"/>
      <c r="P194" s="69"/>
      <c r="Q194" s="69"/>
      <c r="R194" s="69"/>
      <c r="S194" s="69"/>
      <c r="T194" s="70">
        <v>39021</v>
      </c>
      <c r="U194" s="4"/>
      <c r="V194" s="4"/>
      <c r="W194" s="4"/>
      <c r="X194" s="5"/>
    </row>
    <row r="195" spans="1:24" ht="15.6" x14ac:dyDescent="0.3">
      <c r="A195" s="71"/>
      <c r="B195" s="72"/>
      <c r="C195" s="73"/>
      <c r="D195" s="73"/>
      <c r="E195" s="73"/>
      <c r="F195" s="73"/>
      <c r="G195" s="74"/>
      <c r="H195" s="74"/>
      <c r="I195" s="74"/>
      <c r="J195" s="74"/>
      <c r="K195" s="74"/>
      <c r="L195" s="74"/>
      <c r="M195" s="74"/>
      <c r="N195" s="74"/>
      <c r="O195" s="74"/>
      <c r="P195" s="74"/>
      <c r="Q195" s="74"/>
      <c r="R195" s="74"/>
      <c r="S195" s="74"/>
      <c r="T195" s="74"/>
      <c r="U195" s="8"/>
      <c r="V195" s="8"/>
      <c r="W195" s="8"/>
      <c r="X195" s="5"/>
    </row>
    <row r="196" spans="1:24" ht="15.6" x14ac:dyDescent="0.3">
      <c r="A196" s="75"/>
      <c r="B196" s="76" t="s">
        <v>72</v>
      </c>
      <c r="C196" s="77"/>
      <c r="D196" s="77"/>
      <c r="E196" s="77"/>
      <c r="F196" s="77"/>
      <c r="G196" s="64"/>
      <c r="H196" s="64"/>
      <c r="I196" s="64"/>
      <c r="J196" s="64"/>
      <c r="K196" s="64"/>
      <c r="L196" s="64"/>
      <c r="M196" s="64"/>
      <c r="N196" s="64"/>
      <c r="O196" s="64"/>
      <c r="P196" s="64"/>
      <c r="Q196" s="64"/>
      <c r="R196" s="64"/>
      <c r="S196" s="64"/>
      <c r="T196" s="78">
        <v>5.2060000000000002E-2</v>
      </c>
      <c r="U196" s="25"/>
      <c r="V196" s="25"/>
      <c r="W196" s="25"/>
      <c r="X196" s="5"/>
    </row>
    <row r="197" spans="1:24" ht="15.6" x14ac:dyDescent="0.3">
      <c r="A197" s="75"/>
      <c r="B197" s="76" t="s">
        <v>156</v>
      </c>
      <c r="C197" s="77"/>
      <c r="D197" s="77"/>
      <c r="E197" s="77"/>
      <c r="F197" s="77"/>
      <c r="G197" s="64"/>
      <c r="H197" s="64"/>
      <c r="I197" s="64"/>
      <c r="J197" s="64"/>
      <c r="K197" s="64"/>
      <c r="L197" s="64"/>
      <c r="M197" s="64"/>
      <c r="N197" s="64"/>
      <c r="O197" s="64"/>
      <c r="P197" s="64"/>
      <c r="Q197" s="64"/>
      <c r="R197" s="64"/>
      <c r="S197" s="64"/>
      <c r="T197" s="39">
        <f>+V43</f>
        <v>4.8538814772447772E-2</v>
      </c>
      <c r="U197" s="25"/>
      <c r="V197" s="25"/>
      <c r="W197" s="25"/>
      <c r="X197" s="5"/>
    </row>
    <row r="198" spans="1:24" ht="15.6" x14ac:dyDescent="0.3">
      <c r="A198" s="75"/>
      <c r="B198" s="76" t="s">
        <v>73</v>
      </c>
      <c r="C198" s="77"/>
      <c r="D198" s="77"/>
      <c r="E198" s="77"/>
      <c r="F198" s="77"/>
      <c r="G198" s="64"/>
      <c r="H198" s="64"/>
      <c r="I198" s="64"/>
      <c r="J198" s="64"/>
      <c r="K198" s="64"/>
      <c r="L198" s="64"/>
      <c r="M198" s="64"/>
      <c r="N198" s="64"/>
      <c r="O198" s="64"/>
      <c r="P198" s="64"/>
      <c r="Q198" s="64"/>
      <c r="R198" s="64"/>
      <c r="S198" s="64"/>
      <c r="T198" s="78">
        <f>T196-T197</f>
        <v>3.5211852275522301E-3</v>
      </c>
      <c r="U198" s="25"/>
      <c r="V198" s="25"/>
      <c r="W198" s="25"/>
      <c r="X198" s="5"/>
    </row>
    <row r="199" spans="1:24" ht="15.6" x14ac:dyDescent="0.3">
      <c r="A199" s="75"/>
      <c r="B199" s="76" t="s">
        <v>74</v>
      </c>
      <c r="C199" s="77"/>
      <c r="D199" s="77"/>
      <c r="E199" s="77"/>
      <c r="F199" s="77"/>
      <c r="G199" s="64"/>
      <c r="H199" s="64"/>
      <c r="I199" s="64"/>
      <c r="J199" s="64"/>
      <c r="K199" s="64"/>
      <c r="L199" s="64"/>
      <c r="M199" s="64"/>
      <c r="N199" s="64"/>
      <c r="O199" s="64"/>
      <c r="P199" s="64"/>
      <c r="Q199" s="64"/>
      <c r="R199" s="64"/>
      <c r="S199" s="64"/>
      <c r="T199" s="78">
        <v>5.2299999999999999E-2</v>
      </c>
      <c r="U199" s="25"/>
      <c r="V199" s="25"/>
      <c r="W199" s="25"/>
      <c r="X199" s="5"/>
    </row>
    <row r="200" spans="1:24" ht="15.6" x14ac:dyDescent="0.3">
      <c r="A200" s="75"/>
      <c r="B200" s="76" t="s">
        <v>225</v>
      </c>
      <c r="C200" s="77"/>
      <c r="D200" s="77"/>
      <c r="E200" s="77"/>
      <c r="F200" s="77"/>
      <c r="G200" s="64"/>
      <c r="H200" s="64"/>
      <c r="I200" s="64"/>
      <c r="J200" s="64"/>
      <c r="K200" s="64"/>
      <c r="L200" s="64"/>
      <c r="M200" s="64"/>
      <c r="N200" s="64"/>
      <c r="O200" s="64"/>
      <c r="P200" s="64"/>
      <c r="Q200" s="64"/>
      <c r="R200" s="64"/>
      <c r="S200" s="64"/>
      <c r="T200" s="78">
        <f>V43</f>
        <v>4.8538814772447772E-2</v>
      </c>
      <c r="U200" s="25"/>
      <c r="V200" s="25"/>
      <c r="W200" s="25"/>
      <c r="X200" s="5"/>
    </row>
    <row r="201" spans="1:24" ht="15.6" x14ac:dyDescent="0.3">
      <c r="A201" s="75"/>
      <c r="B201" s="76" t="s">
        <v>75</v>
      </c>
      <c r="C201" s="77"/>
      <c r="D201" s="77"/>
      <c r="E201" s="77"/>
      <c r="F201" s="77"/>
      <c r="G201" s="64"/>
      <c r="H201" s="64"/>
      <c r="I201" s="64"/>
      <c r="J201" s="64"/>
      <c r="K201" s="64"/>
      <c r="L201" s="64"/>
      <c r="M201" s="64"/>
      <c r="N201" s="64"/>
      <c r="O201" s="64"/>
      <c r="P201" s="64"/>
      <c r="Q201" s="64"/>
      <c r="R201" s="64"/>
      <c r="S201" s="64"/>
      <c r="T201" s="78">
        <f>T199-T200</f>
        <v>3.7611852275522273E-3</v>
      </c>
      <c r="U201" s="25"/>
      <c r="V201" s="25"/>
      <c r="W201" s="25"/>
      <c r="X201" s="5"/>
    </row>
    <row r="202" spans="1:24" ht="15.6" x14ac:dyDescent="0.3">
      <c r="A202" s="75"/>
      <c r="B202" s="76" t="s">
        <v>271</v>
      </c>
      <c r="C202" s="77"/>
      <c r="D202" s="77"/>
      <c r="E202" s="77"/>
      <c r="F202" s="77"/>
      <c r="G202" s="64"/>
      <c r="H202" s="64"/>
      <c r="I202" s="64"/>
      <c r="J202" s="64"/>
      <c r="K202" s="64"/>
      <c r="L202" s="64"/>
      <c r="M202" s="64"/>
      <c r="N202" s="64"/>
      <c r="O202" s="64"/>
      <c r="P202" s="64"/>
      <c r="Q202" s="64"/>
      <c r="R202" s="64"/>
      <c r="S202" s="64"/>
      <c r="T202" s="78">
        <f>(+V99+V101)/L72</f>
        <v>1.8532146294770579E-2</v>
      </c>
      <c r="U202" s="25"/>
      <c r="V202" s="25"/>
      <c r="W202" s="25"/>
      <c r="X202" s="5"/>
    </row>
    <row r="203" spans="1:24" ht="15.6" x14ac:dyDescent="0.3">
      <c r="A203" s="75"/>
      <c r="B203" s="76" t="s">
        <v>214</v>
      </c>
      <c r="C203" s="77"/>
      <c r="D203" s="77"/>
      <c r="E203" s="77"/>
      <c r="F203" s="77"/>
      <c r="G203" s="64"/>
      <c r="H203" s="64"/>
      <c r="I203" s="64"/>
      <c r="J203" s="64"/>
      <c r="K203" s="64"/>
      <c r="L203" s="64"/>
      <c r="M203" s="64"/>
      <c r="N203" s="64"/>
      <c r="O203" s="64"/>
      <c r="P203" s="64"/>
      <c r="Q203" s="64"/>
      <c r="R203" s="64"/>
      <c r="S203" s="64"/>
      <c r="T203" s="129">
        <v>50710</v>
      </c>
      <c r="U203" s="25"/>
      <c r="V203" s="25"/>
      <c r="W203" s="25"/>
      <c r="X203" s="5"/>
    </row>
    <row r="204" spans="1:24" ht="15.6" x14ac:dyDescent="0.3">
      <c r="A204" s="75"/>
      <c r="B204" s="76" t="s">
        <v>215</v>
      </c>
      <c r="C204" s="77"/>
      <c r="D204" s="77"/>
      <c r="E204" s="77"/>
      <c r="F204" s="77"/>
      <c r="G204" s="64"/>
      <c r="H204" s="64"/>
      <c r="I204" s="64"/>
      <c r="J204" s="64"/>
      <c r="K204" s="64"/>
      <c r="L204" s="64"/>
      <c r="M204" s="64"/>
      <c r="N204" s="64"/>
      <c r="O204" s="64"/>
      <c r="P204" s="64"/>
      <c r="Q204" s="64"/>
      <c r="R204" s="64"/>
      <c r="S204" s="64"/>
      <c r="T204" s="129">
        <v>50710</v>
      </c>
      <c r="U204" s="25"/>
      <c r="V204" s="25"/>
      <c r="W204" s="25"/>
      <c r="X204" s="5"/>
    </row>
    <row r="205" spans="1:24" ht="15.6" x14ac:dyDescent="0.3">
      <c r="A205" s="75"/>
      <c r="B205" s="76" t="s">
        <v>216</v>
      </c>
      <c r="C205" s="77"/>
      <c r="D205" s="77"/>
      <c r="E205" s="77"/>
      <c r="F205" s="77"/>
      <c r="G205" s="64"/>
      <c r="H205" s="64"/>
      <c r="I205" s="64"/>
      <c r="J205" s="64"/>
      <c r="K205" s="64"/>
      <c r="L205" s="64"/>
      <c r="M205" s="64"/>
      <c r="N205" s="64"/>
      <c r="O205" s="64"/>
      <c r="P205" s="64"/>
      <c r="Q205" s="64"/>
      <c r="R205" s="64"/>
      <c r="S205" s="64"/>
      <c r="T205" s="129">
        <v>50710</v>
      </c>
      <c r="U205" s="25"/>
      <c r="V205" s="25"/>
      <c r="W205" s="25"/>
      <c r="X205" s="5"/>
    </row>
    <row r="206" spans="1:24" ht="15.6" x14ac:dyDescent="0.3">
      <c r="A206" s="75"/>
      <c r="B206" s="76" t="s">
        <v>76</v>
      </c>
      <c r="C206" s="77"/>
      <c r="D206" s="77"/>
      <c r="E206" s="77"/>
      <c r="F206" s="77"/>
      <c r="G206" s="64"/>
      <c r="H206" s="64"/>
      <c r="I206" s="64"/>
      <c r="J206" s="64"/>
      <c r="K206" s="64"/>
      <c r="L206" s="64"/>
      <c r="M206" s="64"/>
      <c r="N206" s="64"/>
      <c r="O206" s="64"/>
      <c r="P206" s="64"/>
      <c r="Q206" s="64"/>
      <c r="R206" s="64"/>
      <c r="S206" s="64"/>
      <c r="T206" s="133">
        <v>21.06</v>
      </c>
      <c r="U206" s="25" t="s">
        <v>115</v>
      </c>
      <c r="V206" s="25"/>
      <c r="W206" s="25"/>
      <c r="X206" s="5"/>
    </row>
    <row r="207" spans="1:24" ht="15.6" x14ac:dyDescent="0.3">
      <c r="A207" s="75"/>
      <c r="B207" s="76" t="s">
        <v>77</v>
      </c>
      <c r="C207" s="77"/>
      <c r="D207" s="77"/>
      <c r="E207" s="77"/>
      <c r="F207" s="77"/>
      <c r="G207" s="64"/>
      <c r="H207" s="64"/>
      <c r="I207" s="64"/>
      <c r="J207" s="64"/>
      <c r="K207" s="64"/>
      <c r="L207" s="64"/>
      <c r="M207" s="64"/>
      <c r="N207" s="64"/>
      <c r="O207" s="64"/>
      <c r="P207" s="64"/>
      <c r="Q207" s="64"/>
      <c r="R207" s="64"/>
      <c r="S207" s="64"/>
      <c r="T207" s="133">
        <v>20.85</v>
      </c>
      <c r="U207" s="25" t="s">
        <v>115</v>
      </c>
      <c r="V207" s="25"/>
      <c r="W207" s="25"/>
      <c r="X207" s="5"/>
    </row>
    <row r="208" spans="1:24" ht="15.6" x14ac:dyDescent="0.3">
      <c r="A208" s="75"/>
      <c r="B208" s="76" t="s">
        <v>78</v>
      </c>
      <c r="C208" s="77"/>
      <c r="D208" s="77"/>
      <c r="E208" s="77"/>
      <c r="F208" s="77"/>
      <c r="G208" s="64"/>
      <c r="H208" s="64"/>
      <c r="I208" s="64"/>
      <c r="J208" s="64"/>
      <c r="K208" s="64"/>
      <c r="L208" s="64"/>
      <c r="M208" s="64"/>
      <c r="N208" s="64"/>
      <c r="O208" s="64"/>
      <c r="P208" s="64"/>
      <c r="Q208" s="64"/>
      <c r="R208" s="64"/>
      <c r="S208" s="64"/>
      <c r="T208" s="78">
        <f>+P69/N69</f>
        <v>2.2616224114462305E-2</v>
      </c>
      <c r="U208" s="25"/>
      <c r="V208" s="25"/>
      <c r="W208" s="25"/>
      <c r="X208" s="5"/>
    </row>
    <row r="209" spans="1:24" ht="15.6" x14ac:dyDescent="0.3">
      <c r="A209" s="75"/>
      <c r="B209" s="76" t="s">
        <v>79</v>
      </c>
      <c r="C209" s="77"/>
      <c r="D209" s="77"/>
      <c r="E209" s="77"/>
      <c r="F209" s="77"/>
      <c r="G209" s="64"/>
      <c r="H209" s="64"/>
      <c r="I209" s="64"/>
      <c r="J209" s="64"/>
      <c r="K209" s="64"/>
      <c r="L209" s="64"/>
      <c r="M209" s="64"/>
      <c r="N209" s="64"/>
      <c r="O209" s="64"/>
      <c r="P209" s="64"/>
      <c r="Q209" s="64"/>
      <c r="R209" s="64"/>
      <c r="S209" s="64"/>
      <c r="T209" s="78">
        <v>7.7100000000000002E-2</v>
      </c>
      <c r="U209" s="25"/>
      <c r="V209" s="25"/>
      <c r="W209" s="25"/>
      <c r="X209" s="5"/>
    </row>
    <row r="210" spans="1:24" ht="15.6" x14ac:dyDescent="0.3">
      <c r="A210" s="75"/>
      <c r="B210" s="76"/>
      <c r="C210" s="76"/>
      <c r="D210" s="76"/>
      <c r="E210" s="76"/>
      <c r="F210" s="76"/>
      <c r="G210" s="25"/>
      <c r="H210" s="25"/>
      <c r="I210" s="25"/>
      <c r="J210" s="25"/>
      <c r="K210" s="25"/>
      <c r="L210" s="25"/>
      <c r="M210" s="25"/>
      <c r="N210" s="25"/>
      <c r="O210" s="25"/>
      <c r="P210" s="25"/>
      <c r="Q210" s="25"/>
      <c r="R210" s="25"/>
      <c r="S210" s="25"/>
      <c r="T210" s="61"/>
      <c r="U210" s="25"/>
      <c r="V210" s="79"/>
      <c r="W210" s="25"/>
      <c r="X210" s="5"/>
    </row>
    <row r="211" spans="1:24" ht="15.6" x14ac:dyDescent="0.3">
      <c r="A211" s="80"/>
      <c r="B211" s="14" t="s">
        <v>80</v>
      </c>
      <c r="C211" s="81"/>
      <c r="D211" s="81"/>
      <c r="E211" s="81"/>
      <c r="F211" s="82"/>
      <c r="G211" s="81"/>
      <c r="H211" s="17"/>
      <c r="I211" s="17"/>
      <c r="J211" s="17"/>
      <c r="K211" s="17"/>
      <c r="L211" s="17"/>
      <c r="M211" s="17"/>
      <c r="N211" s="17"/>
      <c r="O211" s="17"/>
      <c r="P211" s="17"/>
      <c r="Q211" s="17"/>
      <c r="R211" s="17"/>
      <c r="S211" s="17" t="s">
        <v>104</v>
      </c>
      <c r="T211" s="83" t="s">
        <v>111</v>
      </c>
      <c r="U211" s="8"/>
      <c r="V211" s="8"/>
      <c r="W211" s="8"/>
      <c r="X211" s="5"/>
    </row>
    <row r="212" spans="1:24" ht="15.6" x14ac:dyDescent="0.3">
      <c r="A212" s="84"/>
      <c r="B212" s="76" t="s">
        <v>81</v>
      </c>
      <c r="C212" s="54"/>
      <c r="D212" s="54"/>
      <c r="E212" s="54"/>
      <c r="F212" s="25"/>
      <c r="G212" s="25"/>
      <c r="H212" s="30"/>
      <c r="I212" s="30"/>
      <c r="J212" s="30"/>
      <c r="K212" s="30"/>
      <c r="L212" s="30"/>
      <c r="M212" s="30"/>
      <c r="N212" s="30"/>
      <c r="O212" s="30"/>
      <c r="P212" s="30"/>
      <c r="Q212" s="30"/>
      <c r="R212" s="30"/>
      <c r="S212" s="30">
        <v>0</v>
      </c>
      <c r="T212" s="85">
        <v>0</v>
      </c>
      <c r="U212" s="25"/>
      <c r="V212" s="79"/>
      <c r="W212" s="86"/>
      <c r="X212" s="5"/>
    </row>
    <row r="213" spans="1:24" ht="15.6" x14ac:dyDescent="0.3">
      <c r="A213" s="84"/>
      <c r="B213" s="76" t="s">
        <v>150</v>
      </c>
      <c r="C213" s="54"/>
      <c r="D213" s="54"/>
      <c r="E213" s="54"/>
      <c r="F213" s="25"/>
      <c r="G213" s="25"/>
      <c r="H213" s="30"/>
      <c r="I213" s="30"/>
      <c r="J213" s="30"/>
      <c r="K213" s="30"/>
      <c r="L213" s="30"/>
      <c r="M213" s="30"/>
      <c r="N213" s="30"/>
      <c r="O213" s="30"/>
      <c r="P213" s="30"/>
      <c r="Q213" s="30"/>
      <c r="R213" s="30"/>
      <c r="S213" s="152">
        <f>+R253</f>
        <v>7</v>
      </c>
      <c r="T213" s="85">
        <f>+T253</f>
        <v>1559</v>
      </c>
      <c r="U213" s="25"/>
      <c r="V213" s="79"/>
      <c r="W213" s="86"/>
      <c r="X213" s="5"/>
    </row>
    <row r="214" spans="1:24" ht="15.6" x14ac:dyDescent="0.3">
      <c r="A214" s="84"/>
      <c r="B214" s="76" t="s">
        <v>82</v>
      </c>
      <c r="C214" s="54"/>
      <c r="D214" s="54"/>
      <c r="E214" s="54"/>
      <c r="F214" s="25"/>
      <c r="G214" s="25"/>
      <c r="H214" s="30"/>
      <c r="I214" s="30"/>
      <c r="J214" s="30"/>
      <c r="K214" s="30"/>
      <c r="L214" s="30"/>
      <c r="M214" s="30"/>
      <c r="N214" s="30"/>
      <c r="O214" s="30"/>
      <c r="P214" s="30"/>
      <c r="Q214" s="30"/>
      <c r="R214" s="30"/>
      <c r="S214" s="30">
        <v>0</v>
      </c>
      <c r="T214" s="85">
        <v>0</v>
      </c>
      <c r="U214" s="25"/>
      <c r="V214" s="79"/>
      <c r="W214" s="86"/>
      <c r="X214" s="5"/>
    </row>
    <row r="215" spans="1:24" ht="15.6" x14ac:dyDescent="0.3">
      <c r="A215" s="84"/>
      <c r="B215" s="122" t="s">
        <v>83</v>
      </c>
      <c r="C215" s="54"/>
      <c r="D215" s="54"/>
      <c r="E215" s="54"/>
      <c r="F215" s="25"/>
      <c r="G215" s="25"/>
      <c r="H215" s="25"/>
      <c r="I215" s="25"/>
      <c r="J215" s="25"/>
      <c r="K215" s="25"/>
      <c r="L215" s="25"/>
      <c r="M215" s="25"/>
      <c r="N215" s="25"/>
      <c r="O215" s="25"/>
      <c r="P215" s="25"/>
      <c r="Q215" s="25"/>
      <c r="R215" s="25"/>
      <c r="S215" s="25"/>
      <c r="T215" s="85">
        <v>0</v>
      </c>
      <c r="U215" s="25"/>
      <c r="V215" s="79"/>
      <c r="W215" s="86"/>
      <c r="X215" s="5"/>
    </row>
    <row r="216" spans="1:24" ht="15.6" x14ac:dyDescent="0.3">
      <c r="A216" s="84"/>
      <c r="B216" s="122" t="s">
        <v>84</v>
      </c>
      <c r="C216" s="54"/>
      <c r="D216" s="54"/>
      <c r="E216" s="54"/>
      <c r="F216" s="25"/>
      <c r="G216" s="25"/>
      <c r="H216" s="25"/>
      <c r="I216" s="25"/>
      <c r="J216" s="25"/>
      <c r="K216" s="25"/>
      <c r="L216" s="25"/>
      <c r="M216" s="25"/>
      <c r="N216" s="25"/>
      <c r="O216" s="25"/>
      <c r="P216" s="25"/>
      <c r="Q216" s="25"/>
      <c r="R216" s="25"/>
      <c r="S216" s="25"/>
      <c r="T216" s="62" t="s">
        <v>112</v>
      </c>
      <c r="U216" s="25"/>
      <c r="V216" s="79"/>
      <c r="W216" s="86"/>
      <c r="X216" s="5"/>
    </row>
    <row r="217" spans="1:24" ht="15.6" x14ac:dyDescent="0.3">
      <c r="A217" s="87"/>
      <c r="B217" s="122" t="s">
        <v>85</v>
      </c>
      <c r="C217" s="76"/>
      <c r="D217" s="76"/>
      <c r="E217" s="76"/>
      <c r="F217" s="76"/>
      <c r="G217" s="25"/>
      <c r="H217" s="25"/>
      <c r="I217" s="25"/>
      <c r="J217" s="25"/>
      <c r="K217" s="25"/>
      <c r="L217" s="25"/>
      <c r="M217" s="25"/>
      <c r="N217" s="25"/>
      <c r="O217" s="25"/>
      <c r="P217" s="25"/>
      <c r="Q217" s="25"/>
      <c r="R217" s="25"/>
      <c r="S217" s="25"/>
      <c r="T217" s="85"/>
      <c r="U217" s="25"/>
      <c r="V217" s="79"/>
      <c r="W217" s="88"/>
      <c r="X217" s="5"/>
    </row>
    <row r="218" spans="1:24" ht="15.6" x14ac:dyDescent="0.3">
      <c r="A218" s="87"/>
      <c r="B218" s="131" t="s">
        <v>86</v>
      </c>
      <c r="C218" s="76"/>
      <c r="D218" s="76"/>
      <c r="E218" s="76"/>
      <c r="F218" s="76"/>
      <c r="G218" s="25"/>
      <c r="H218" s="25"/>
      <c r="I218" s="25"/>
      <c r="J218" s="25"/>
      <c r="K218" s="25"/>
      <c r="L218" s="25"/>
      <c r="M218" s="25"/>
      <c r="N218" s="25"/>
      <c r="O218" s="25"/>
      <c r="P218" s="25"/>
      <c r="Q218" s="25"/>
      <c r="R218" s="25"/>
      <c r="S218" s="30">
        <v>0</v>
      </c>
      <c r="T218" s="85">
        <f>V163</f>
        <v>0</v>
      </c>
      <c r="U218" s="25"/>
      <c r="V218" s="79"/>
      <c r="W218" s="88"/>
      <c r="X218" s="5"/>
    </row>
    <row r="219" spans="1:24" ht="15.6" x14ac:dyDescent="0.3">
      <c r="A219" s="84"/>
      <c r="B219" s="76" t="s">
        <v>87</v>
      </c>
      <c r="C219" s="54"/>
      <c r="D219" s="54"/>
      <c r="E219" s="54"/>
      <c r="F219" s="54"/>
      <c r="G219" s="25"/>
      <c r="H219" s="25"/>
      <c r="I219" s="25"/>
      <c r="J219" s="25"/>
      <c r="K219" s="25"/>
      <c r="L219" s="25"/>
      <c r="M219" s="25"/>
      <c r="N219" s="25"/>
      <c r="O219" s="25"/>
      <c r="P219" s="25"/>
      <c r="Q219" s="25"/>
      <c r="R219" s="25"/>
      <c r="S219" s="30">
        <v>0</v>
      </c>
      <c r="T219" s="85">
        <f>+T218</f>
        <v>0</v>
      </c>
      <c r="U219" s="25"/>
      <c r="V219" s="79"/>
      <c r="W219" s="88"/>
      <c r="X219" s="5"/>
    </row>
    <row r="220" spans="1:24" ht="15.6" x14ac:dyDescent="0.3">
      <c r="A220" s="87"/>
      <c r="B220" s="122" t="s">
        <v>292</v>
      </c>
      <c r="C220" s="76"/>
      <c r="D220" s="76"/>
      <c r="E220" s="76"/>
      <c r="F220" s="76"/>
      <c r="G220" s="25"/>
      <c r="H220" s="25"/>
      <c r="I220" s="25"/>
      <c r="J220" s="25"/>
      <c r="K220" s="25"/>
      <c r="L220" s="25"/>
      <c r="M220" s="25"/>
      <c r="N220" s="25"/>
      <c r="O220" s="25"/>
      <c r="P220" s="25"/>
      <c r="Q220" s="25"/>
      <c r="R220" s="25"/>
      <c r="S220" s="30"/>
      <c r="T220" s="85"/>
      <c r="U220" s="25"/>
      <c r="V220" s="79"/>
      <c r="W220" s="88"/>
      <c r="X220" s="5"/>
    </row>
    <row r="221" spans="1:24" ht="15.6" x14ac:dyDescent="0.3">
      <c r="A221" s="87"/>
      <c r="B221" s="76" t="s">
        <v>290</v>
      </c>
      <c r="C221" s="76"/>
      <c r="D221" s="76"/>
      <c r="E221" s="76"/>
      <c r="F221" s="76"/>
      <c r="G221" s="25"/>
      <c r="H221" s="25"/>
      <c r="I221" s="25"/>
      <c r="J221" s="25"/>
      <c r="K221" s="25"/>
      <c r="L221" s="25"/>
      <c r="M221" s="25"/>
      <c r="N221" s="25"/>
      <c r="O221" s="25"/>
      <c r="P221" s="25"/>
      <c r="Q221" s="25"/>
      <c r="R221" s="25"/>
      <c r="S221" s="30">
        <v>0</v>
      </c>
      <c r="T221" s="85">
        <v>0</v>
      </c>
      <c r="U221" s="25"/>
      <c r="V221" s="79"/>
      <c r="W221" s="88"/>
      <c r="X221" s="5"/>
    </row>
    <row r="222" spans="1:24" ht="15.6" x14ac:dyDescent="0.3">
      <c r="A222" s="84"/>
      <c r="B222" s="76" t="s">
        <v>88</v>
      </c>
      <c r="C222" s="89"/>
      <c r="D222" s="89"/>
      <c r="E222" s="89"/>
      <c r="F222" s="90"/>
      <c r="G222" s="25"/>
      <c r="H222" s="25"/>
      <c r="I222" s="25"/>
      <c r="J222" s="25"/>
      <c r="K222" s="25"/>
      <c r="L222" s="25"/>
      <c r="M222" s="25"/>
      <c r="N222" s="25"/>
      <c r="O222" s="25"/>
      <c r="P222" s="25"/>
      <c r="Q222" s="25"/>
      <c r="R222" s="25"/>
      <c r="S222" s="25"/>
      <c r="T222" s="62">
        <v>0</v>
      </c>
      <c r="U222" s="25"/>
      <c r="V222" s="79"/>
      <c r="W222" s="88"/>
      <c r="X222" s="5"/>
    </row>
    <row r="223" spans="1:24" ht="15.6" x14ac:dyDescent="0.3">
      <c r="A223" s="84"/>
      <c r="B223" s="76" t="s">
        <v>89</v>
      </c>
      <c r="C223" s="89"/>
      <c r="D223" s="89"/>
      <c r="E223" s="89"/>
      <c r="F223" s="90"/>
      <c r="G223" s="25"/>
      <c r="H223" s="25"/>
      <c r="I223" s="25"/>
      <c r="J223" s="25"/>
      <c r="K223" s="25"/>
      <c r="L223" s="25"/>
      <c r="M223" s="25"/>
      <c r="N223" s="25"/>
      <c r="O223" s="25"/>
      <c r="P223" s="25"/>
      <c r="Q223" s="25"/>
      <c r="R223" s="25"/>
      <c r="S223" s="25"/>
      <c r="T223" s="62">
        <v>0</v>
      </c>
      <c r="U223" s="25"/>
      <c r="V223" s="79"/>
      <c r="W223" s="88"/>
      <c r="X223" s="5"/>
    </row>
    <row r="224" spans="1:24" ht="15.6" x14ac:dyDescent="0.3">
      <c r="A224" s="84"/>
      <c r="B224" s="122" t="s">
        <v>223</v>
      </c>
      <c r="C224" s="89"/>
      <c r="D224" s="89"/>
      <c r="E224" s="89"/>
      <c r="F224" s="90"/>
      <c r="G224" s="25"/>
      <c r="H224" s="25"/>
      <c r="I224" s="25"/>
      <c r="J224" s="25"/>
      <c r="K224" s="25"/>
      <c r="L224" s="25"/>
      <c r="M224" s="25"/>
      <c r="N224" s="25"/>
      <c r="O224" s="25"/>
      <c r="P224" s="25"/>
      <c r="Q224" s="25"/>
      <c r="R224" s="25"/>
      <c r="S224" s="25"/>
      <c r="T224" s="91"/>
      <c r="U224" s="25"/>
      <c r="V224" s="79"/>
      <c r="W224" s="88"/>
      <c r="X224" s="5"/>
    </row>
    <row r="225" spans="1:25" ht="15.6" x14ac:dyDescent="0.3">
      <c r="A225" s="84"/>
      <c r="B225" s="76" t="s">
        <v>290</v>
      </c>
      <c r="C225" s="89"/>
      <c r="D225" s="89"/>
      <c r="E225" s="89"/>
      <c r="F225" s="90"/>
      <c r="G225" s="25"/>
      <c r="H225" s="25"/>
      <c r="I225" s="25"/>
      <c r="J225" s="25"/>
      <c r="K225" s="25"/>
      <c r="L225" s="25"/>
      <c r="M225" s="25"/>
      <c r="N225" s="25"/>
      <c r="O225" s="25"/>
      <c r="P225" s="25"/>
      <c r="Q225" s="25"/>
      <c r="R225" s="25"/>
      <c r="S225" s="30">
        <v>0</v>
      </c>
      <c r="T225" s="85">
        <v>0</v>
      </c>
      <c r="U225" s="25"/>
      <c r="V225" s="79"/>
      <c r="W225" s="88"/>
      <c r="X225" s="5"/>
    </row>
    <row r="226" spans="1:25" ht="15.6" x14ac:dyDescent="0.3">
      <c r="A226" s="84"/>
      <c r="B226" s="76" t="s">
        <v>224</v>
      </c>
      <c r="C226" s="89"/>
      <c r="D226" s="89"/>
      <c r="E226" s="89"/>
      <c r="F226" s="90"/>
      <c r="G226" s="25"/>
      <c r="H226" s="25"/>
      <c r="I226" s="25"/>
      <c r="J226" s="25"/>
      <c r="K226" s="25"/>
      <c r="L226" s="25"/>
      <c r="M226" s="25"/>
      <c r="N226" s="25"/>
      <c r="O226" s="25"/>
      <c r="P226" s="25"/>
      <c r="Q226" s="25"/>
      <c r="R226" s="25"/>
      <c r="S226" s="25"/>
      <c r="T226" s="62">
        <v>0</v>
      </c>
      <c r="U226" s="25"/>
      <c r="V226" s="79"/>
      <c r="W226" s="88"/>
      <c r="X226" s="5"/>
    </row>
    <row r="227" spans="1:25" ht="15.6" x14ac:dyDescent="0.3">
      <c r="A227" s="84"/>
      <c r="B227" s="76"/>
      <c r="C227" s="89"/>
      <c r="D227" s="89"/>
      <c r="E227" s="89"/>
      <c r="F227" s="90"/>
      <c r="G227" s="25"/>
      <c r="H227" s="25"/>
      <c r="I227" s="25"/>
      <c r="J227" s="25"/>
      <c r="K227" s="25"/>
      <c r="L227" s="25"/>
      <c r="M227" s="25"/>
      <c r="N227" s="25"/>
      <c r="O227" s="25"/>
      <c r="P227" s="25"/>
      <c r="Q227" s="25"/>
      <c r="R227" s="25"/>
      <c r="S227" s="25"/>
      <c r="T227" s="91"/>
      <c r="U227" s="25"/>
      <c r="V227" s="79"/>
      <c r="W227" s="88"/>
      <c r="X227" s="5"/>
    </row>
    <row r="228" spans="1:25" ht="15.6" x14ac:dyDescent="0.3">
      <c r="A228" s="84"/>
      <c r="B228" s="76"/>
      <c r="C228" s="89"/>
      <c r="D228" s="89"/>
      <c r="E228" s="89"/>
      <c r="F228" s="90"/>
      <c r="G228" s="25"/>
      <c r="H228" s="25"/>
      <c r="I228" s="25"/>
      <c r="J228" s="25"/>
      <c r="K228" s="25"/>
      <c r="L228" s="25"/>
      <c r="M228" s="25"/>
      <c r="N228" s="25"/>
      <c r="O228" s="25"/>
      <c r="P228" s="25"/>
      <c r="Q228" s="25"/>
      <c r="R228" s="25"/>
      <c r="S228" s="25"/>
      <c r="T228" s="91"/>
      <c r="U228" s="25"/>
      <c r="V228" s="79"/>
      <c r="W228" s="88"/>
      <c r="X228" s="5"/>
    </row>
    <row r="229" spans="1:25" ht="17.399999999999999" x14ac:dyDescent="0.3">
      <c r="A229" s="84"/>
      <c r="B229" s="149" t="s">
        <v>174</v>
      </c>
      <c r="C229" s="89"/>
      <c r="D229" s="89"/>
      <c r="E229" s="89"/>
      <c r="F229" s="90"/>
      <c r="G229" s="25"/>
      <c r="H229" s="25"/>
      <c r="I229" s="25"/>
      <c r="J229" s="25"/>
      <c r="K229" s="25"/>
      <c r="L229" s="25"/>
      <c r="M229" s="25"/>
      <c r="N229" s="25"/>
      <c r="O229" s="25"/>
      <c r="P229" s="150" t="s">
        <v>173</v>
      </c>
      <c r="Q229" s="25"/>
      <c r="R229" s="25"/>
      <c r="S229" s="25"/>
      <c r="T229" s="91"/>
      <c r="U229" s="25"/>
      <c r="V229" s="79"/>
      <c r="W229" s="88"/>
      <c r="X229" s="5"/>
    </row>
    <row r="230" spans="1:25" ht="15.6" x14ac:dyDescent="0.3">
      <c r="A230" s="84"/>
      <c r="B230" s="76"/>
      <c r="C230" s="89"/>
      <c r="D230" s="89"/>
      <c r="E230" s="89"/>
      <c r="F230" s="90"/>
      <c r="G230" s="25"/>
      <c r="H230" s="25"/>
      <c r="I230" s="25"/>
      <c r="J230" s="25"/>
      <c r="K230" s="25"/>
      <c r="L230" s="25"/>
      <c r="M230" s="25"/>
      <c r="N230" s="25"/>
      <c r="O230" s="25"/>
      <c r="P230" s="25"/>
      <c r="Q230" s="25"/>
      <c r="R230" s="25"/>
      <c r="S230" s="25"/>
      <c r="T230" s="91"/>
      <c r="U230" s="25"/>
      <c r="V230" s="79"/>
      <c r="W230" s="88"/>
      <c r="X230" s="5"/>
    </row>
    <row r="231" spans="1:25" ht="15.6" x14ac:dyDescent="0.3">
      <c r="A231" s="6"/>
      <c r="B231" s="14" t="s">
        <v>167</v>
      </c>
      <c r="C231" s="81"/>
      <c r="D231" s="81"/>
      <c r="E231" s="81"/>
      <c r="F231" s="82"/>
      <c r="G231" s="81"/>
      <c r="H231" s="17"/>
      <c r="I231" s="17"/>
      <c r="J231" s="17"/>
      <c r="K231" s="17"/>
      <c r="L231" s="17"/>
      <c r="M231" s="17"/>
      <c r="N231" s="17"/>
      <c r="O231" s="17"/>
      <c r="P231" s="17"/>
      <c r="Q231" s="17"/>
      <c r="R231" s="83" t="s">
        <v>104</v>
      </c>
      <c r="S231" s="17" t="s">
        <v>105</v>
      </c>
      <c r="T231" s="83" t="s">
        <v>113</v>
      </c>
      <c r="U231" s="17" t="s">
        <v>105</v>
      </c>
      <c r="V231" s="8"/>
      <c r="W231" s="92"/>
      <c r="X231" s="5"/>
    </row>
    <row r="232" spans="1:25" ht="15.6" x14ac:dyDescent="0.3">
      <c r="A232" s="24"/>
      <c r="B232" s="54" t="s">
        <v>90</v>
      </c>
      <c r="C232" s="93"/>
      <c r="D232" s="93"/>
      <c r="E232" s="93"/>
      <c r="F232" s="25"/>
      <c r="G232" s="93"/>
      <c r="H232" s="93"/>
      <c r="I232" s="93"/>
      <c r="J232" s="93"/>
      <c r="K232" s="93"/>
      <c r="L232" s="93"/>
      <c r="M232" s="93"/>
      <c r="N232" s="93"/>
      <c r="O232" s="93"/>
      <c r="P232" s="93"/>
      <c r="Q232" s="93"/>
      <c r="R232" s="54">
        <v>11201</v>
      </c>
      <c r="S232" s="94">
        <f t="shared" ref="S232:S239" si="1">R232/$R$241</f>
        <v>0.997773026901835</v>
      </c>
      <c r="T232" s="53">
        <v>1468691</v>
      </c>
      <c r="U232" s="132">
        <f t="shared" ref="U232:U239" si="2">T232/$T$241</f>
        <v>0.99663962031509667</v>
      </c>
      <c r="V232" s="79"/>
      <c r="W232" s="88"/>
      <c r="X232" s="5"/>
    </row>
    <row r="233" spans="1:25" ht="15.6" x14ac:dyDescent="0.3">
      <c r="A233" s="24"/>
      <c r="B233" s="54" t="s">
        <v>91</v>
      </c>
      <c r="C233" s="93"/>
      <c r="D233" s="93"/>
      <c r="E233" s="93"/>
      <c r="F233" s="25"/>
      <c r="G233" s="94"/>
      <c r="H233" s="93"/>
      <c r="I233" s="93"/>
      <c r="J233" s="93"/>
      <c r="K233" s="93"/>
      <c r="L233" s="93"/>
      <c r="M233" s="93"/>
      <c r="N233" s="93"/>
      <c r="O233" s="93"/>
      <c r="P233" s="93"/>
      <c r="Q233" s="93"/>
      <c r="R233" s="54">
        <v>14</v>
      </c>
      <c r="S233" s="94">
        <f t="shared" si="1"/>
        <v>1.2471049349723855E-3</v>
      </c>
      <c r="T233" s="53">
        <v>2745</v>
      </c>
      <c r="U233" s="132">
        <f t="shared" si="2"/>
        <v>1.8627306613609946E-3</v>
      </c>
      <c r="V233" s="79"/>
      <c r="W233" s="88"/>
      <c r="X233" s="5"/>
      <c r="Y233" s="109"/>
    </row>
    <row r="234" spans="1:25" ht="15.6" x14ac:dyDescent="0.3">
      <c r="A234" s="24"/>
      <c r="B234" s="54" t="s">
        <v>92</v>
      </c>
      <c r="C234" s="93"/>
      <c r="D234" s="93"/>
      <c r="E234" s="93"/>
      <c r="F234" s="25"/>
      <c r="G234" s="94"/>
      <c r="H234" s="93"/>
      <c r="I234" s="93"/>
      <c r="J234" s="93"/>
      <c r="K234" s="93"/>
      <c r="L234" s="93"/>
      <c r="M234" s="93"/>
      <c r="N234" s="93"/>
      <c r="O234" s="93"/>
      <c r="P234" s="93"/>
      <c r="Q234" s="93"/>
      <c r="R234" s="54">
        <v>8</v>
      </c>
      <c r="S234" s="94">
        <f t="shared" si="1"/>
        <v>7.1263139141279175E-4</v>
      </c>
      <c r="T234" s="53">
        <v>1159</v>
      </c>
      <c r="U234" s="132">
        <f t="shared" si="2"/>
        <v>7.8648627924130876E-4</v>
      </c>
      <c r="V234" s="79"/>
      <c r="W234" s="88"/>
      <c r="X234" s="5"/>
    </row>
    <row r="235" spans="1:25" ht="15.6" x14ac:dyDescent="0.3">
      <c r="A235" s="24"/>
      <c r="B235" s="54" t="s">
        <v>161</v>
      </c>
      <c r="C235" s="93"/>
      <c r="D235" s="93"/>
      <c r="E235" s="93"/>
      <c r="F235" s="25"/>
      <c r="G235" s="94"/>
      <c r="H235" s="93"/>
      <c r="I235" s="93"/>
      <c r="J235" s="93"/>
      <c r="K235" s="93"/>
      <c r="L235" s="93"/>
      <c r="M235" s="93"/>
      <c r="N235" s="93"/>
      <c r="O235" s="93"/>
      <c r="P235" s="93"/>
      <c r="Q235" s="93"/>
      <c r="R235" s="54">
        <v>2</v>
      </c>
      <c r="S235" s="94">
        <f t="shared" si="1"/>
        <v>1.7815784785319794E-4</v>
      </c>
      <c r="T235" s="53">
        <v>950</v>
      </c>
      <c r="U235" s="132">
        <f t="shared" si="2"/>
        <v>6.4466088462402358E-4</v>
      </c>
      <c r="V235" s="79"/>
      <c r="W235" s="88"/>
      <c r="X235" s="5"/>
      <c r="Y235" s="109"/>
    </row>
    <row r="236" spans="1:25" ht="15.6" x14ac:dyDescent="0.3">
      <c r="A236" s="24"/>
      <c r="B236" s="54" t="s">
        <v>162</v>
      </c>
      <c r="C236" s="93"/>
      <c r="D236" s="93"/>
      <c r="E236" s="93"/>
      <c r="F236" s="25"/>
      <c r="G236" s="94"/>
      <c r="H236" s="93"/>
      <c r="I236" s="93"/>
      <c r="J236" s="93"/>
      <c r="K236" s="93"/>
      <c r="L236" s="93"/>
      <c r="M236" s="93"/>
      <c r="N236" s="93"/>
      <c r="O236" s="93"/>
      <c r="P236" s="93"/>
      <c r="Q236" s="93"/>
      <c r="R236" s="54">
        <v>1</v>
      </c>
      <c r="S236" s="94">
        <f t="shared" si="1"/>
        <v>8.9078923926598968E-5</v>
      </c>
      <c r="T236" s="53">
        <v>98</v>
      </c>
      <c r="U236" s="132">
        <f t="shared" si="2"/>
        <v>6.6501859677004543E-5</v>
      </c>
      <c r="V236" s="79"/>
      <c r="W236" s="88"/>
      <c r="X236" s="5"/>
    </row>
    <row r="237" spans="1:25" ht="15.6" x14ac:dyDescent="0.3">
      <c r="A237" s="24"/>
      <c r="B237" s="54" t="s">
        <v>163</v>
      </c>
      <c r="C237" s="93"/>
      <c r="D237" s="93"/>
      <c r="E237" s="93"/>
      <c r="F237" s="25"/>
      <c r="G237" s="94"/>
      <c r="H237" s="93"/>
      <c r="I237" s="93"/>
      <c r="J237" s="93"/>
      <c r="K237" s="93"/>
      <c r="L237" s="93"/>
      <c r="M237" s="93"/>
      <c r="N237" s="93"/>
      <c r="O237" s="93"/>
      <c r="P237" s="93"/>
      <c r="Q237" s="93"/>
      <c r="R237" s="54">
        <v>0</v>
      </c>
      <c r="S237" s="94">
        <f t="shared" si="1"/>
        <v>0</v>
      </c>
      <c r="T237" s="53">
        <v>0</v>
      </c>
      <c r="U237" s="132">
        <f t="shared" si="2"/>
        <v>0</v>
      </c>
      <c r="V237" s="79"/>
      <c r="W237" s="88"/>
      <c r="X237" s="5"/>
      <c r="Y237" s="109"/>
    </row>
    <row r="238" spans="1:25" ht="15.6" x14ac:dyDescent="0.3">
      <c r="A238" s="24"/>
      <c r="B238" s="54" t="s">
        <v>164</v>
      </c>
      <c r="C238" s="93"/>
      <c r="D238" s="93"/>
      <c r="E238" s="93"/>
      <c r="F238" s="25"/>
      <c r="G238" s="94"/>
      <c r="H238" s="93"/>
      <c r="I238" s="93"/>
      <c r="J238" s="93"/>
      <c r="K238" s="93"/>
      <c r="L238" s="93"/>
      <c r="M238" s="93"/>
      <c r="N238" s="93"/>
      <c r="O238" s="93"/>
      <c r="P238" s="93"/>
      <c r="Q238" s="93"/>
      <c r="R238" s="54">
        <v>0</v>
      </c>
      <c r="S238" s="94">
        <f t="shared" si="1"/>
        <v>0</v>
      </c>
      <c r="T238" s="53">
        <v>0</v>
      </c>
      <c r="U238" s="132">
        <f t="shared" si="2"/>
        <v>0</v>
      </c>
      <c r="V238" s="79"/>
      <c r="W238" s="88"/>
      <c r="X238" s="5"/>
    </row>
    <row r="239" spans="1:25" ht="15.6" x14ac:dyDescent="0.3">
      <c r="A239" s="24"/>
      <c r="B239" s="54" t="s">
        <v>165</v>
      </c>
      <c r="C239" s="93"/>
      <c r="D239" s="93"/>
      <c r="E239" s="93"/>
      <c r="F239" s="25"/>
      <c r="G239" s="94"/>
      <c r="H239" s="93"/>
      <c r="I239" s="93"/>
      <c r="J239" s="93"/>
      <c r="K239" s="93"/>
      <c r="L239" s="93"/>
      <c r="M239" s="93"/>
      <c r="N239" s="93"/>
      <c r="O239" s="93"/>
      <c r="P239" s="93"/>
      <c r="Q239" s="93"/>
      <c r="R239" s="54">
        <v>0</v>
      </c>
      <c r="S239" s="94">
        <f t="shared" si="1"/>
        <v>0</v>
      </c>
      <c r="T239" s="53">
        <v>0</v>
      </c>
      <c r="U239" s="132">
        <f t="shared" si="2"/>
        <v>0</v>
      </c>
      <c r="V239" s="79"/>
      <c r="W239" s="88"/>
      <c r="X239" s="5"/>
      <c r="Y239" s="109"/>
    </row>
    <row r="240" spans="1:25" ht="15.6" x14ac:dyDescent="0.3">
      <c r="A240" s="24"/>
      <c r="B240" s="54"/>
      <c r="C240" s="93"/>
      <c r="D240" s="93"/>
      <c r="E240" s="93"/>
      <c r="F240" s="25"/>
      <c r="G240" s="94"/>
      <c r="H240" s="93"/>
      <c r="I240" s="93"/>
      <c r="J240" s="93"/>
      <c r="K240" s="93"/>
      <c r="L240" s="93"/>
      <c r="M240" s="93"/>
      <c r="N240" s="93"/>
      <c r="O240" s="93"/>
      <c r="P240" s="93"/>
      <c r="Q240" s="93"/>
      <c r="R240" s="54"/>
      <c r="S240" s="94"/>
      <c r="T240" s="53"/>
      <c r="U240" s="132"/>
      <c r="V240" s="79"/>
      <c r="W240" s="88"/>
      <c r="X240" s="5"/>
    </row>
    <row r="241" spans="1:24" ht="15.6" x14ac:dyDescent="0.3">
      <c r="A241" s="24"/>
      <c r="B241" s="25"/>
      <c r="C241" s="25"/>
      <c r="D241" s="25"/>
      <c r="E241" s="25"/>
      <c r="F241" s="25"/>
      <c r="G241" s="25"/>
      <c r="H241" s="95"/>
      <c r="I241" s="95"/>
      <c r="J241" s="95"/>
      <c r="K241" s="95"/>
      <c r="L241" s="95"/>
      <c r="M241" s="95"/>
      <c r="N241" s="95"/>
      <c r="O241" s="95"/>
      <c r="P241" s="95"/>
      <c r="Q241" s="95"/>
      <c r="R241" s="34">
        <f>SUM(R232:R240)</f>
        <v>11226</v>
      </c>
      <c r="S241" s="132">
        <f>SUM(S232:S240)</f>
        <v>1</v>
      </c>
      <c r="T241" s="53">
        <f>SUM(T232:T240)</f>
        <v>1473643</v>
      </c>
      <c r="U241" s="132">
        <f>SUM(U232:U240)</f>
        <v>1</v>
      </c>
      <c r="V241" s="25"/>
      <c r="W241" s="25"/>
      <c r="X241" s="5"/>
    </row>
    <row r="242" spans="1:24" ht="15.6" x14ac:dyDescent="0.3">
      <c r="A242" s="24"/>
      <c r="B242" s="25"/>
      <c r="C242" s="25"/>
      <c r="D242" s="25"/>
      <c r="E242" s="25"/>
      <c r="F242" s="25"/>
      <c r="G242" s="25"/>
      <c r="H242" s="95"/>
      <c r="I242" s="95"/>
      <c r="J242" s="95"/>
      <c r="K242" s="95"/>
      <c r="L242" s="95"/>
      <c r="M242" s="95"/>
      <c r="N242" s="95"/>
      <c r="O242" s="95"/>
      <c r="P242" s="95"/>
      <c r="Q242" s="95"/>
      <c r="R242" s="34"/>
      <c r="S242" s="132"/>
      <c r="T242" s="53"/>
      <c r="U242" s="132"/>
      <c r="V242" s="25"/>
      <c r="W242" s="25"/>
      <c r="X242" s="5"/>
    </row>
    <row r="243" spans="1:24" ht="15.6" x14ac:dyDescent="0.3">
      <c r="A243" s="141"/>
      <c r="B243" s="14" t="s">
        <v>168</v>
      </c>
      <c r="C243" s="81"/>
      <c r="D243" s="81"/>
      <c r="E243" s="81"/>
      <c r="F243" s="82"/>
      <c r="G243" s="81"/>
      <c r="H243" s="17"/>
      <c r="I243" s="17"/>
      <c r="J243" s="17"/>
      <c r="K243" s="17"/>
      <c r="L243" s="17"/>
      <c r="M243" s="17"/>
      <c r="N243" s="17"/>
      <c r="O243" s="17"/>
      <c r="P243" s="17"/>
      <c r="Q243" s="17"/>
      <c r="R243" s="83" t="s">
        <v>104</v>
      </c>
      <c r="S243" s="17" t="s">
        <v>105</v>
      </c>
      <c r="T243" s="83" t="s">
        <v>113</v>
      </c>
      <c r="U243" s="17" t="s">
        <v>105</v>
      </c>
      <c r="V243" s="139"/>
      <c r="W243" s="140"/>
      <c r="X243" s="5"/>
    </row>
    <row r="244" spans="1:24" ht="15.6" x14ac:dyDescent="0.3">
      <c r="A244" s="24"/>
      <c r="B244" s="54" t="s">
        <v>90</v>
      </c>
      <c r="C244" s="93"/>
      <c r="D244" s="93"/>
      <c r="E244" s="93"/>
      <c r="F244" s="25"/>
      <c r="G244" s="93"/>
      <c r="H244" s="93"/>
      <c r="I244" s="93"/>
      <c r="J244" s="93"/>
      <c r="K244" s="93"/>
      <c r="L244" s="93"/>
      <c r="M244" s="93"/>
      <c r="N244" s="93"/>
      <c r="O244" s="93"/>
      <c r="P244" s="93"/>
      <c r="Q244" s="93"/>
      <c r="R244" s="54">
        <v>1</v>
      </c>
      <c r="S244" s="94">
        <f t="shared" ref="S244:S251" si="3">R244/$R$253</f>
        <v>0.14285714285714285</v>
      </c>
      <c r="T244" s="53">
        <v>293</v>
      </c>
      <c r="U244" s="132">
        <f t="shared" ref="U244:U251" si="4">T244/$T$253</f>
        <v>0.18794098781270044</v>
      </c>
      <c r="V244" s="25"/>
      <c r="W244" s="25"/>
      <c r="X244" s="5"/>
    </row>
    <row r="245" spans="1:24" ht="15.6" x14ac:dyDescent="0.3">
      <c r="A245" s="24"/>
      <c r="B245" s="54" t="s">
        <v>91</v>
      </c>
      <c r="C245" s="93"/>
      <c r="D245" s="93"/>
      <c r="E245" s="93"/>
      <c r="F245" s="25"/>
      <c r="G245" s="94"/>
      <c r="H245" s="93"/>
      <c r="I245" s="93"/>
      <c r="J245" s="93"/>
      <c r="K245" s="93"/>
      <c r="L245" s="93"/>
      <c r="M245" s="93"/>
      <c r="N245" s="93"/>
      <c r="O245" s="93"/>
      <c r="P245" s="93"/>
      <c r="Q245" s="93"/>
      <c r="R245" s="54">
        <v>0</v>
      </c>
      <c r="S245" s="94">
        <f t="shared" si="3"/>
        <v>0</v>
      </c>
      <c r="T245" s="53">
        <v>0</v>
      </c>
      <c r="U245" s="132">
        <f t="shared" si="4"/>
        <v>0</v>
      </c>
      <c r="V245" s="25"/>
      <c r="W245" s="25"/>
      <c r="X245" s="5"/>
    </row>
    <row r="246" spans="1:24" ht="15.6" x14ac:dyDescent="0.3">
      <c r="A246" s="24"/>
      <c r="B246" s="54" t="s">
        <v>92</v>
      </c>
      <c r="C246" s="93"/>
      <c r="D246" s="93"/>
      <c r="E246" s="93"/>
      <c r="F246" s="25"/>
      <c r="G246" s="94"/>
      <c r="H246" s="93"/>
      <c r="I246" s="93"/>
      <c r="J246" s="93"/>
      <c r="K246" s="93"/>
      <c r="L246" s="93"/>
      <c r="M246" s="93"/>
      <c r="N246" s="93"/>
      <c r="O246" s="93"/>
      <c r="P246" s="93"/>
      <c r="Q246" s="93"/>
      <c r="R246" s="54">
        <v>2</v>
      </c>
      <c r="S246" s="94">
        <f t="shared" si="3"/>
        <v>0.2857142857142857</v>
      </c>
      <c r="T246" s="53">
        <v>235</v>
      </c>
      <c r="U246" s="132">
        <f t="shared" si="4"/>
        <v>0.15073765234124439</v>
      </c>
      <c r="V246" s="25"/>
      <c r="W246" s="25"/>
      <c r="X246" s="5"/>
    </row>
    <row r="247" spans="1:24" ht="15.6" x14ac:dyDescent="0.3">
      <c r="A247" s="24"/>
      <c r="B247" s="54" t="s">
        <v>161</v>
      </c>
      <c r="C247" s="93"/>
      <c r="D247" s="93"/>
      <c r="E247" s="93"/>
      <c r="F247" s="25"/>
      <c r="G247" s="94"/>
      <c r="H247" s="93"/>
      <c r="I247" s="93"/>
      <c r="J247" s="93"/>
      <c r="K247" s="93"/>
      <c r="L247" s="93"/>
      <c r="M247" s="93"/>
      <c r="N247" s="93"/>
      <c r="O247" s="93"/>
      <c r="P247" s="93"/>
      <c r="Q247" s="93"/>
      <c r="R247" s="54">
        <v>0</v>
      </c>
      <c r="S247" s="94">
        <f t="shared" si="3"/>
        <v>0</v>
      </c>
      <c r="T247" s="53">
        <v>0</v>
      </c>
      <c r="U247" s="132">
        <f t="shared" si="4"/>
        <v>0</v>
      </c>
      <c r="V247" s="25"/>
      <c r="W247" s="25"/>
      <c r="X247" s="5"/>
    </row>
    <row r="248" spans="1:24" ht="15.6" x14ac:dyDescent="0.3">
      <c r="A248" s="24"/>
      <c r="B248" s="54" t="s">
        <v>162</v>
      </c>
      <c r="C248" s="93"/>
      <c r="D248" s="93"/>
      <c r="E248" s="93"/>
      <c r="F248" s="25"/>
      <c r="G248" s="94"/>
      <c r="H248" s="93"/>
      <c r="I248" s="93"/>
      <c r="J248" s="93"/>
      <c r="K248" s="93"/>
      <c r="L248" s="93"/>
      <c r="M248" s="93"/>
      <c r="N248" s="93"/>
      <c r="O248" s="93"/>
      <c r="P248" s="93"/>
      <c r="Q248" s="93"/>
      <c r="R248" s="54">
        <v>1</v>
      </c>
      <c r="S248" s="94">
        <f t="shared" si="3"/>
        <v>0.14285714285714285</v>
      </c>
      <c r="T248" s="53">
        <v>112</v>
      </c>
      <c r="U248" s="132">
        <f t="shared" si="4"/>
        <v>7.1840923669018605E-2</v>
      </c>
      <c r="V248" s="25"/>
      <c r="W248" s="25"/>
      <c r="X248" s="5"/>
    </row>
    <row r="249" spans="1:24" ht="15.6" x14ac:dyDescent="0.3">
      <c r="A249" s="24"/>
      <c r="B249" s="54" t="s">
        <v>163</v>
      </c>
      <c r="C249" s="93"/>
      <c r="D249" s="93"/>
      <c r="E249" s="93"/>
      <c r="F249" s="25"/>
      <c r="G249" s="94"/>
      <c r="H249" s="93"/>
      <c r="I249" s="93"/>
      <c r="J249" s="93"/>
      <c r="K249" s="93"/>
      <c r="L249" s="93"/>
      <c r="M249" s="93"/>
      <c r="N249" s="93"/>
      <c r="O249" s="93"/>
      <c r="P249" s="93"/>
      <c r="Q249" s="93"/>
      <c r="R249" s="54">
        <v>3</v>
      </c>
      <c r="S249" s="94">
        <f t="shared" si="3"/>
        <v>0.42857142857142855</v>
      </c>
      <c r="T249" s="53">
        <v>919</v>
      </c>
      <c r="U249" s="132">
        <f t="shared" si="4"/>
        <v>0.5894804361770366</v>
      </c>
      <c r="V249" s="25"/>
      <c r="W249" s="25"/>
      <c r="X249" s="5"/>
    </row>
    <row r="250" spans="1:24" ht="15.6" x14ac:dyDescent="0.3">
      <c r="A250" s="24"/>
      <c r="B250" s="54" t="s">
        <v>164</v>
      </c>
      <c r="C250" s="93"/>
      <c r="D250" s="93"/>
      <c r="E250" s="93"/>
      <c r="F250" s="25"/>
      <c r="G250" s="94"/>
      <c r="H250" s="93"/>
      <c r="I250" s="93"/>
      <c r="J250" s="93"/>
      <c r="K250" s="93"/>
      <c r="L250" s="93"/>
      <c r="M250" s="93"/>
      <c r="N250" s="93"/>
      <c r="O250" s="93"/>
      <c r="P250" s="93"/>
      <c r="Q250" s="93"/>
      <c r="R250" s="54">
        <v>0</v>
      </c>
      <c r="S250" s="94">
        <f t="shared" si="3"/>
        <v>0</v>
      </c>
      <c r="T250" s="53">
        <v>0</v>
      </c>
      <c r="U250" s="132">
        <f t="shared" si="4"/>
        <v>0</v>
      </c>
      <c r="V250" s="25"/>
      <c r="W250" s="25"/>
      <c r="X250" s="5"/>
    </row>
    <row r="251" spans="1:24" ht="15.6" x14ac:dyDescent="0.3">
      <c r="A251" s="24"/>
      <c r="B251" s="54" t="s">
        <v>165</v>
      </c>
      <c r="C251" s="93"/>
      <c r="D251" s="93"/>
      <c r="E251" s="93"/>
      <c r="F251" s="25"/>
      <c r="G251" s="94"/>
      <c r="H251" s="93"/>
      <c r="I251" s="93"/>
      <c r="J251" s="93"/>
      <c r="K251" s="93"/>
      <c r="L251" s="93"/>
      <c r="M251" s="93"/>
      <c r="N251" s="93"/>
      <c r="O251" s="93"/>
      <c r="P251" s="93"/>
      <c r="Q251" s="93"/>
      <c r="R251" s="54">
        <v>0</v>
      </c>
      <c r="S251" s="94">
        <f t="shared" si="3"/>
        <v>0</v>
      </c>
      <c r="T251" s="53">
        <v>0</v>
      </c>
      <c r="U251" s="132">
        <f t="shared" si="4"/>
        <v>0</v>
      </c>
      <c r="V251" s="25"/>
      <c r="W251" s="25"/>
      <c r="X251" s="5"/>
    </row>
    <row r="252" spans="1:24" ht="15.6" x14ac:dyDescent="0.3">
      <c r="A252" s="24"/>
      <c r="B252" s="54"/>
      <c r="C252" s="93"/>
      <c r="D252" s="93"/>
      <c r="E252" s="93"/>
      <c r="F252" s="25"/>
      <c r="G252" s="94"/>
      <c r="H252" s="93"/>
      <c r="I252" s="93"/>
      <c r="J252" s="93"/>
      <c r="K252" s="93"/>
      <c r="L252" s="93"/>
      <c r="M252" s="93"/>
      <c r="N252" s="93"/>
      <c r="O252" s="93"/>
      <c r="P252" s="93"/>
      <c r="Q252" s="93"/>
      <c r="R252" s="54"/>
      <c r="S252" s="94"/>
      <c r="T252" s="53"/>
      <c r="U252" s="132"/>
      <c r="V252" s="25"/>
      <c r="W252" s="25"/>
      <c r="X252" s="5"/>
    </row>
    <row r="253" spans="1:24" ht="15.6" x14ac:dyDescent="0.3">
      <c r="A253" s="24"/>
      <c r="B253" s="25"/>
      <c r="C253" s="25"/>
      <c r="D253" s="25"/>
      <c r="E253" s="25"/>
      <c r="F253" s="25"/>
      <c r="G253" s="25"/>
      <c r="H253" s="95"/>
      <c r="I253" s="95"/>
      <c r="J253" s="95"/>
      <c r="K253" s="95"/>
      <c r="L253" s="95"/>
      <c r="M253" s="95"/>
      <c r="N253" s="95"/>
      <c r="O253" s="95"/>
      <c r="P253" s="95"/>
      <c r="Q253" s="95"/>
      <c r="R253" s="34">
        <f>SUM(R244:R252)</f>
        <v>7</v>
      </c>
      <c r="S253" s="132">
        <f>SUM(S244:S252)</f>
        <v>1</v>
      </c>
      <c r="T253" s="53">
        <f>SUM(T244:T252)</f>
        <v>1559</v>
      </c>
      <c r="U253" s="132">
        <f>SUM(U244:U252)</f>
        <v>1</v>
      </c>
      <c r="V253" s="25"/>
      <c r="W253" s="25"/>
      <c r="X253" s="5"/>
    </row>
    <row r="254" spans="1:24" ht="15.6" x14ac:dyDescent="0.3">
      <c r="A254" s="24"/>
      <c r="B254" s="25"/>
      <c r="C254" s="25"/>
      <c r="D254" s="25"/>
      <c r="E254" s="25"/>
      <c r="F254" s="25"/>
      <c r="G254" s="25"/>
      <c r="H254" s="95"/>
      <c r="I254" s="95"/>
      <c r="J254" s="95"/>
      <c r="K254" s="95"/>
      <c r="L254" s="95"/>
      <c r="M254" s="95"/>
      <c r="N254" s="95"/>
      <c r="O254" s="95"/>
      <c r="P254" s="95"/>
      <c r="Q254" s="95"/>
      <c r="R254" s="34"/>
      <c r="S254" s="132"/>
      <c r="T254" s="53"/>
      <c r="U254" s="132"/>
      <c r="V254" s="25"/>
      <c r="W254" s="25"/>
      <c r="X254" s="5"/>
    </row>
    <row r="255" spans="1:24" ht="15.6" x14ac:dyDescent="0.3">
      <c r="A255" s="141"/>
      <c r="B255" s="14" t="s">
        <v>169</v>
      </c>
      <c r="C255" s="139"/>
      <c r="D255" s="139"/>
      <c r="E255" s="139"/>
      <c r="F255" s="139"/>
      <c r="G255" s="139"/>
      <c r="H255" s="145"/>
      <c r="I255" s="145"/>
      <c r="J255" s="145"/>
      <c r="K255" s="145"/>
      <c r="L255" s="145"/>
      <c r="M255" s="145"/>
      <c r="N255" s="145"/>
      <c r="O255" s="145"/>
      <c r="P255" s="145"/>
      <c r="Q255" s="145"/>
      <c r="R255" s="83" t="s">
        <v>104</v>
      </c>
      <c r="S255" s="17" t="s">
        <v>105</v>
      </c>
      <c r="T255" s="83" t="s">
        <v>113</v>
      </c>
      <c r="U255" s="17" t="s">
        <v>105</v>
      </c>
      <c r="V255" s="139"/>
      <c r="W255" s="140"/>
      <c r="X255" s="5"/>
    </row>
    <row r="256" spans="1:24" ht="15.6" x14ac:dyDescent="0.3">
      <c r="A256" s="24"/>
      <c r="B256" s="54" t="s">
        <v>90</v>
      </c>
      <c r="C256" s="25"/>
      <c r="D256" s="25"/>
      <c r="E256" s="25"/>
      <c r="F256" s="25"/>
      <c r="G256" s="25"/>
      <c r="H256" s="95"/>
      <c r="I256" s="95"/>
      <c r="J256" s="95"/>
      <c r="K256" s="95"/>
      <c r="L256" s="95"/>
      <c r="M256" s="95"/>
      <c r="N256" s="95"/>
      <c r="O256" s="95"/>
      <c r="P256" s="95"/>
      <c r="Q256" s="95"/>
      <c r="R256" s="54">
        <v>0</v>
      </c>
      <c r="S256" s="94">
        <v>0</v>
      </c>
      <c r="T256" s="53">
        <v>0</v>
      </c>
      <c r="U256" s="132">
        <v>0</v>
      </c>
      <c r="V256" s="25"/>
      <c r="W256" s="25"/>
      <c r="X256" s="5"/>
    </row>
    <row r="257" spans="1:24" ht="15.6" x14ac:dyDescent="0.3">
      <c r="A257" s="24"/>
      <c r="B257" s="54" t="s">
        <v>91</v>
      </c>
      <c r="C257" s="25"/>
      <c r="D257" s="25"/>
      <c r="E257" s="25"/>
      <c r="F257" s="25"/>
      <c r="G257" s="25"/>
      <c r="H257" s="95"/>
      <c r="I257" s="95"/>
      <c r="J257" s="95"/>
      <c r="K257" s="95"/>
      <c r="L257" s="95"/>
      <c r="M257" s="95"/>
      <c r="N257" s="95"/>
      <c r="O257" s="95"/>
      <c r="P257" s="95"/>
      <c r="Q257" s="95"/>
      <c r="R257" s="54">
        <v>0</v>
      </c>
      <c r="S257" s="94">
        <v>0</v>
      </c>
      <c r="T257" s="53">
        <v>0</v>
      </c>
      <c r="U257" s="132">
        <v>0</v>
      </c>
      <c r="V257" s="25"/>
      <c r="W257" s="25"/>
      <c r="X257" s="5"/>
    </row>
    <row r="258" spans="1:24" ht="15.6" x14ac:dyDescent="0.3">
      <c r="A258" s="24"/>
      <c r="B258" s="54" t="s">
        <v>92</v>
      </c>
      <c r="C258" s="25"/>
      <c r="D258" s="25"/>
      <c r="E258" s="25"/>
      <c r="F258" s="25"/>
      <c r="G258" s="25"/>
      <c r="H258" s="95"/>
      <c r="I258" s="95"/>
      <c r="J258" s="95"/>
      <c r="K258" s="95"/>
      <c r="L258" s="95"/>
      <c r="M258" s="95"/>
      <c r="N258" s="95"/>
      <c r="O258" s="95"/>
      <c r="P258" s="95"/>
      <c r="Q258" s="95"/>
      <c r="R258" s="54">
        <v>0</v>
      </c>
      <c r="S258" s="94">
        <v>0</v>
      </c>
      <c r="T258" s="53">
        <v>0</v>
      </c>
      <c r="U258" s="132">
        <v>0</v>
      </c>
      <c r="V258" s="25"/>
      <c r="W258" s="25"/>
      <c r="X258" s="5"/>
    </row>
    <row r="259" spans="1:24" ht="15.6" x14ac:dyDescent="0.3">
      <c r="A259" s="24"/>
      <c r="B259" s="54" t="s">
        <v>161</v>
      </c>
      <c r="C259" s="25"/>
      <c r="D259" s="25"/>
      <c r="E259" s="25"/>
      <c r="F259" s="25"/>
      <c r="G259" s="25"/>
      <c r="H259" s="95"/>
      <c r="I259" s="95"/>
      <c r="J259" s="95"/>
      <c r="K259" s="95"/>
      <c r="L259" s="95"/>
      <c r="M259" s="95"/>
      <c r="N259" s="95"/>
      <c r="O259" s="95"/>
      <c r="P259" s="95"/>
      <c r="Q259" s="95"/>
      <c r="R259" s="54">
        <v>0</v>
      </c>
      <c r="S259" s="94">
        <v>0</v>
      </c>
      <c r="T259" s="53">
        <v>0</v>
      </c>
      <c r="U259" s="132">
        <v>0</v>
      </c>
      <c r="V259" s="25"/>
      <c r="W259" s="25"/>
      <c r="X259" s="5"/>
    </row>
    <row r="260" spans="1:24" ht="15.6" x14ac:dyDescent="0.3">
      <c r="A260" s="24"/>
      <c r="B260" s="54" t="s">
        <v>162</v>
      </c>
      <c r="C260" s="25"/>
      <c r="D260" s="25"/>
      <c r="E260" s="25"/>
      <c r="F260" s="25"/>
      <c r="G260" s="25"/>
      <c r="H260" s="95"/>
      <c r="I260" s="95"/>
      <c r="J260" s="95"/>
      <c r="K260" s="95"/>
      <c r="L260" s="95"/>
      <c r="M260" s="95"/>
      <c r="N260" s="95"/>
      <c r="O260" s="95"/>
      <c r="P260" s="95"/>
      <c r="Q260" s="95"/>
      <c r="R260" s="54">
        <v>0</v>
      </c>
      <c r="S260" s="94">
        <v>0</v>
      </c>
      <c r="T260" s="53">
        <v>0</v>
      </c>
      <c r="U260" s="132">
        <v>0</v>
      </c>
      <c r="V260" s="25"/>
      <c r="W260" s="25"/>
      <c r="X260" s="5"/>
    </row>
    <row r="261" spans="1:24" ht="15.6" x14ac:dyDescent="0.3">
      <c r="A261" s="24"/>
      <c r="B261" s="54" t="s">
        <v>163</v>
      </c>
      <c r="C261" s="25"/>
      <c r="D261" s="25"/>
      <c r="E261" s="25"/>
      <c r="F261" s="25"/>
      <c r="G261" s="25"/>
      <c r="H261" s="95"/>
      <c r="I261" s="95"/>
      <c r="J261" s="95"/>
      <c r="K261" s="95"/>
      <c r="L261" s="95"/>
      <c r="M261" s="95"/>
      <c r="N261" s="95"/>
      <c r="O261" s="95"/>
      <c r="P261" s="95"/>
      <c r="Q261" s="95"/>
      <c r="R261" s="54">
        <v>0</v>
      </c>
      <c r="S261" s="94">
        <v>0</v>
      </c>
      <c r="T261" s="53">
        <v>0</v>
      </c>
      <c r="U261" s="132">
        <v>0</v>
      </c>
      <c r="V261" s="25"/>
      <c r="W261" s="25"/>
      <c r="X261" s="5"/>
    </row>
    <row r="262" spans="1:24" ht="15.6" x14ac:dyDescent="0.3">
      <c r="A262" s="24"/>
      <c r="B262" s="54" t="s">
        <v>164</v>
      </c>
      <c r="C262" s="25"/>
      <c r="D262" s="25"/>
      <c r="E262" s="25"/>
      <c r="F262" s="25"/>
      <c r="G262" s="25"/>
      <c r="H262" s="95"/>
      <c r="I262" s="95"/>
      <c r="J262" s="95"/>
      <c r="K262" s="95"/>
      <c r="L262" s="95"/>
      <c r="M262" s="95"/>
      <c r="N262" s="95"/>
      <c r="O262" s="95"/>
      <c r="P262" s="95"/>
      <c r="Q262" s="95"/>
      <c r="R262" s="54">
        <v>0</v>
      </c>
      <c r="S262" s="94">
        <v>0</v>
      </c>
      <c r="T262" s="53">
        <v>0</v>
      </c>
      <c r="U262" s="132">
        <v>0</v>
      </c>
      <c r="V262" s="25"/>
      <c r="W262" s="25"/>
      <c r="X262" s="5"/>
    </row>
    <row r="263" spans="1:24" ht="15.6" x14ac:dyDescent="0.3">
      <c r="A263" s="24"/>
      <c r="B263" s="54" t="s">
        <v>165</v>
      </c>
      <c r="C263" s="25"/>
      <c r="D263" s="25"/>
      <c r="E263" s="25"/>
      <c r="F263" s="25"/>
      <c r="G263" s="25"/>
      <c r="H263" s="95"/>
      <c r="I263" s="95"/>
      <c r="J263" s="95"/>
      <c r="K263" s="95"/>
      <c r="L263" s="95"/>
      <c r="M263" s="95"/>
      <c r="N263" s="95"/>
      <c r="O263" s="95"/>
      <c r="P263" s="95"/>
      <c r="Q263" s="95"/>
      <c r="R263" s="54">
        <v>0</v>
      </c>
      <c r="S263" s="94">
        <v>0</v>
      </c>
      <c r="T263" s="53">
        <v>0</v>
      </c>
      <c r="U263" s="132">
        <v>0</v>
      </c>
      <c r="V263" s="25"/>
      <c r="W263" s="25"/>
      <c r="X263" s="5"/>
    </row>
    <row r="264" spans="1:24" ht="15.6" x14ac:dyDescent="0.3">
      <c r="A264" s="24"/>
      <c r="B264" s="54"/>
      <c r="C264" s="25"/>
      <c r="D264" s="25"/>
      <c r="E264" s="25"/>
      <c r="F264" s="25"/>
      <c r="G264" s="25"/>
      <c r="H264" s="95"/>
      <c r="I264" s="95"/>
      <c r="J264" s="95"/>
      <c r="K264" s="95"/>
      <c r="L264" s="95"/>
      <c r="M264" s="95"/>
      <c r="N264" s="95"/>
      <c r="O264" s="95"/>
      <c r="P264" s="95"/>
      <c r="Q264" s="95"/>
      <c r="R264" s="54"/>
      <c r="S264" s="94"/>
      <c r="T264" s="53"/>
      <c r="U264" s="132"/>
      <c r="V264" s="25"/>
      <c r="W264" s="25"/>
      <c r="X264" s="5"/>
    </row>
    <row r="265" spans="1:24" ht="15.6" x14ac:dyDescent="0.3">
      <c r="A265" s="24"/>
      <c r="B265" s="25" t="s">
        <v>119</v>
      </c>
      <c r="C265" s="25"/>
      <c r="D265" s="25"/>
      <c r="E265" s="25"/>
      <c r="F265" s="25"/>
      <c r="G265" s="25"/>
      <c r="H265" s="95"/>
      <c r="I265" s="95"/>
      <c r="J265" s="95"/>
      <c r="K265" s="95"/>
      <c r="L265" s="95"/>
      <c r="M265" s="95"/>
      <c r="N265" s="95"/>
      <c r="O265" s="95"/>
      <c r="P265" s="95"/>
      <c r="Q265" s="95"/>
      <c r="R265" s="34">
        <f>SUM(R256:R263)</f>
        <v>0</v>
      </c>
      <c r="S265" s="94">
        <f>SUM(S256:S263)</f>
        <v>0</v>
      </c>
      <c r="T265" s="53">
        <f>SUM(T256:T263)</f>
        <v>0</v>
      </c>
      <c r="U265" s="132">
        <f>SUM(U256:U263)</f>
        <v>0</v>
      </c>
      <c r="V265" s="25"/>
      <c r="W265" s="25"/>
      <c r="X265" s="5"/>
    </row>
    <row r="266" spans="1:24" ht="15.6" x14ac:dyDescent="0.3">
      <c r="A266" s="24"/>
      <c r="B266" s="25"/>
      <c r="C266" s="25"/>
      <c r="D266" s="25"/>
      <c r="E266" s="25"/>
      <c r="F266" s="25"/>
      <c r="G266" s="25"/>
      <c r="H266" s="95"/>
      <c r="I266" s="95"/>
      <c r="J266" s="95"/>
      <c r="K266" s="95"/>
      <c r="L266" s="95"/>
      <c r="M266" s="95"/>
      <c r="N266" s="95"/>
      <c r="O266" s="95"/>
      <c r="P266" s="95"/>
      <c r="Q266" s="95"/>
      <c r="R266" s="34"/>
      <c r="S266" s="132"/>
      <c r="T266" s="53"/>
      <c r="U266" s="132"/>
      <c r="V266" s="25"/>
      <c r="W266" s="25"/>
      <c r="X266" s="5"/>
    </row>
    <row r="267" spans="1:24" ht="15.6" x14ac:dyDescent="0.3">
      <c r="A267" s="24"/>
      <c r="B267" s="142" t="s">
        <v>170</v>
      </c>
      <c r="C267" s="25"/>
      <c r="D267" s="25"/>
      <c r="E267" s="25"/>
      <c r="F267" s="25"/>
      <c r="G267" s="25"/>
      <c r="H267" s="95"/>
      <c r="I267" s="95"/>
      <c r="J267" s="95"/>
      <c r="K267" s="95"/>
      <c r="L267" s="95"/>
      <c r="M267" s="95"/>
      <c r="N267" s="95"/>
      <c r="O267" s="95"/>
      <c r="P267" s="95"/>
      <c r="Q267" s="95"/>
      <c r="R267" s="161">
        <f>R265+R253+R241</f>
        <v>11233</v>
      </c>
      <c r="S267" s="143"/>
      <c r="T267" s="144">
        <f>+T265+T253+T241</f>
        <v>1475202</v>
      </c>
      <c r="U267" s="143"/>
      <c r="V267" s="25"/>
      <c r="W267" s="25"/>
      <c r="X267" s="5"/>
    </row>
    <row r="268" spans="1:24" ht="15.6" x14ac:dyDescent="0.3">
      <c r="A268" s="24"/>
      <c r="B268" s="25"/>
      <c r="C268" s="25"/>
      <c r="D268" s="25"/>
      <c r="E268" s="25"/>
      <c r="F268" s="25"/>
      <c r="G268" s="25"/>
      <c r="H268" s="95"/>
      <c r="I268" s="95"/>
      <c r="J268" s="95"/>
      <c r="K268" s="95"/>
      <c r="L268" s="95"/>
      <c r="M268" s="95"/>
      <c r="N268" s="95"/>
      <c r="O268" s="95"/>
      <c r="P268" s="95"/>
      <c r="Q268" s="95"/>
      <c r="R268" s="95"/>
      <c r="S268" s="95"/>
      <c r="T268" s="53"/>
      <c r="U268" s="95"/>
      <c r="V268" s="25"/>
      <c r="W268" s="25"/>
      <c r="X268" s="5"/>
    </row>
    <row r="269" spans="1:24" ht="15.6" x14ac:dyDescent="0.3">
      <c r="A269" s="6"/>
      <c r="B269" s="8"/>
      <c r="C269" s="8"/>
      <c r="D269" s="8"/>
      <c r="E269" s="8"/>
      <c r="F269" s="8"/>
      <c r="G269" s="8"/>
      <c r="H269" s="96"/>
      <c r="I269" s="96"/>
      <c r="J269" s="96"/>
      <c r="K269" s="96"/>
      <c r="L269" s="96"/>
      <c r="M269" s="96"/>
      <c r="N269" s="96"/>
      <c r="O269" s="96"/>
      <c r="P269" s="96"/>
      <c r="Q269" s="96"/>
      <c r="R269" s="96"/>
      <c r="S269" s="96"/>
      <c r="T269" s="97"/>
      <c r="U269" s="96"/>
      <c r="V269" s="8"/>
      <c r="W269" s="8"/>
      <c r="X269" s="5"/>
    </row>
    <row r="270" spans="1:24" ht="15.6" x14ac:dyDescent="0.3">
      <c r="A270" s="98"/>
      <c r="B270" s="14" t="s">
        <v>93</v>
      </c>
      <c r="C270" s="15"/>
      <c r="D270" s="15"/>
      <c r="E270" s="15"/>
      <c r="F270" s="17" t="s">
        <v>99</v>
      </c>
      <c r="G270" s="15"/>
      <c r="H270" s="14" t="s">
        <v>101</v>
      </c>
      <c r="I270" s="162"/>
      <c r="J270" s="162"/>
      <c r="K270" s="162"/>
      <c r="L270" s="12"/>
      <c r="M270" s="12"/>
      <c r="N270" s="12"/>
      <c r="O270" s="12"/>
      <c r="P270" s="12"/>
      <c r="Q270" s="12"/>
      <c r="R270" s="12"/>
      <c r="S270" s="12"/>
      <c r="T270" s="12"/>
      <c r="U270" s="12"/>
      <c r="V270" s="12"/>
      <c r="W270" s="12"/>
      <c r="X270" s="5"/>
    </row>
    <row r="271" spans="1:24" ht="15.6" x14ac:dyDescent="0.3">
      <c r="A271" s="98"/>
      <c r="B271" s="162"/>
      <c r="C271" s="8"/>
      <c r="D271" s="8"/>
      <c r="E271" s="8"/>
      <c r="F271" s="8"/>
      <c r="G271" s="8"/>
      <c r="H271" s="8"/>
      <c r="I271" s="162"/>
      <c r="J271" s="162"/>
      <c r="K271" s="162"/>
      <c r="L271" s="12"/>
      <c r="M271" s="12"/>
      <c r="N271" s="12"/>
      <c r="O271" s="12"/>
      <c r="P271" s="12"/>
      <c r="Q271" s="12"/>
      <c r="R271" s="12"/>
      <c r="S271" s="12"/>
      <c r="T271" s="12"/>
      <c r="U271" s="12"/>
      <c r="V271" s="12"/>
      <c r="W271" s="12"/>
      <c r="X271" s="5"/>
    </row>
    <row r="272" spans="1:24" ht="15.6" x14ac:dyDescent="0.3">
      <c r="A272" s="98"/>
      <c r="B272" s="13" t="s">
        <v>94</v>
      </c>
      <c r="C272" s="13"/>
      <c r="D272" s="13"/>
      <c r="E272" s="13"/>
      <c r="F272" s="130" t="s">
        <v>153</v>
      </c>
      <c r="G272" s="13"/>
      <c r="H272" s="13" t="s">
        <v>157</v>
      </c>
      <c r="I272" s="162"/>
      <c r="J272" s="162"/>
      <c r="K272" s="162"/>
      <c r="L272" s="12"/>
      <c r="M272" s="12"/>
      <c r="N272" s="12"/>
      <c r="O272" s="12"/>
      <c r="P272" s="12"/>
      <c r="Q272" s="12"/>
      <c r="R272" s="12"/>
      <c r="S272" s="12"/>
      <c r="T272" s="12"/>
      <c r="U272" s="12"/>
      <c r="V272" s="12"/>
      <c r="W272" s="12"/>
      <c r="X272" s="5"/>
    </row>
    <row r="273" spans="1:24" ht="15.6" x14ac:dyDescent="0.3">
      <c r="A273" s="98"/>
      <c r="B273" s="13" t="s">
        <v>277</v>
      </c>
      <c r="C273" s="13"/>
      <c r="D273" s="13"/>
      <c r="E273" s="13"/>
      <c r="F273" s="130" t="s">
        <v>278</v>
      </c>
      <c r="G273" s="13"/>
      <c r="H273" s="13" t="s">
        <v>279</v>
      </c>
      <c r="I273" s="162"/>
      <c r="J273" s="162"/>
      <c r="K273" s="162"/>
      <c r="L273" s="12"/>
      <c r="M273" s="12"/>
      <c r="N273" s="12"/>
      <c r="O273" s="12"/>
      <c r="P273" s="12"/>
      <c r="Q273" s="12"/>
      <c r="R273" s="12"/>
      <c r="S273" s="12"/>
      <c r="T273" s="12"/>
      <c r="U273" s="12"/>
      <c r="V273" s="12"/>
      <c r="W273" s="12"/>
      <c r="X273" s="5"/>
    </row>
    <row r="274" spans="1:24" ht="15.6" x14ac:dyDescent="0.3">
      <c r="A274" s="98"/>
      <c r="B274" s="13" t="s">
        <v>95</v>
      </c>
      <c r="C274" s="13"/>
      <c r="D274" s="13"/>
      <c r="E274" s="13"/>
      <c r="F274" s="130" t="s">
        <v>152</v>
      </c>
      <c r="G274" s="13"/>
      <c r="H274" s="13" t="s">
        <v>158</v>
      </c>
      <c r="I274" s="162"/>
      <c r="J274" s="162"/>
      <c r="K274" s="162"/>
      <c r="L274" s="12"/>
      <c r="M274" s="12"/>
      <c r="N274" s="12"/>
      <c r="O274" s="12"/>
      <c r="P274" s="12"/>
      <c r="Q274" s="12"/>
      <c r="R274" s="12"/>
      <c r="S274" s="12"/>
      <c r="T274" s="12"/>
      <c r="U274" s="12"/>
      <c r="V274" s="12"/>
      <c r="W274" s="12"/>
      <c r="X274" s="5"/>
    </row>
    <row r="275" spans="1:24" ht="15.6" x14ac:dyDescent="0.3">
      <c r="A275" s="98"/>
      <c r="B275" s="13"/>
      <c r="C275" s="13"/>
      <c r="D275" s="13"/>
      <c r="E275" s="13"/>
      <c r="F275" s="13"/>
      <c r="G275" s="99"/>
      <c r="H275" s="12"/>
      <c r="I275" s="12"/>
      <c r="J275" s="12"/>
      <c r="K275" s="12"/>
      <c r="L275" s="12"/>
      <c r="M275" s="12"/>
      <c r="N275" s="12"/>
      <c r="O275" s="12"/>
      <c r="P275" s="12"/>
      <c r="Q275" s="12"/>
      <c r="R275" s="12"/>
      <c r="S275" s="12"/>
      <c r="T275" s="12"/>
      <c r="U275" s="12"/>
      <c r="V275" s="12"/>
      <c r="W275" s="12"/>
      <c r="X275" s="5"/>
    </row>
    <row r="276" spans="1:24" ht="18" thickBot="1" x14ac:dyDescent="0.35">
      <c r="A276" s="98"/>
      <c r="B276" s="49" t="str">
        <f>B193</f>
        <v>PM12 INVESTOR REPORT QUARTER ENDING OCTOBER 2006</v>
      </c>
      <c r="C276" s="13"/>
      <c r="D276" s="13"/>
      <c r="E276" s="13"/>
      <c r="F276" s="13"/>
      <c r="G276" s="99"/>
      <c r="H276" s="12"/>
      <c r="I276" s="12"/>
      <c r="J276" s="12"/>
      <c r="K276" s="12"/>
      <c r="L276" s="12"/>
      <c r="M276" s="12"/>
      <c r="N276" s="12"/>
      <c r="O276" s="12"/>
      <c r="P276" s="12"/>
      <c r="Q276" s="12"/>
      <c r="R276" s="12"/>
      <c r="S276" s="12"/>
      <c r="T276" s="12"/>
      <c r="U276" s="12"/>
      <c r="V276" s="12"/>
      <c r="W276" s="12"/>
      <c r="X276" s="5"/>
    </row>
    <row r="277" spans="1:24" x14ac:dyDescent="0.25">
      <c r="A277" s="100"/>
      <c r="B277" s="100"/>
      <c r="C277" s="100"/>
      <c r="D277" s="100"/>
      <c r="E277" s="100"/>
      <c r="F277" s="100"/>
      <c r="G277" s="100"/>
      <c r="H277" s="100"/>
      <c r="I277" s="100"/>
      <c r="J277" s="100"/>
      <c r="K277" s="100"/>
      <c r="L277" s="100"/>
      <c r="M277" s="100"/>
      <c r="N277" s="100"/>
      <c r="O277" s="100"/>
      <c r="P277" s="100"/>
      <c r="Q277" s="100"/>
      <c r="R277" s="100"/>
      <c r="S277" s="100"/>
      <c r="T277" s="100"/>
      <c r="U277" s="100"/>
      <c r="V277" s="100"/>
      <c r="W277" s="100"/>
    </row>
  </sheetData>
  <phoneticPr fontId="0" type="noConversion"/>
  <hyperlinks>
    <hyperlink ref="P229" r:id="rId1" xr:uid="{00000000-0004-0000-0000-000000000000}"/>
    <hyperlink ref="I9" r:id="rId2" xr:uid="{00000000-0004-0000-00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4" max="14" man="1"/>
    <brk id="193" max="14" man="1"/>
  </row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D2926"/>
  </sheetPr>
  <dimension ref="A1:Y279"/>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0.63880000000000003</v>
      </c>
      <c r="T16" s="17" t="s">
        <v>145</v>
      </c>
      <c r="U16" s="137">
        <v>0.36120000000000002</v>
      </c>
      <c r="V16" s="16"/>
      <c r="W16" s="15"/>
      <c r="X16" s="5"/>
    </row>
    <row r="17" spans="1:25"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5" ht="15.6" x14ac:dyDescent="0.3">
      <c r="A18" s="6"/>
      <c r="B18" s="14" t="s">
        <v>5</v>
      </c>
      <c r="C18" s="15"/>
      <c r="D18" s="15"/>
      <c r="E18" s="15"/>
      <c r="F18" s="15"/>
      <c r="G18" s="15"/>
      <c r="H18" s="15"/>
      <c r="I18" s="15"/>
      <c r="J18" s="15"/>
      <c r="K18" s="15"/>
      <c r="L18" s="15"/>
      <c r="M18" s="15"/>
      <c r="N18" s="15"/>
      <c r="O18" s="15"/>
      <c r="P18" s="15"/>
      <c r="Q18" s="15"/>
      <c r="R18" s="15"/>
      <c r="S18" s="15"/>
      <c r="T18" s="15"/>
      <c r="U18" s="15"/>
      <c r="V18" s="19">
        <v>39867</v>
      </c>
      <c r="W18" s="15"/>
      <c r="X18" s="5"/>
      <c r="Y18" s="170"/>
    </row>
    <row r="19" spans="1:25"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5"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5"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5"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5"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5"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5"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5"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5"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5"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5"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5"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5"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5" ht="15.6" x14ac:dyDescent="0.3">
      <c r="A32" s="24"/>
      <c r="B32" s="25" t="s">
        <v>137</v>
      </c>
      <c r="C32" s="32"/>
      <c r="D32" s="146">
        <f>D31*D38</f>
        <v>1033275.4500000001</v>
      </c>
      <c r="E32" s="32"/>
      <c r="F32" s="31">
        <f>F31*F38</f>
        <v>99883.337</v>
      </c>
      <c r="G32" s="31"/>
      <c r="H32" s="124">
        <f>H31*H38</f>
        <v>168768.397</v>
      </c>
      <c r="I32" s="124"/>
      <c r="J32" s="146">
        <f>J31*J38</f>
        <v>214232.44330000001</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1013052.6</v>
      </c>
      <c r="E33" s="36"/>
      <c r="F33" s="35">
        <f>F37*F31</f>
        <v>97928.475999999995</v>
      </c>
      <c r="G33" s="35"/>
      <c r="H33" s="125">
        <f>H31*H37</f>
        <v>165465.356</v>
      </c>
      <c r="I33" s="125"/>
      <c r="J33" s="151">
        <f>J37*J31</f>
        <v>210039.5724</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561562.47501509998</v>
      </c>
      <c r="E35" s="32"/>
      <c r="F35" s="31">
        <f>F34*F38</f>
        <v>99883.337</v>
      </c>
      <c r="G35" s="31"/>
      <c r="H35" s="31">
        <f>H34*H38</f>
        <v>116392.3304796</v>
      </c>
      <c r="I35" s="31"/>
      <c r="J35" s="31">
        <f>J34*J38</f>
        <v>116430.85540660001</v>
      </c>
      <c r="K35" s="31"/>
      <c r="L35" s="31">
        <f>+L34</f>
        <v>25000</v>
      </c>
      <c r="M35" s="31"/>
      <c r="N35" s="31">
        <f>+N34</f>
        <v>86897</v>
      </c>
      <c r="O35" s="31"/>
      <c r="P35" s="31">
        <f>+P34</f>
        <v>17000</v>
      </c>
      <c r="Q35" s="31"/>
      <c r="R35" s="31">
        <f>+R34</f>
        <v>73103</v>
      </c>
      <c r="S35" s="31"/>
      <c r="T35" s="31"/>
      <c r="U35" s="164"/>
      <c r="V35" s="154">
        <f>SUM(C35:R35)</f>
        <v>1096268.9979013</v>
      </c>
      <c r="W35" s="34"/>
      <c r="X35" s="5"/>
    </row>
    <row r="36" spans="1:24" ht="15.6" x14ac:dyDescent="0.3">
      <c r="A36" s="28"/>
      <c r="B36" s="29" t="s">
        <v>295</v>
      </c>
      <c r="C36" s="126"/>
      <c r="D36" s="35">
        <f>D34*D37</f>
        <v>550571.80094280001</v>
      </c>
      <c r="E36" s="36"/>
      <c r="F36" s="35">
        <f>F34*F37</f>
        <v>97928.475999999995</v>
      </c>
      <c r="G36" s="35"/>
      <c r="H36" s="35">
        <f>H34*H37</f>
        <v>114114.3646608</v>
      </c>
      <c r="I36" s="35"/>
      <c r="J36" s="35">
        <f>J34*J37</f>
        <v>114152.1177048</v>
      </c>
      <c r="K36" s="35"/>
      <c r="L36" s="35">
        <f>+L34</f>
        <v>25000</v>
      </c>
      <c r="M36" s="35"/>
      <c r="N36" s="35">
        <f>+N34</f>
        <v>86897</v>
      </c>
      <c r="O36" s="35"/>
      <c r="P36" s="35">
        <f>+P34</f>
        <v>17000</v>
      </c>
      <c r="Q36" s="35"/>
      <c r="R36" s="35">
        <f>+R34</f>
        <v>73103</v>
      </c>
      <c r="S36" s="128"/>
      <c r="T36" s="128"/>
      <c r="U36" s="164"/>
      <c r="V36" s="155">
        <f>SUM(C36:R36)-1</f>
        <v>1078765.7593084001</v>
      </c>
      <c r="W36" s="34"/>
      <c r="X36" s="5"/>
    </row>
    <row r="37" spans="1:24" ht="15.6" x14ac:dyDescent="0.3">
      <c r="A37" s="24"/>
      <c r="B37" s="122" t="s">
        <v>135</v>
      </c>
      <c r="C37" s="25"/>
      <c r="D37" s="168">
        <v>0.67536839999999998</v>
      </c>
      <c r="E37" s="169"/>
      <c r="F37" s="168">
        <v>0.67536879999999999</v>
      </c>
      <c r="G37" s="168"/>
      <c r="H37" s="168">
        <v>0.67536879999999999</v>
      </c>
      <c r="I37" s="168"/>
      <c r="J37" s="168">
        <v>0.67536839999999998</v>
      </c>
      <c r="K37" s="168"/>
      <c r="L37" s="168">
        <v>1</v>
      </c>
      <c r="M37" s="168"/>
      <c r="N37" s="168">
        <v>1</v>
      </c>
      <c r="O37" s="168"/>
      <c r="P37" s="168">
        <v>1</v>
      </c>
      <c r="Q37" s="168"/>
      <c r="R37" s="168">
        <v>1</v>
      </c>
      <c r="S37" s="30"/>
      <c r="T37" s="30"/>
      <c r="U37" s="163"/>
      <c r="V37" s="163"/>
      <c r="W37" s="25"/>
      <c r="X37" s="5"/>
    </row>
    <row r="38" spans="1:24" ht="15.6" x14ac:dyDescent="0.3">
      <c r="A38" s="24"/>
      <c r="B38" s="122" t="s">
        <v>136</v>
      </c>
      <c r="C38" s="25"/>
      <c r="D38" s="168">
        <v>0.68885030000000003</v>
      </c>
      <c r="E38" s="169"/>
      <c r="F38" s="168">
        <v>0.68885059999999998</v>
      </c>
      <c r="G38" s="168"/>
      <c r="H38" s="168">
        <v>0.68885059999999998</v>
      </c>
      <c r="I38" s="168"/>
      <c r="J38" s="168">
        <v>0.68885030000000003</v>
      </c>
      <c r="K38" s="168"/>
      <c r="L38" s="168">
        <v>1</v>
      </c>
      <c r="M38" s="168"/>
      <c r="N38" s="168">
        <v>1</v>
      </c>
      <c r="O38" s="168"/>
      <c r="P38" s="168">
        <v>1</v>
      </c>
      <c r="Q38" s="168"/>
      <c r="R38" s="168">
        <v>1</v>
      </c>
      <c r="S38" s="39"/>
      <c r="T38" s="38"/>
      <c r="U38" s="163"/>
      <c r="V38" s="39"/>
      <c r="W38" s="25"/>
      <c r="X38" s="5"/>
    </row>
    <row r="39" spans="1:24" ht="15.6" x14ac:dyDescent="0.3">
      <c r="A39" s="24"/>
      <c r="B39" s="25" t="s">
        <v>11</v>
      </c>
      <c r="C39" s="25"/>
      <c r="D39" s="30" t="s">
        <v>235</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4.5313000000000003E-3</v>
      </c>
      <c r="E40" s="25"/>
      <c r="F40" s="38">
        <v>4.2687500000000003E-2</v>
      </c>
      <c r="G40" s="39"/>
      <c r="H40" s="38">
        <v>4.3650000000000001E-2</v>
      </c>
      <c r="I40" s="38"/>
      <c r="J40" s="38">
        <v>2.25875E-2</v>
      </c>
      <c r="K40" s="39"/>
      <c r="L40" s="38">
        <v>4.3887500000000003E-2</v>
      </c>
      <c r="M40" s="39"/>
      <c r="N40" s="38">
        <v>4.4850000000000001E-2</v>
      </c>
      <c r="O40" s="39"/>
      <c r="P40" s="38">
        <v>4.6087500000000003E-2</v>
      </c>
      <c r="Q40" s="39"/>
      <c r="R40" s="38">
        <v>4.7050000000000002E-2</v>
      </c>
      <c r="S40" s="39"/>
      <c r="T40" s="38"/>
      <c r="U40" s="163"/>
      <c r="V40" s="30"/>
      <c r="W40" s="25"/>
      <c r="X40" s="5"/>
    </row>
    <row r="41" spans="1:24" ht="15.6" x14ac:dyDescent="0.3">
      <c r="A41" s="24"/>
      <c r="B41" s="25" t="s">
        <v>13</v>
      </c>
      <c r="C41" s="25"/>
      <c r="D41" s="38">
        <v>4.6800000000000001E-2</v>
      </c>
      <c r="E41" s="25"/>
      <c r="F41" s="38">
        <v>5.8818799999999997E-2</v>
      </c>
      <c r="G41" s="39"/>
      <c r="H41" s="38">
        <v>5.0849999999999999E-2</v>
      </c>
      <c r="I41" s="38"/>
      <c r="J41" s="38">
        <v>2.9143800000000001E-2</v>
      </c>
      <c r="K41" s="39"/>
      <c r="L41" s="38">
        <v>6.0018799999999997E-2</v>
      </c>
      <c r="M41" s="39"/>
      <c r="N41" s="38">
        <v>5.2049999999999999E-2</v>
      </c>
      <c r="O41" s="39"/>
      <c r="P41" s="38">
        <v>6.2218799999999998E-2</v>
      </c>
      <c r="Q41" s="39"/>
      <c r="R41" s="38">
        <v>5.425E-2</v>
      </c>
      <c r="S41" s="39"/>
      <c r="T41" s="38"/>
      <c r="U41" s="163"/>
      <c r="V41" s="39" t="s">
        <v>199</v>
      </c>
      <c r="W41" s="25"/>
      <c r="X41" s="5"/>
    </row>
    <row r="42" spans="1:24" ht="15.6" x14ac:dyDescent="0.3">
      <c r="A42" s="24"/>
      <c r="B42" s="25" t="s">
        <v>296</v>
      </c>
      <c r="C42" s="25"/>
      <c r="D42" s="30" t="s">
        <v>286</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4.28908E-2</v>
      </c>
      <c r="E43" s="38"/>
      <c r="F43" s="38">
        <f>+F40</f>
        <v>4.2687500000000003E-2</v>
      </c>
      <c r="G43" s="38"/>
      <c r="H43" s="38">
        <v>4.2648499999999999E-2</v>
      </c>
      <c r="I43" s="38"/>
      <c r="J43" s="38">
        <v>4.2769500000000002E-2</v>
      </c>
      <c r="K43" s="38"/>
      <c r="L43" s="38">
        <f>+L40</f>
        <v>4.3887500000000003E-2</v>
      </c>
      <c r="M43" s="38"/>
      <c r="N43" s="38">
        <v>4.39885E-2</v>
      </c>
      <c r="O43" s="38"/>
      <c r="P43" s="38">
        <f>+P40</f>
        <v>4.6087500000000003E-2</v>
      </c>
      <c r="Q43" s="39"/>
      <c r="R43" s="38">
        <v>4.6323499999999997E-2</v>
      </c>
      <c r="S43" s="30"/>
      <c r="T43" s="30"/>
      <c r="U43" s="163"/>
      <c r="V43" s="39">
        <f>SUMPRODUCT(D43:R43,D35:R35)/V35</f>
        <v>4.3221884522910647E-2</v>
      </c>
      <c r="W43" s="25"/>
      <c r="X43" s="5"/>
    </row>
    <row r="44" spans="1:24" ht="15.6" x14ac:dyDescent="0.3">
      <c r="A44" s="24"/>
      <c r="B44" s="25" t="s">
        <v>298</v>
      </c>
      <c r="C44" s="110"/>
      <c r="D44" s="38">
        <v>5.9022100000000001E-2</v>
      </c>
      <c r="E44" s="38"/>
      <c r="F44" s="38">
        <f>+F41</f>
        <v>5.8818799999999997E-2</v>
      </c>
      <c r="G44" s="38"/>
      <c r="H44" s="38">
        <v>5.87798E-2</v>
      </c>
      <c r="I44" s="38"/>
      <c r="J44" s="38">
        <v>5.8900800000000003E-2</v>
      </c>
      <c r="K44" s="38"/>
      <c r="L44" s="38">
        <f>+L41</f>
        <v>6.0018799999999997E-2</v>
      </c>
      <c r="M44" s="38"/>
      <c r="N44" s="38">
        <v>6.0119800000000001E-2</v>
      </c>
      <c r="O44" s="38"/>
      <c r="P44" s="38">
        <f>+P41</f>
        <v>6.2218799999999998E-2</v>
      </c>
      <c r="Q44" s="39"/>
      <c r="R44" s="38">
        <v>6.2454799999999998E-2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0.2303919461537742</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39861</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94</v>
      </c>
      <c r="S57" s="25"/>
      <c r="T57" s="45">
        <v>39675</v>
      </c>
      <c r="U57" s="46"/>
      <c r="V57" s="45">
        <v>39768</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92</v>
      </c>
      <c r="S58" s="25"/>
      <c r="T58" s="45">
        <v>39769</v>
      </c>
      <c r="U58" s="46"/>
      <c r="V58" s="45">
        <v>39860</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39846</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288</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1096269</v>
      </c>
      <c r="O69" s="34"/>
      <c r="P69" s="34">
        <f>17502+485+66</f>
        <v>18053</v>
      </c>
      <c r="Q69" s="34"/>
      <c r="R69" s="34">
        <f>485+66-1</f>
        <v>550</v>
      </c>
      <c r="S69" s="34"/>
      <c r="T69" s="34">
        <v>0</v>
      </c>
      <c r="U69" s="34"/>
      <c r="V69" s="53">
        <f>+N69-P69+R69-T69</f>
        <v>1078766</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1096269</v>
      </c>
      <c r="O72" s="34"/>
      <c r="P72" s="34">
        <f>SUM(P69:P71)</f>
        <v>18053</v>
      </c>
      <c r="Q72" s="34"/>
      <c r="R72" s="34">
        <f>SUM(R69:R71)</f>
        <v>550</v>
      </c>
      <c r="S72" s="34"/>
      <c r="T72" s="34">
        <f>SUM(T69:T71)</f>
        <v>0</v>
      </c>
      <c r="U72" s="34"/>
      <c r="V72" s="54">
        <f>SUM(V69:V71)</f>
        <v>1078766</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1096269</v>
      </c>
      <c r="O85" s="34"/>
      <c r="P85" s="34"/>
      <c r="Q85" s="34"/>
      <c r="R85" s="34"/>
      <c r="S85" s="34"/>
      <c r="T85" s="54"/>
      <c r="U85" s="34"/>
      <c r="V85" s="54">
        <f>SUM(V72:V84)</f>
        <v>1078766</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+T196</f>
        <v>39843</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18053-52</f>
        <v>18001</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10419+5351-1031-349-15+100+43</f>
        <v>14518</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107+57</f>
        <v>164</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885</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v>0</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0</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18001</v>
      </c>
      <c r="U97" s="25"/>
      <c r="V97" s="54">
        <f>SUM(V89:V96)</f>
        <v>15567</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-45</v>
      </c>
      <c r="U98" s="25"/>
      <c r="V98" s="54">
        <v>45</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282</v>
      </c>
      <c r="C100" s="25"/>
      <c r="D100" s="25"/>
      <c r="E100" s="25"/>
      <c r="F100" s="25"/>
      <c r="G100" s="25"/>
      <c r="H100" s="25"/>
      <c r="I100" s="25"/>
      <c r="J100" s="25"/>
      <c r="K100" s="25"/>
      <c r="L100" s="25"/>
      <c r="M100" s="25"/>
      <c r="N100" s="25"/>
      <c r="O100" s="25"/>
      <c r="P100" s="25"/>
      <c r="Q100" s="25"/>
      <c r="R100" s="25"/>
      <c r="S100" s="25"/>
      <c r="T100" s="34"/>
      <c r="U100" s="25"/>
      <c r="V100" s="53">
        <v>11</v>
      </c>
      <c r="W100" s="25"/>
      <c r="X100" s="5"/>
    </row>
    <row r="101" spans="1:25"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17956</v>
      </c>
      <c r="U101" s="25"/>
      <c r="V101" s="54">
        <f>V97+V99+V98+V100</f>
        <v>15623</v>
      </c>
      <c r="W101" s="25"/>
      <c r="X101" s="5"/>
    </row>
    <row r="102" spans="1:25"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5"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5" ht="15.6" x14ac:dyDescent="0.3">
      <c r="A104" s="24">
        <f>+A103+1</f>
        <v>2</v>
      </c>
      <c r="B104" s="25" t="s">
        <v>259</v>
      </c>
      <c r="C104" s="25"/>
      <c r="D104" s="25"/>
      <c r="E104" s="25"/>
      <c r="F104" s="25"/>
      <c r="G104" s="25"/>
      <c r="H104" s="25"/>
      <c r="I104" s="25"/>
      <c r="J104" s="25"/>
      <c r="K104" s="25"/>
      <c r="L104" s="25"/>
      <c r="M104" s="25"/>
      <c r="N104" s="25"/>
      <c r="O104" s="25"/>
      <c r="P104" s="25"/>
      <c r="Q104" s="25"/>
      <c r="R104" s="25"/>
      <c r="S104" s="25"/>
      <c r="T104" s="25"/>
      <c r="U104" s="25"/>
      <c r="V104" s="53">
        <v>-2</v>
      </c>
      <c r="W104" s="25"/>
      <c r="X104" s="5"/>
    </row>
    <row r="105" spans="1:25" ht="15.6" x14ac:dyDescent="0.3">
      <c r="A105" s="24">
        <f>+A104+1</f>
        <v>3</v>
      </c>
      <c r="B105" s="25" t="s">
        <v>210</v>
      </c>
      <c r="C105" s="25"/>
      <c r="D105" s="25"/>
      <c r="E105" s="25"/>
      <c r="F105" s="25"/>
      <c r="G105" s="25"/>
      <c r="H105" s="25"/>
      <c r="I105" s="25"/>
      <c r="J105" s="25"/>
      <c r="K105" s="25"/>
      <c r="L105" s="25"/>
      <c r="M105" s="25"/>
      <c r="N105" s="25"/>
      <c r="O105" s="25"/>
      <c r="P105" s="25"/>
      <c r="Q105" s="25"/>
      <c r="R105" s="25"/>
      <c r="S105" s="25"/>
      <c r="T105" s="25"/>
      <c r="U105" s="25"/>
      <c r="V105" s="53">
        <f>-415-99-13</f>
        <v>-527</v>
      </c>
      <c r="W105" s="25"/>
      <c r="X105" s="5"/>
    </row>
    <row r="106" spans="1:25" ht="15.6" x14ac:dyDescent="0.3">
      <c r="A106" s="24" t="s">
        <v>132</v>
      </c>
      <c r="B106" s="25" t="s">
        <v>121</v>
      </c>
      <c r="C106" s="25"/>
      <c r="D106" s="25"/>
      <c r="E106" s="25"/>
      <c r="F106" s="25"/>
      <c r="G106" s="25"/>
      <c r="H106" s="25"/>
      <c r="I106" s="25"/>
      <c r="J106" s="25"/>
      <c r="K106" s="25"/>
      <c r="L106" s="25"/>
      <c r="M106" s="25"/>
      <c r="N106" s="25"/>
      <c r="O106" s="25"/>
      <c r="P106" s="25"/>
      <c r="Q106" s="25"/>
      <c r="R106" s="25"/>
      <c r="S106" s="25"/>
      <c r="T106" s="25"/>
      <c r="U106" s="25"/>
      <c r="V106" s="53">
        <v>-1640</v>
      </c>
      <c r="W106" s="25"/>
      <c r="X106" s="5"/>
    </row>
    <row r="107" spans="1:25" ht="15.6" x14ac:dyDescent="0.3">
      <c r="A107" s="24" t="s">
        <v>133</v>
      </c>
      <c r="B107" s="25" t="s">
        <v>256</v>
      </c>
      <c r="C107" s="25"/>
      <c r="D107" s="25"/>
      <c r="E107" s="25"/>
      <c r="F107" s="25"/>
      <c r="G107" s="25"/>
      <c r="H107" s="25"/>
      <c r="I107" s="25"/>
      <c r="J107" s="25"/>
      <c r="K107" s="25"/>
      <c r="L107" s="25"/>
      <c r="M107" s="25"/>
      <c r="N107" s="25"/>
      <c r="O107" s="25"/>
      <c r="P107" s="25"/>
      <c r="Q107" s="25"/>
      <c r="R107" s="25"/>
      <c r="S107" s="25"/>
      <c r="T107" s="25"/>
      <c r="U107" s="25"/>
      <c r="V107" s="53">
        <f>-9652+1074</f>
        <v>-8578</v>
      </c>
      <c r="W107" s="25"/>
      <c r="X107" s="171"/>
      <c r="Y107" s="109"/>
    </row>
    <row r="108" spans="1:25" ht="15.6" x14ac:dyDescent="0.3">
      <c r="A108" s="24" t="s">
        <v>155</v>
      </c>
      <c r="B108" s="25" t="s">
        <v>190</v>
      </c>
      <c r="C108" s="25"/>
      <c r="D108" s="25"/>
      <c r="E108" s="25"/>
      <c r="F108" s="25"/>
      <c r="G108" s="25"/>
      <c r="H108" s="25"/>
      <c r="I108" s="25"/>
      <c r="J108" s="25"/>
      <c r="K108" s="25"/>
      <c r="L108" s="25"/>
      <c r="M108" s="25"/>
      <c r="N108" s="25"/>
      <c r="O108" s="25"/>
      <c r="P108" s="25"/>
      <c r="Q108" s="25"/>
      <c r="R108" s="25"/>
      <c r="S108" s="25"/>
      <c r="T108" s="25"/>
      <c r="U108" s="25"/>
      <c r="V108" s="53">
        <v>-1074</v>
      </c>
      <c r="W108" s="25"/>
      <c r="X108" s="5"/>
      <c r="Y108" s="109"/>
    </row>
    <row r="109" spans="1:25" ht="15.6" x14ac:dyDescent="0.3">
      <c r="A109" s="24" t="s">
        <v>211</v>
      </c>
      <c r="B109" s="25" t="s">
        <v>191</v>
      </c>
      <c r="C109" s="25"/>
      <c r="D109" s="25"/>
      <c r="E109" s="25"/>
      <c r="F109" s="25"/>
      <c r="G109" s="25"/>
      <c r="H109" s="25"/>
      <c r="I109" s="25"/>
      <c r="J109" s="25"/>
      <c r="K109" s="25"/>
      <c r="L109" s="25"/>
      <c r="M109" s="25"/>
      <c r="N109" s="25"/>
      <c r="O109" s="25"/>
      <c r="P109" s="25"/>
      <c r="Q109" s="25"/>
      <c r="R109" s="25"/>
      <c r="S109" s="25"/>
      <c r="T109" s="25"/>
      <c r="U109" s="25"/>
      <c r="V109" s="53">
        <v>-963</v>
      </c>
      <c r="W109" s="25"/>
      <c r="X109" s="5"/>
      <c r="Y109" s="109"/>
    </row>
    <row r="110" spans="1:25" ht="15.6" x14ac:dyDescent="0.3">
      <c r="A110" s="24" t="s">
        <v>212</v>
      </c>
      <c r="B110" s="25" t="s">
        <v>192</v>
      </c>
      <c r="C110" s="25"/>
      <c r="D110" s="25"/>
      <c r="E110" s="25"/>
      <c r="F110" s="25"/>
      <c r="G110" s="25"/>
      <c r="H110" s="25"/>
      <c r="I110" s="25"/>
      <c r="J110" s="25"/>
      <c r="K110" s="25"/>
      <c r="L110" s="25"/>
      <c r="M110" s="25"/>
      <c r="N110" s="25"/>
      <c r="O110" s="25"/>
      <c r="P110" s="25"/>
      <c r="Q110" s="25"/>
      <c r="R110" s="25"/>
      <c r="S110" s="25"/>
      <c r="T110" s="25"/>
      <c r="U110" s="25"/>
      <c r="V110" s="53">
        <f>-1240+963</f>
        <v>-277</v>
      </c>
      <c r="W110" s="25"/>
      <c r="X110" s="5"/>
      <c r="Y110" s="109"/>
    </row>
    <row r="111" spans="1:25" ht="15.6" x14ac:dyDescent="0.3">
      <c r="A111" s="24" t="s">
        <v>213</v>
      </c>
      <c r="B111" s="25" t="s">
        <v>202</v>
      </c>
      <c r="C111" s="25"/>
      <c r="D111" s="25"/>
      <c r="E111" s="25"/>
      <c r="F111" s="25"/>
      <c r="G111" s="25"/>
      <c r="H111" s="25"/>
      <c r="I111" s="25"/>
      <c r="J111" s="25"/>
      <c r="K111" s="25"/>
      <c r="L111" s="25"/>
      <c r="M111" s="25"/>
      <c r="N111" s="25"/>
      <c r="O111" s="25"/>
      <c r="P111" s="25"/>
      <c r="Q111" s="25"/>
      <c r="R111" s="25"/>
      <c r="S111" s="25"/>
      <c r="T111" s="25"/>
      <c r="U111" s="25"/>
      <c r="V111" s="53">
        <v>-853</v>
      </c>
      <c r="W111" s="25"/>
      <c r="X111" s="5"/>
      <c r="Y111" s="109"/>
    </row>
    <row r="112" spans="1:25" ht="15.6" x14ac:dyDescent="0.3">
      <c r="A112" s="24" t="s">
        <v>258</v>
      </c>
      <c r="B112" s="25" t="s">
        <v>257</v>
      </c>
      <c r="C112" s="25"/>
      <c r="D112" s="25"/>
      <c r="E112" s="25"/>
      <c r="F112" s="25"/>
      <c r="G112" s="25"/>
      <c r="H112" s="25"/>
      <c r="I112" s="25"/>
      <c r="J112" s="25"/>
      <c r="K112" s="25"/>
      <c r="L112" s="25"/>
      <c r="M112" s="25"/>
      <c r="N112" s="25"/>
      <c r="O112" s="25"/>
      <c r="P112" s="25"/>
      <c r="Q112" s="25"/>
      <c r="R112" s="25"/>
      <c r="S112" s="25"/>
      <c r="T112" s="25"/>
      <c r="U112" s="25"/>
      <c r="V112" s="53">
        <f>-1051+853</f>
        <v>-198</v>
      </c>
      <c r="W112" s="25"/>
      <c r="X112" s="5"/>
      <c r="Y112" s="109"/>
    </row>
    <row r="113" spans="1:24" ht="15.6" x14ac:dyDescent="0.3">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-10</v>
      </c>
      <c r="W113" s="25"/>
      <c r="X113" s="5"/>
    </row>
    <row r="114" spans="1:24" ht="15.6" x14ac:dyDescent="0.3">
      <c r="A114" s="24">
        <f t="shared" ref="A114:A119" si="0">+A113+1</f>
        <v>8</v>
      </c>
      <c r="B114" s="25" t="s">
        <v>46</v>
      </c>
      <c r="C114" s="25"/>
      <c r="D114" s="25"/>
      <c r="E114" s="25"/>
      <c r="F114" s="25"/>
      <c r="G114" s="25"/>
      <c r="H114" s="25"/>
      <c r="I114" s="25"/>
      <c r="J114" s="25"/>
      <c r="K114" s="25"/>
      <c r="L114" s="25"/>
      <c r="M114" s="25"/>
      <c r="N114" s="25"/>
      <c r="O114" s="25"/>
      <c r="P114" s="25"/>
      <c r="Q114" s="25"/>
      <c r="R114" s="25"/>
      <c r="S114" s="25"/>
      <c r="T114" s="34">
        <f>-V114</f>
        <v>52</v>
      </c>
      <c r="U114" s="25"/>
      <c r="V114" s="53">
        <v>-52</v>
      </c>
      <c r="W114" s="25"/>
      <c r="X114" s="5"/>
    </row>
    <row r="115" spans="1:24" ht="15.6" x14ac:dyDescent="0.3">
      <c r="A115" s="24">
        <f t="shared" si="0"/>
        <v>9</v>
      </c>
      <c r="B115" s="25" t="s">
        <v>130</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10</v>
      </c>
      <c r="B116" s="25" t="s">
        <v>36</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11</v>
      </c>
      <c r="B117" s="25" t="s">
        <v>37</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6" x14ac:dyDescent="0.3">
      <c r="A118" s="24">
        <f t="shared" si="0"/>
        <v>12</v>
      </c>
      <c r="B118" s="25" t="s">
        <v>154</v>
      </c>
      <c r="C118" s="25"/>
      <c r="D118" s="25"/>
      <c r="E118" s="25"/>
      <c r="F118" s="25"/>
      <c r="G118" s="25"/>
      <c r="H118" s="25"/>
      <c r="I118" s="25"/>
      <c r="J118" s="25"/>
      <c r="K118" s="25"/>
      <c r="L118" s="25"/>
      <c r="M118" s="25"/>
      <c r="N118" s="25"/>
      <c r="O118" s="25"/>
      <c r="P118" s="25"/>
      <c r="Q118" s="25"/>
      <c r="R118" s="25"/>
      <c r="S118" s="25"/>
      <c r="T118" s="25"/>
      <c r="U118" s="25"/>
      <c r="V118" s="53">
        <v>-415</v>
      </c>
      <c r="W118" s="25"/>
      <c r="X118" s="5"/>
    </row>
    <row r="119" spans="1:24" ht="15.6" x14ac:dyDescent="0.3">
      <c r="A119" s="24">
        <f t="shared" si="0"/>
        <v>13</v>
      </c>
      <c r="B119" s="25" t="s">
        <v>131</v>
      </c>
      <c r="C119" s="25"/>
      <c r="D119" s="25"/>
      <c r="E119" s="25"/>
      <c r="F119" s="25"/>
      <c r="G119" s="25"/>
      <c r="H119" s="25"/>
      <c r="I119" s="25"/>
      <c r="J119" s="25"/>
      <c r="K119" s="25"/>
      <c r="L119" s="25"/>
      <c r="M119" s="25"/>
      <c r="N119" s="25"/>
      <c r="O119" s="25"/>
      <c r="P119" s="25"/>
      <c r="Q119" s="25"/>
      <c r="R119" s="25"/>
      <c r="S119" s="25"/>
      <c r="T119" s="25"/>
      <c r="U119" s="25"/>
      <c r="V119" s="53">
        <f>-V101-SUM(V103:V118)</f>
        <v>-1034</v>
      </c>
      <c r="W119" s="25"/>
      <c r="X119" s="5"/>
    </row>
    <row r="120" spans="1:24" ht="15.6" x14ac:dyDescent="0.3">
      <c r="A120" s="24"/>
      <c r="B120" s="118" t="s">
        <v>38</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6" x14ac:dyDescent="0.3">
      <c r="A121" s="24"/>
      <c r="B121" s="25" t="s">
        <v>179</v>
      </c>
      <c r="C121" s="25"/>
      <c r="D121" s="25"/>
      <c r="E121" s="25"/>
      <c r="F121" s="25"/>
      <c r="G121" s="25"/>
      <c r="H121" s="25"/>
      <c r="I121" s="25"/>
      <c r="J121" s="25"/>
      <c r="K121" s="25"/>
      <c r="L121" s="25"/>
      <c r="M121" s="25"/>
      <c r="N121" s="25"/>
      <c r="O121" s="25"/>
      <c r="P121" s="25"/>
      <c r="Q121" s="25"/>
      <c r="R121" s="25"/>
      <c r="S121" s="25"/>
      <c r="T121" s="34">
        <f>-T180</f>
        <v>-187</v>
      </c>
      <c r="U121" s="34"/>
      <c r="V121" s="53"/>
      <c r="W121" s="25"/>
      <c r="X121" s="5"/>
    </row>
    <row r="122" spans="1:24" ht="15.6" x14ac:dyDescent="0.3">
      <c r="A122" s="24"/>
      <c r="B122" s="25" t="s">
        <v>180</v>
      </c>
      <c r="C122" s="25"/>
      <c r="D122" s="25"/>
      <c r="E122" s="25"/>
      <c r="F122" s="25"/>
      <c r="G122" s="25"/>
      <c r="H122" s="25"/>
      <c r="I122" s="25"/>
      <c r="J122" s="25"/>
      <c r="K122" s="25"/>
      <c r="L122" s="25"/>
      <c r="M122" s="25"/>
      <c r="N122" s="25"/>
      <c r="O122" s="25"/>
      <c r="P122" s="25"/>
      <c r="Q122" s="25"/>
      <c r="R122" s="25"/>
      <c r="S122" s="25"/>
      <c r="T122" s="34">
        <v>0</v>
      </c>
      <c r="U122" s="34"/>
      <c r="V122" s="53"/>
      <c r="W122" s="25"/>
      <c r="X122" s="5"/>
    </row>
    <row r="123" spans="1:24" ht="15.6" x14ac:dyDescent="0.3">
      <c r="A123" s="24"/>
      <c r="B123" s="25" t="s">
        <v>39</v>
      </c>
      <c r="C123" s="25"/>
      <c r="D123" s="25"/>
      <c r="E123" s="25"/>
      <c r="F123" s="25"/>
      <c r="G123" s="25"/>
      <c r="H123" s="25"/>
      <c r="I123" s="25"/>
      <c r="J123" s="25"/>
      <c r="K123" s="25"/>
      <c r="L123" s="25"/>
      <c r="M123" s="25"/>
      <c r="N123" s="25"/>
      <c r="O123" s="25"/>
      <c r="P123" s="25"/>
      <c r="Q123" s="25"/>
      <c r="R123" s="25"/>
      <c r="S123" s="25"/>
      <c r="T123" s="34">
        <f>-S180</f>
        <v>-319</v>
      </c>
      <c r="U123" s="34"/>
      <c r="V123" s="53"/>
      <c r="W123" s="25"/>
      <c r="X123" s="5"/>
    </row>
    <row r="124" spans="1:24" ht="15.6" x14ac:dyDescent="0.3">
      <c r="A124" s="24"/>
      <c r="B124" s="25" t="s">
        <v>203</v>
      </c>
      <c r="C124" s="25"/>
      <c r="D124" s="25"/>
      <c r="E124" s="25"/>
      <c r="F124" s="25"/>
      <c r="G124" s="25"/>
      <c r="H124" s="25"/>
      <c r="I124" s="25"/>
      <c r="J124" s="25"/>
      <c r="K124" s="25"/>
      <c r="L124" s="25"/>
      <c r="M124" s="25"/>
      <c r="N124" s="25"/>
      <c r="O124" s="25"/>
      <c r="P124" s="25"/>
      <c r="Q124" s="25"/>
      <c r="R124" s="25"/>
      <c r="S124" s="25"/>
      <c r="T124" s="34">
        <v>-10991</v>
      </c>
      <c r="U124" s="34"/>
      <c r="V124" s="53"/>
      <c r="W124" s="25"/>
      <c r="X124" s="5"/>
    </row>
    <row r="125" spans="1:24" ht="15.6" x14ac:dyDescent="0.3">
      <c r="A125" s="24"/>
      <c r="B125" s="25" t="s">
        <v>201</v>
      </c>
      <c r="C125" s="25"/>
      <c r="D125" s="25"/>
      <c r="E125" s="25"/>
      <c r="F125" s="25"/>
      <c r="G125" s="25"/>
      <c r="H125" s="25"/>
      <c r="I125" s="25"/>
      <c r="J125" s="25"/>
      <c r="K125" s="25"/>
      <c r="L125" s="25"/>
      <c r="M125" s="25"/>
      <c r="N125" s="25"/>
      <c r="O125" s="25"/>
      <c r="P125" s="25"/>
      <c r="Q125" s="25"/>
      <c r="R125" s="25"/>
      <c r="S125" s="25"/>
      <c r="T125" s="34">
        <v>-1955</v>
      </c>
      <c r="U125" s="34"/>
      <c r="V125" s="53"/>
      <c r="W125" s="25"/>
      <c r="X125" s="5"/>
    </row>
    <row r="126" spans="1:24" ht="15.6" x14ac:dyDescent="0.3">
      <c r="A126" s="24"/>
      <c r="B126" s="25" t="s">
        <v>200</v>
      </c>
      <c r="C126" s="25"/>
      <c r="D126" s="25"/>
      <c r="E126" s="25"/>
      <c r="F126" s="25"/>
      <c r="G126" s="25"/>
      <c r="H126" s="25"/>
      <c r="I126" s="25"/>
      <c r="J126" s="25"/>
      <c r="K126" s="25"/>
      <c r="L126" s="25"/>
      <c r="M126" s="25"/>
      <c r="N126" s="25"/>
      <c r="O126" s="25"/>
      <c r="P126" s="25"/>
      <c r="Q126" s="25"/>
      <c r="R126" s="25"/>
      <c r="S126" s="25"/>
      <c r="T126" s="34">
        <v>-2278</v>
      </c>
      <c r="U126" s="34"/>
      <c r="V126" s="53"/>
      <c r="W126" s="25"/>
      <c r="X126" s="5"/>
    </row>
    <row r="127" spans="1:24" ht="15.6" x14ac:dyDescent="0.3">
      <c r="A127" s="24"/>
      <c r="B127" s="25" t="s">
        <v>260</v>
      </c>
      <c r="C127" s="25"/>
      <c r="D127" s="25"/>
      <c r="E127" s="25"/>
      <c r="F127" s="25"/>
      <c r="G127" s="25"/>
      <c r="H127" s="25"/>
      <c r="I127" s="25"/>
      <c r="J127" s="25"/>
      <c r="K127" s="25"/>
      <c r="L127" s="25"/>
      <c r="M127" s="25"/>
      <c r="N127" s="25"/>
      <c r="O127" s="25"/>
      <c r="P127" s="25"/>
      <c r="Q127" s="25"/>
      <c r="R127" s="25"/>
      <c r="S127" s="25"/>
      <c r="T127" s="34">
        <v>-2278</v>
      </c>
      <c r="U127" s="34"/>
      <c r="V127" s="53"/>
      <c r="W127" s="25"/>
      <c r="X127" s="5"/>
    </row>
    <row r="128" spans="1:24" ht="15.6" x14ac:dyDescent="0.3">
      <c r="A128" s="24"/>
      <c r="B128" s="25" t="s">
        <v>195</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261</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193</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40</v>
      </c>
      <c r="C132" s="25"/>
      <c r="D132" s="25"/>
      <c r="E132" s="25"/>
      <c r="F132" s="25"/>
      <c r="G132" s="25"/>
      <c r="H132" s="25"/>
      <c r="I132" s="25"/>
      <c r="J132" s="25"/>
      <c r="K132" s="25"/>
      <c r="L132" s="25"/>
      <c r="M132" s="25"/>
      <c r="N132" s="25"/>
      <c r="O132" s="25"/>
      <c r="P132" s="25"/>
      <c r="Q132" s="25"/>
      <c r="R132" s="25"/>
      <c r="S132" s="25"/>
      <c r="T132" s="34">
        <f>SUM(T121:T131)</f>
        <v>-18008</v>
      </c>
      <c r="U132" s="34"/>
      <c r="V132" s="34">
        <f>SUM(V102:V129)</f>
        <v>-15623</v>
      </c>
      <c r="W132" s="25"/>
      <c r="X132" s="5"/>
    </row>
    <row r="133" spans="1:24" ht="15.6" x14ac:dyDescent="0.3">
      <c r="A133" s="24"/>
      <c r="B133" s="25" t="s">
        <v>41</v>
      </c>
      <c r="C133" s="25"/>
      <c r="D133" s="25"/>
      <c r="E133" s="25"/>
      <c r="F133" s="25"/>
      <c r="G133" s="25"/>
      <c r="H133" s="25"/>
      <c r="I133" s="25"/>
      <c r="J133" s="25"/>
      <c r="K133" s="25"/>
      <c r="L133" s="25"/>
      <c r="M133" s="25"/>
      <c r="N133" s="25"/>
      <c r="O133" s="25"/>
      <c r="P133" s="25"/>
      <c r="Q133" s="25"/>
      <c r="R133" s="25"/>
      <c r="S133" s="25"/>
      <c r="T133" s="34">
        <f>T101+T132+T114</f>
        <v>0</v>
      </c>
      <c r="U133" s="34"/>
      <c r="V133" s="34">
        <f>V101+V132</f>
        <v>0</v>
      </c>
      <c r="W133" s="25"/>
      <c r="X133" s="5"/>
    </row>
    <row r="134" spans="1:24" ht="15.6" x14ac:dyDescent="0.3">
      <c r="A134" s="24"/>
      <c r="B134" s="25"/>
      <c r="C134" s="25"/>
      <c r="D134" s="25"/>
      <c r="E134" s="25"/>
      <c r="F134" s="25"/>
      <c r="G134" s="25"/>
      <c r="H134" s="25"/>
      <c r="I134" s="25"/>
      <c r="J134" s="25"/>
      <c r="K134" s="25"/>
      <c r="L134" s="25"/>
      <c r="M134" s="25"/>
      <c r="N134" s="25"/>
      <c r="O134" s="25"/>
      <c r="P134" s="25"/>
      <c r="Q134" s="25"/>
      <c r="R134" s="25"/>
      <c r="S134" s="25"/>
      <c r="T134" s="34"/>
      <c r="U134" s="34"/>
      <c r="V134" s="34"/>
      <c r="W134" s="25"/>
      <c r="X134" s="5"/>
    </row>
    <row r="135" spans="1:24" ht="15.6" x14ac:dyDescent="0.3">
      <c r="A135" s="6"/>
      <c r="B135" s="8"/>
      <c r="C135" s="8"/>
      <c r="D135" s="8"/>
      <c r="E135" s="8"/>
      <c r="F135" s="8"/>
      <c r="G135" s="8"/>
      <c r="H135" s="8"/>
      <c r="I135" s="8"/>
      <c r="J135" s="8"/>
      <c r="K135" s="8"/>
      <c r="L135" s="8"/>
      <c r="M135" s="8"/>
      <c r="N135" s="8"/>
      <c r="O135" s="8"/>
      <c r="P135" s="8"/>
      <c r="Q135" s="8"/>
      <c r="R135" s="8"/>
      <c r="S135" s="8"/>
      <c r="T135" s="8"/>
      <c r="U135" s="8"/>
      <c r="V135" s="52"/>
      <c r="W135" s="8"/>
      <c r="X135" s="5"/>
    </row>
    <row r="136" spans="1:24" ht="18" thickBot="1" x14ac:dyDescent="0.35">
      <c r="A136" s="101"/>
      <c r="B136" s="102" t="str">
        <f>B64</f>
        <v>PM12 INVESTOR REPORT QUARTER ENDING JANUARY 2009</v>
      </c>
      <c r="C136" s="103"/>
      <c r="D136" s="103"/>
      <c r="E136" s="103"/>
      <c r="F136" s="103"/>
      <c r="G136" s="103"/>
      <c r="H136" s="103"/>
      <c r="I136" s="103"/>
      <c r="J136" s="103"/>
      <c r="K136" s="103"/>
      <c r="L136" s="103"/>
      <c r="M136" s="103"/>
      <c r="N136" s="103"/>
      <c r="O136" s="103"/>
      <c r="P136" s="103"/>
      <c r="Q136" s="103"/>
      <c r="R136" s="103"/>
      <c r="S136" s="103"/>
      <c r="T136" s="103"/>
      <c r="U136" s="103"/>
      <c r="V136" s="106"/>
      <c r="W136" s="105"/>
      <c r="X136" s="5"/>
    </row>
    <row r="137" spans="1:24" ht="15.6" x14ac:dyDescent="0.3">
      <c r="A137" s="2"/>
      <c r="B137" s="60" t="s">
        <v>42</v>
      </c>
      <c r="C137" s="4"/>
      <c r="D137" s="4"/>
      <c r="E137" s="4"/>
      <c r="F137" s="4"/>
      <c r="G137" s="4"/>
      <c r="H137" s="4"/>
      <c r="I137" s="4"/>
      <c r="J137" s="4"/>
      <c r="K137" s="4"/>
      <c r="L137" s="4"/>
      <c r="M137" s="4"/>
      <c r="N137" s="4"/>
      <c r="O137" s="4"/>
      <c r="P137" s="4"/>
      <c r="Q137" s="4"/>
      <c r="R137" s="4"/>
      <c r="S137" s="4"/>
      <c r="T137" s="4"/>
      <c r="U137" s="4"/>
      <c r="V137" s="50"/>
      <c r="W137" s="4"/>
      <c r="X137" s="5"/>
    </row>
    <row r="138" spans="1:24" ht="15.6" x14ac:dyDescent="0.3">
      <c r="A138" s="6"/>
      <c r="B138" s="21"/>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6"/>
      <c r="B139" s="119" t="s">
        <v>43</v>
      </c>
      <c r="C139" s="8"/>
      <c r="D139" s="8"/>
      <c r="E139" s="8"/>
      <c r="F139" s="8"/>
      <c r="G139" s="8"/>
      <c r="H139" s="8"/>
      <c r="I139" s="8"/>
      <c r="J139" s="8"/>
      <c r="K139" s="8"/>
      <c r="L139" s="8"/>
      <c r="M139" s="8"/>
      <c r="N139" s="8"/>
      <c r="O139" s="8"/>
      <c r="P139" s="8"/>
      <c r="Q139" s="8"/>
      <c r="R139" s="8"/>
      <c r="S139" s="8"/>
      <c r="T139" s="8"/>
      <c r="U139" s="8"/>
      <c r="V139" s="52"/>
      <c r="W139" s="8"/>
      <c r="X139" s="5"/>
    </row>
    <row r="140" spans="1:24" ht="15.6" x14ac:dyDescent="0.3">
      <c r="A140" s="24"/>
      <c r="B140" s="25" t="s">
        <v>44</v>
      </c>
      <c r="C140" s="25"/>
      <c r="D140" s="25"/>
      <c r="E140" s="25"/>
      <c r="F140" s="25"/>
      <c r="G140" s="25"/>
      <c r="H140" s="25"/>
      <c r="I140" s="25"/>
      <c r="J140" s="25"/>
      <c r="K140" s="25"/>
      <c r="L140" s="25"/>
      <c r="M140" s="25"/>
      <c r="N140" s="25"/>
      <c r="O140" s="25"/>
      <c r="P140" s="25"/>
      <c r="Q140" s="25"/>
      <c r="R140" s="25"/>
      <c r="S140" s="25"/>
      <c r="T140" s="25"/>
      <c r="U140" s="25"/>
      <c r="V140" s="53">
        <f>+V34*0.019</f>
        <v>28503.895</v>
      </c>
      <c r="W140" s="25"/>
      <c r="X140" s="5"/>
    </row>
    <row r="141" spans="1:24" ht="15.6" x14ac:dyDescent="0.3">
      <c r="A141" s="24"/>
      <c r="B141" s="25" t="s">
        <v>45</v>
      </c>
      <c r="C141" s="25"/>
      <c r="D141" s="25"/>
      <c r="E141" s="25"/>
      <c r="F141" s="25"/>
      <c r="G141" s="25"/>
      <c r="H141" s="25"/>
      <c r="I141" s="25"/>
      <c r="J141" s="25"/>
      <c r="K141" s="25"/>
      <c r="L141" s="25"/>
      <c r="M141" s="25"/>
      <c r="N141" s="25"/>
      <c r="O141" s="25"/>
      <c r="P141" s="25"/>
      <c r="Q141" s="25"/>
      <c r="R141" s="25"/>
      <c r="S141" s="25"/>
      <c r="T141" s="25"/>
      <c r="U141" s="25"/>
      <c r="V141" s="53">
        <v>28504</v>
      </c>
      <c r="W141" s="25"/>
      <c r="X141" s="5"/>
    </row>
    <row r="142" spans="1:24" ht="15.6" x14ac:dyDescent="0.3">
      <c r="A142" s="24"/>
      <c r="B142" s="25" t="s">
        <v>141</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128</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129</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181</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46</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134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230</v>
      </c>
      <c r="C148" s="25"/>
      <c r="D148" s="25"/>
      <c r="E148" s="25"/>
      <c r="F148" s="25"/>
      <c r="G148" s="25"/>
      <c r="H148" s="25"/>
      <c r="I148" s="25"/>
      <c r="J148" s="25"/>
      <c r="K148" s="25"/>
      <c r="L148" s="25"/>
      <c r="M148" s="25"/>
      <c r="N148" s="25"/>
      <c r="O148" s="25"/>
      <c r="P148" s="25"/>
      <c r="Q148" s="25"/>
      <c r="R148" s="25"/>
      <c r="S148" s="25"/>
      <c r="T148" s="25"/>
      <c r="U148" s="25"/>
      <c r="V148" s="53">
        <v>0</v>
      </c>
      <c r="W148" s="25"/>
      <c r="X148" s="5"/>
      <c r="Y148" s="109"/>
    </row>
    <row r="149" spans="1:25" ht="15.6" x14ac:dyDescent="0.3">
      <c r="A149" s="24"/>
      <c r="B149" s="25" t="s">
        <v>47</v>
      </c>
      <c r="C149" s="25"/>
      <c r="D149" s="25"/>
      <c r="E149" s="25"/>
      <c r="F149" s="25"/>
      <c r="G149" s="25"/>
      <c r="H149" s="25"/>
      <c r="I149" s="25"/>
      <c r="J149" s="25"/>
      <c r="K149" s="25"/>
      <c r="L149" s="25"/>
      <c r="M149" s="25"/>
      <c r="N149" s="25"/>
      <c r="O149" s="25"/>
      <c r="P149" s="25"/>
      <c r="Q149" s="25"/>
      <c r="R149" s="25"/>
      <c r="S149" s="25"/>
      <c r="T149" s="25"/>
      <c r="U149" s="25"/>
      <c r="V149" s="53">
        <f>SUM(V141:V148)</f>
        <v>28504</v>
      </c>
      <c r="W149" s="25"/>
      <c r="X149" s="5"/>
    </row>
    <row r="150" spans="1:25" ht="15.6" x14ac:dyDescent="0.3">
      <c r="A150" s="24"/>
      <c r="B150" s="25"/>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138" t="s">
        <v>269</v>
      </c>
      <c r="C151" s="25"/>
      <c r="D151" s="25"/>
      <c r="E151" s="25"/>
      <c r="F151" s="25"/>
      <c r="G151" s="25"/>
      <c r="H151" s="25"/>
      <c r="I151" s="25"/>
      <c r="J151" s="25"/>
      <c r="K151" s="25"/>
      <c r="L151" s="25"/>
      <c r="M151" s="25"/>
      <c r="N151" s="25"/>
      <c r="O151" s="25"/>
      <c r="P151" s="25"/>
      <c r="Q151" s="25"/>
      <c r="R151" s="25"/>
      <c r="S151" s="25"/>
      <c r="T151" s="25"/>
      <c r="U151" s="25"/>
      <c r="V151" s="53"/>
      <c r="W151" s="25"/>
      <c r="X151" s="5"/>
    </row>
    <row r="152" spans="1:25" ht="15.6" x14ac:dyDescent="0.3">
      <c r="A152" s="24"/>
      <c r="B152" s="25" t="s">
        <v>160</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178</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t="s">
        <v>270</v>
      </c>
      <c r="C154" s="25"/>
      <c r="D154" s="25"/>
      <c r="E154" s="25"/>
      <c r="F154" s="25"/>
      <c r="G154" s="25"/>
      <c r="H154" s="25"/>
      <c r="I154" s="25"/>
      <c r="J154" s="25"/>
      <c r="K154" s="25"/>
      <c r="L154" s="25"/>
      <c r="M154" s="25"/>
      <c r="N154" s="25"/>
      <c r="O154" s="25"/>
      <c r="P154" s="25"/>
      <c r="Q154" s="25"/>
      <c r="R154" s="25"/>
      <c r="S154" s="25"/>
      <c r="T154" s="25"/>
      <c r="U154" s="25"/>
      <c r="V154" s="53">
        <v>0</v>
      </c>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53"/>
      <c r="W155" s="25"/>
      <c r="X155" s="5"/>
    </row>
    <row r="156" spans="1:25" ht="15.6" x14ac:dyDescent="0.3">
      <c r="A156" s="24"/>
      <c r="B156" s="25"/>
      <c r="C156" s="25"/>
      <c r="D156" s="25"/>
      <c r="E156" s="25"/>
      <c r="F156" s="25"/>
      <c r="G156" s="25"/>
      <c r="H156" s="25"/>
      <c r="I156" s="25"/>
      <c r="J156" s="25"/>
      <c r="K156" s="25"/>
      <c r="L156" s="25"/>
      <c r="M156" s="25"/>
      <c r="N156" s="25"/>
      <c r="O156" s="25"/>
      <c r="P156" s="25"/>
      <c r="Q156" s="25"/>
      <c r="R156" s="25"/>
      <c r="S156" s="25"/>
      <c r="T156" s="25"/>
      <c r="U156" s="25"/>
      <c r="V156" s="61"/>
      <c r="W156" s="25"/>
      <c r="X156" s="5"/>
    </row>
    <row r="157" spans="1:25" ht="15.6" x14ac:dyDescent="0.3">
      <c r="A157" s="6"/>
      <c r="B157" s="119" t="s">
        <v>24</v>
      </c>
      <c r="C157" s="8"/>
      <c r="D157" s="8"/>
      <c r="E157" s="8"/>
      <c r="F157" s="8"/>
      <c r="G157" s="8"/>
      <c r="H157" s="8"/>
      <c r="I157" s="8"/>
      <c r="J157" s="8"/>
      <c r="K157" s="8"/>
      <c r="L157" s="8"/>
      <c r="M157" s="8"/>
      <c r="N157" s="8"/>
      <c r="O157" s="8"/>
      <c r="P157" s="8"/>
      <c r="Q157" s="8"/>
      <c r="R157" s="8"/>
      <c r="S157" s="8"/>
      <c r="T157" s="8"/>
      <c r="U157" s="8"/>
      <c r="V157" s="52"/>
      <c r="W157" s="8"/>
      <c r="X157" s="5"/>
    </row>
    <row r="158" spans="1:25" ht="15.6" x14ac:dyDescent="0.3">
      <c r="A158" s="24"/>
      <c r="B158" s="25" t="s">
        <v>48</v>
      </c>
      <c r="C158" s="25"/>
      <c r="D158" s="25"/>
      <c r="E158" s="25"/>
      <c r="F158" s="25"/>
      <c r="G158" s="25"/>
      <c r="H158" s="25"/>
      <c r="I158" s="25"/>
      <c r="J158" s="25"/>
      <c r="K158" s="25"/>
      <c r="L158" s="25"/>
      <c r="M158" s="25"/>
      <c r="N158" s="25"/>
      <c r="O158" s="25"/>
      <c r="P158" s="25"/>
      <c r="Q158" s="25"/>
      <c r="R158" s="25"/>
      <c r="S158" s="25"/>
      <c r="T158" s="25"/>
      <c r="U158" s="25"/>
      <c r="V158" s="59" t="s">
        <v>123</v>
      </c>
      <c r="W158" s="25"/>
      <c r="X158" s="5"/>
    </row>
    <row r="159" spans="1:25" ht="15.6" x14ac:dyDescent="0.3">
      <c r="A159" s="24"/>
      <c r="B159" s="25" t="s">
        <v>49</v>
      </c>
      <c r="C159" s="163"/>
      <c r="D159" s="163"/>
      <c r="E159" s="163"/>
      <c r="F159" s="163"/>
      <c r="G159" s="163"/>
      <c r="H159" s="163"/>
      <c r="I159" s="163"/>
      <c r="J159" s="163"/>
      <c r="K159" s="163"/>
      <c r="L159" s="163"/>
      <c r="M159" s="163"/>
      <c r="N159" s="163"/>
      <c r="O159" s="163"/>
      <c r="P159" s="163"/>
      <c r="Q159" s="163"/>
      <c r="R159" s="163"/>
      <c r="S159" s="163"/>
      <c r="T159" s="163"/>
      <c r="U159" s="163"/>
      <c r="V159" s="59" t="s">
        <v>123</v>
      </c>
      <c r="W159" s="25"/>
      <c r="X159" s="5"/>
    </row>
    <row r="160" spans="1:25" ht="15.6" x14ac:dyDescent="0.3">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t="s">
        <v>51</v>
      </c>
      <c r="C161" s="25"/>
      <c r="D161" s="25"/>
      <c r="E161" s="25"/>
      <c r="F161" s="25"/>
      <c r="G161" s="25"/>
      <c r="H161" s="25"/>
      <c r="I161" s="25"/>
      <c r="J161" s="25"/>
      <c r="K161" s="25"/>
      <c r="L161" s="25"/>
      <c r="M161" s="25"/>
      <c r="N161" s="25"/>
      <c r="O161" s="25"/>
      <c r="P161" s="25"/>
      <c r="Q161" s="25"/>
      <c r="R161" s="25"/>
      <c r="S161" s="25"/>
      <c r="T161" s="25"/>
      <c r="U161" s="25"/>
      <c r="V161" s="59" t="s">
        <v>123</v>
      </c>
      <c r="W161" s="25"/>
      <c r="X161" s="5"/>
    </row>
    <row r="162" spans="1:24" ht="15.6" x14ac:dyDescent="0.3">
      <c r="A162" s="24"/>
      <c r="B162" s="25"/>
      <c r="C162" s="25"/>
      <c r="D162" s="25"/>
      <c r="E162" s="25"/>
      <c r="F162" s="25"/>
      <c r="G162" s="25"/>
      <c r="H162" s="25"/>
      <c r="I162" s="25"/>
      <c r="J162" s="25"/>
      <c r="K162" s="25"/>
      <c r="L162" s="25"/>
      <c r="M162" s="25"/>
      <c r="N162" s="25"/>
      <c r="O162" s="25"/>
      <c r="P162" s="25"/>
      <c r="Q162" s="25"/>
      <c r="R162" s="25"/>
      <c r="S162" s="25"/>
      <c r="T162" s="25"/>
      <c r="U162" s="25"/>
      <c r="V162" s="61"/>
      <c r="W162" s="25"/>
      <c r="X162" s="5"/>
    </row>
    <row r="163" spans="1:24" ht="15.6" x14ac:dyDescent="0.3">
      <c r="A163" s="6"/>
      <c r="B163" s="119" t="s">
        <v>52</v>
      </c>
      <c r="C163" s="8"/>
      <c r="D163" s="8"/>
      <c r="E163" s="8"/>
      <c r="F163" s="8"/>
      <c r="G163" s="8"/>
      <c r="H163" s="8"/>
      <c r="I163" s="8"/>
      <c r="J163" s="8"/>
      <c r="K163" s="8"/>
      <c r="L163" s="8"/>
      <c r="M163" s="8"/>
      <c r="N163" s="8"/>
      <c r="O163" s="8"/>
      <c r="P163" s="8"/>
      <c r="Q163" s="8"/>
      <c r="R163" s="8"/>
      <c r="S163" s="8"/>
      <c r="T163" s="8"/>
      <c r="U163" s="8"/>
      <c r="V163" s="63"/>
      <c r="W163" s="8"/>
      <c r="X163" s="5"/>
    </row>
    <row r="164" spans="1:24" ht="15.6" x14ac:dyDescent="0.3">
      <c r="A164" s="24"/>
      <c r="B164" s="25" t="s">
        <v>53</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4" ht="15.6" x14ac:dyDescent="0.3">
      <c r="A165" s="24"/>
      <c r="B165" s="25" t="s">
        <v>54</v>
      </c>
      <c r="C165" s="25"/>
      <c r="D165" s="25"/>
      <c r="E165" s="25"/>
      <c r="F165" s="25"/>
      <c r="G165" s="25"/>
      <c r="H165" s="25"/>
      <c r="I165" s="25"/>
      <c r="J165" s="25"/>
      <c r="K165" s="25"/>
      <c r="L165" s="25"/>
      <c r="M165" s="25"/>
      <c r="N165" s="25"/>
      <c r="O165" s="25"/>
      <c r="P165" s="25"/>
      <c r="Q165" s="25"/>
      <c r="R165" s="25"/>
      <c r="S165" s="25"/>
      <c r="T165" s="25"/>
      <c r="U165" s="25"/>
      <c r="V165" s="53">
        <f>-V114</f>
        <v>52</v>
      </c>
      <c r="W165" s="25"/>
      <c r="X165" s="5"/>
    </row>
    <row r="166" spans="1:24" ht="15.6" x14ac:dyDescent="0.3">
      <c r="A166" s="24"/>
      <c r="B166" s="25" t="s">
        <v>55</v>
      </c>
      <c r="C166" s="25"/>
      <c r="D166" s="25"/>
      <c r="E166" s="25"/>
      <c r="F166" s="25"/>
      <c r="G166" s="25"/>
      <c r="H166" s="25"/>
      <c r="I166" s="25"/>
      <c r="J166" s="25"/>
      <c r="K166" s="25"/>
      <c r="L166" s="25"/>
      <c r="M166" s="25"/>
      <c r="N166" s="25"/>
      <c r="O166" s="25"/>
      <c r="P166" s="25"/>
      <c r="Q166" s="25"/>
      <c r="R166" s="25"/>
      <c r="S166" s="25"/>
      <c r="T166" s="25"/>
      <c r="U166" s="25"/>
      <c r="V166" s="53">
        <f>V165+V164</f>
        <v>52</v>
      </c>
      <c r="W166" s="25"/>
      <c r="X166" s="5"/>
    </row>
    <row r="167" spans="1:24" ht="15.6" x14ac:dyDescent="0.3">
      <c r="A167" s="24"/>
      <c r="B167" s="25" t="s">
        <v>310</v>
      </c>
      <c r="C167" s="25"/>
      <c r="D167" s="25"/>
      <c r="E167" s="25"/>
      <c r="F167" s="25"/>
      <c r="G167" s="25"/>
      <c r="H167" s="25"/>
      <c r="I167" s="25"/>
      <c r="J167" s="25"/>
      <c r="K167" s="25"/>
      <c r="L167" s="25"/>
      <c r="M167" s="25"/>
      <c r="N167" s="25"/>
      <c r="O167" s="25"/>
      <c r="P167" s="25"/>
      <c r="Q167" s="25"/>
      <c r="R167" s="25"/>
      <c r="S167" s="25"/>
      <c r="T167" s="25"/>
      <c r="U167" s="25"/>
      <c r="V167" s="53">
        <f>V114</f>
        <v>-52</v>
      </c>
      <c r="W167" s="25"/>
      <c r="X167" s="5"/>
    </row>
    <row r="168" spans="1:24" ht="15.6" x14ac:dyDescent="0.3">
      <c r="A168" s="24"/>
      <c r="B168" s="25" t="s">
        <v>56</v>
      </c>
      <c r="C168" s="25"/>
      <c r="D168" s="25"/>
      <c r="E168" s="25"/>
      <c r="F168" s="25"/>
      <c r="G168" s="25"/>
      <c r="H168" s="25"/>
      <c r="I168" s="25"/>
      <c r="J168" s="25"/>
      <c r="K168" s="25"/>
      <c r="L168" s="25"/>
      <c r="M168" s="25"/>
      <c r="N168" s="25"/>
      <c r="O168" s="25"/>
      <c r="P168" s="25"/>
      <c r="Q168" s="25"/>
      <c r="R168" s="25"/>
      <c r="S168" s="25"/>
      <c r="T168" s="25"/>
      <c r="U168" s="25"/>
      <c r="V168" s="53">
        <f>V166+V167</f>
        <v>0</v>
      </c>
      <c r="W168" s="25"/>
      <c r="X168" s="5"/>
    </row>
    <row r="169" spans="1:24" ht="16.2" thickBot="1" x14ac:dyDescent="0.35">
      <c r="A169" s="24"/>
      <c r="B169" s="25"/>
      <c r="C169" s="25"/>
      <c r="D169" s="25"/>
      <c r="E169" s="25"/>
      <c r="F169" s="25"/>
      <c r="G169" s="25"/>
      <c r="H169" s="25"/>
      <c r="I169" s="25"/>
      <c r="J169" s="25"/>
      <c r="K169" s="25"/>
      <c r="L169" s="25"/>
      <c r="M169" s="25"/>
      <c r="N169" s="25"/>
      <c r="O169" s="25"/>
      <c r="P169" s="25"/>
      <c r="Q169" s="25"/>
      <c r="R169" s="25"/>
      <c r="S169" s="25"/>
      <c r="T169" s="25"/>
      <c r="U169" s="25"/>
      <c r="V169" s="61"/>
      <c r="W169" s="25"/>
      <c r="X169" s="5"/>
    </row>
    <row r="170" spans="1:24" ht="15.6" x14ac:dyDescent="0.3">
      <c r="A170" s="2"/>
      <c r="B170" s="4"/>
      <c r="C170" s="4"/>
      <c r="D170" s="4"/>
      <c r="E170" s="4"/>
      <c r="F170" s="4"/>
      <c r="G170" s="4"/>
      <c r="H170" s="4"/>
      <c r="I170" s="4"/>
      <c r="J170" s="4"/>
      <c r="K170" s="4"/>
      <c r="L170" s="4"/>
      <c r="M170" s="4"/>
      <c r="N170" s="4"/>
      <c r="O170" s="4"/>
      <c r="P170" s="4"/>
      <c r="Q170" s="4"/>
      <c r="R170" s="4"/>
      <c r="S170" s="4"/>
      <c r="T170" s="4"/>
      <c r="U170" s="4"/>
      <c r="V170" s="50"/>
      <c r="W170" s="4"/>
      <c r="X170" s="5"/>
    </row>
    <row r="171" spans="1:24" ht="15.6" x14ac:dyDescent="0.3">
      <c r="A171" s="6"/>
      <c r="B171" s="119" t="s">
        <v>57</v>
      </c>
      <c r="C171" s="8"/>
      <c r="D171" s="8"/>
      <c r="E171" s="8"/>
      <c r="F171" s="8"/>
      <c r="G171" s="8"/>
      <c r="H171" s="8"/>
      <c r="I171" s="8"/>
      <c r="J171" s="8"/>
      <c r="K171" s="8"/>
      <c r="L171" s="8"/>
      <c r="M171" s="8"/>
      <c r="N171" s="8"/>
      <c r="O171" s="8"/>
      <c r="P171" s="8"/>
      <c r="Q171" s="8"/>
      <c r="R171" s="8"/>
      <c r="S171" s="8"/>
      <c r="T171" s="8"/>
      <c r="U171" s="8"/>
      <c r="V171" s="52"/>
      <c r="W171" s="8"/>
      <c r="X171" s="5"/>
    </row>
    <row r="172" spans="1:24" ht="15.6" x14ac:dyDescent="0.3">
      <c r="A172" s="6"/>
      <c r="B172" s="21"/>
      <c r="C172" s="8"/>
      <c r="D172" s="8"/>
      <c r="E172" s="8"/>
      <c r="F172" s="8"/>
      <c r="G172" s="8"/>
      <c r="H172" s="8"/>
      <c r="I172" s="8"/>
      <c r="J172" s="8"/>
      <c r="K172" s="8"/>
      <c r="L172" s="8"/>
      <c r="M172" s="8"/>
      <c r="N172" s="8"/>
      <c r="O172" s="8"/>
      <c r="P172" s="8"/>
      <c r="Q172" s="8"/>
      <c r="R172" s="8"/>
      <c r="S172" s="8"/>
      <c r="T172" s="8"/>
      <c r="U172" s="8"/>
      <c r="V172" s="52"/>
      <c r="W172" s="8"/>
      <c r="X172" s="5"/>
    </row>
    <row r="173" spans="1:24" ht="15.6" x14ac:dyDescent="0.3">
      <c r="A173" s="24"/>
      <c r="B173" s="25" t="s">
        <v>58</v>
      </c>
      <c r="C173" s="25"/>
      <c r="D173" s="25"/>
      <c r="E173" s="25"/>
      <c r="F173" s="25"/>
      <c r="G173" s="25"/>
      <c r="H173" s="25"/>
      <c r="I173" s="25"/>
      <c r="J173" s="25"/>
      <c r="K173" s="25"/>
      <c r="L173" s="25"/>
      <c r="M173" s="25"/>
      <c r="N173" s="25"/>
      <c r="O173" s="25"/>
      <c r="P173" s="25"/>
      <c r="Q173" s="25"/>
      <c r="R173" s="25"/>
      <c r="S173" s="25"/>
      <c r="T173" s="25"/>
      <c r="U173" s="25"/>
      <c r="V173" s="53">
        <f>V72</f>
        <v>1078766</v>
      </c>
      <c r="W173" s="25"/>
      <c r="X173" s="5"/>
    </row>
    <row r="174" spans="1:24" ht="15.6" x14ac:dyDescent="0.3">
      <c r="A174" s="24"/>
      <c r="B174" s="25" t="s">
        <v>59</v>
      </c>
      <c r="C174" s="25"/>
      <c r="D174" s="25"/>
      <c r="E174" s="25"/>
      <c r="F174" s="25"/>
      <c r="G174" s="25"/>
      <c r="H174" s="25"/>
      <c r="I174" s="25"/>
      <c r="J174" s="25"/>
      <c r="K174" s="25"/>
      <c r="L174" s="25"/>
      <c r="M174" s="25"/>
      <c r="N174" s="25"/>
      <c r="O174" s="25"/>
      <c r="P174" s="25"/>
      <c r="Q174" s="25"/>
      <c r="R174" s="25"/>
      <c r="S174" s="25"/>
      <c r="T174" s="25"/>
      <c r="U174" s="25"/>
      <c r="V174" s="53">
        <f>V85</f>
        <v>1078766</v>
      </c>
      <c r="W174" s="25"/>
      <c r="X174" s="5"/>
    </row>
    <row r="175" spans="1:24" ht="16.2" thickBot="1" x14ac:dyDescent="0.35">
      <c r="A175" s="24"/>
      <c r="B175" s="25"/>
      <c r="C175" s="25"/>
      <c r="D175" s="25"/>
      <c r="E175" s="25"/>
      <c r="F175" s="25"/>
      <c r="G175" s="25"/>
      <c r="H175" s="25"/>
      <c r="I175" s="25"/>
      <c r="J175" s="25"/>
      <c r="K175" s="25"/>
      <c r="L175" s="25"/>
      <c r="M175" s="25"/>
      <c r="N175" s="25"/>
      <c r="O175" s="25"/>
      <c r="P175" s="25"/>
      <c r="Q175" s="25"/>
      <c r="R175" s="25"/>
      <c r="S175" s="25"/>
      <c r="T175" s="25"/>
      <c r="U175" s="25"/>
      <c r="V175" s="61"/>
      <c r="W175" s="25"/>
      <c r="X175" s="5"/>
    </row>
    <row r="176" spans="1:24" ht="15.6" x14ac:dyDescent="0.3">
      <c r="A176" s="2"/>
      <c r="B176" s="4"/>
      <c r="C176" s="4"/>
      <c r="D176" s="4"/>
      <c r="E176" s="4"/>
      <c r="F176" s="4"/>
      <c r="G176" s="4"/>
      <c r="H176" s="4"/>
      <c r="I176" s="4"/>
      <c r="J176" s="4"/>
      <c r="K176" s="4"/>
      <c r="L176" s="4"/>
      <c r="M176" s="4"/>
      <c r="N176" s="4"/>
      <c r="O176" s="4"/>
      <c r="P176" s="4"/>
      <c r="Q176" s="4"/>
      <c r="R176" s="4"/>
      <c r="S176" s="4"/>
      <c r="T176" s="4"/>
      <c r="U176" s="4"/>
      <c r="V176" s="50"/>
      <c r="W176" s="4"/>
      <c r="X176" s="5"/>
    </row>
    <row r="177" spans="1:24" ht="15.6" x14ac:dyDescent="0.3">
      <c r="A177" s="6"/>
      <c r="B177" s="119" t="s">
        <v>60</v>
      </c>
      <c r="C177" s="117"/>
      <c r="D177" s="117"/>
      <c r="E177" s="117"/>
      <c r="F177" s="117"/>
      <c r="G177" s="117"/>
      <c r="H177" s="120"/>
      <c r="I177" s="120"/>
      <c r="J177" s="120"/>
      <c r="K177" s="120"/>
      <c r="L177" s="120"/>
      <c r="M177" s="120"/>
      <c r="N177" s="120"/>
      <c r="O177" s="120"/>
      <c r="P177" s="120"/>
      <c r="Q177" s="120"/>
      <c r="R177" s="120"/>
      <c r="S177" s="120" t="s">
        <v>103</v>
      </c>
      <c r="T177" s="120" t="s">
        <v>182</v>
      </c>
      <c r="U177" s="111"/>
      <c r="V177" s="121" t="s">
        <v>119</v>
      </c>
      <c r="W177" s="10"/>
      <c r="X177" s="5"/>
    </row>
    <row r="178" spans="1:24" ht="15.6" x14ac:dyDescent="0.3">
      <c r="A178" s="24"/>
      <c r="B178" s="25" t="s">
        <v>61</v>
      </c>
      <c r="C178" s="25"/>
      <c r="D178" s="25"/>
      <c r="E178" s="25"/>
      <c r="F178" s="25"/>
      <c r="G178" s="25"/>
      <c r="H178" s="25"/>
      <c r="I178" s="25"/>
      <c r="J178" s="25"/>
      <c r="K178" s="25"/>
      <c r="L178" s="25"/>
      <c r="M178" s="25"/>
      <c r="N178" s="25"/>
      <c r="O178" s="25"/>
      <c r="P178" s="25"/>
      <c r="Q178" s="25"/>
      <c r="R178" s="25"/>
      <c r="S178" s="53">
        <f>+V34*0.16</f>
        <v>240032.80000000002</v>
      </c>
      <c r="T178" s="40"/>
      <c r="U178" s="25"/>
      <c r="V178" s="53"/>
      <c r="W178" s="25"/>
      <c r="X178" s="5"/>
    </row>
    <row r="179" spans="1:24" ht="15.6" x14ac:dyDescent="0.3">
      <c r="A179" s="24"/>
      <c r="B179" s="25" t="s">
        <v>62</v>
      </c>
      <c r="C179" s="25"/>
      <c r="D179" s="25"/>
      <c r="E179" s="25"/>
      <c r="F179" s="25"/>
      <c r="G179" s="25"/>
      <c r="H179" s="25"/>
      <c r="I179" s="25"/>
      <c r="J179" s="25"/>
      <c r="K179" s="25"/>
      <c r="L179" s="25"/>
      <c r="M179" s="25"/>
      <c r="N179" s="25"/>
      <c r="O179" s="25"/>
      <c r="P179" s="25"/>
      <c r="Q179" s="25"/>
      <c r="R179" s="25"/>
      <c r="S179" s="53">
        <f>+'Oct 08'!S181</f>
        <v>42280</v>
      </c>
      <c r="T179" s="53">
        <f>+'Oct 08'!T181</f>
        <v>5903</v>
      </c>
      <c r="U179" s="25"/>
      <c r="V179" s="53">
        <f>S179+T179</f>
        <v>48183</v>
      </c>
      <c r="W179" s="25"/>
      <c r="X179" s="5"/>
    </row>
    <row r="180" spans="1:24" ht="15.6" x14ac:dyDescent="0.3">
      <c r="A180" s="24"/>
      <c r="B180" s="25" t="s">
        <v>63</v>
      </c>
      <c r="C180" s="25"/>
      <c r="D180" s="25"/>
      <c r="E180" s="25"/>
      <c r="F180" s="25"/>
      <c r="G180" s="25"/>
      <c r="H180" s="25"/>
      <c r="I180" s="25"/>
      <c r="J180" s="25"/>
      <c r="K180" s="25"/>
      <c r="L180" s="25"/>
      <c r="M180" s="25"/>
      <c r="N180" s="25"/>
      <c r="O180" s="25"/>
      <c r="P180" s="25"/>
      <c r="Q180" s="25"/>
      <c r="R180" s="25"/>
      <c r="S180" s="34">
        <f>299+20</f>
        <v>319</v>
      </c>
      <c r="T180" s="34">
        <v>187</v>
      </c>
      <c r="U180" s="25"/>
      <c r="V180" s="53">
        <f>S180+T180</f>
        <v>506</v>
      </c>
      <c r="W180" s="25"/>
      <c r="X180" s="5"/>
    </row>
    <row r="181" spans="1:24" ht="15.6" x14ac:dyDescent="0.3">
      <c r="A181" s="24"/>
      <c r="B181" s="25" t="s">
        <v>64</v>
      </c>
      <c r="C181" s="25"/>
      <c r="D181" s="25"/>
      <c r="E181" s="25"/>
      <c r="F181" s="25"/>
      <c r="G181" s="25"/>
      <c r="H181" s="25"/>
      <c r="I181" s="25"/>
      <c r="J181" s="25"/>
      <c r="K181" s="25"/>
      <c r="L181" s="25"/>
      <c r="M181" s="25"/>
      <c r="N181" s="25"/>
      <c r="O181" s="25"/>
      <c r="P181" s="25"/>
      <c r="Q181" s="25"/>
      <c r="R181" s="25"/>
      <c r="S181" s="53">
        <f>S179+S180</f>
        <v>42599</v>
      </c>
      <c r="T181" s="53">
        <f>T180+T179</f>
        <v>6090</v>
      </c>
      <c r="U181" s="25"/>
      <c r="V181" s="53">
        <f>S181+T181</f>
        <v>48689</v>
      </c>
      <c r="W181" s="25"/>
      <c r="X181" s="5"/>
    </row>
    <row r="182" spans="1:24" ht="15.6" x14ac:dyDescent="0.3">
      <c r="A182" s="24"/>
      <c r="B182" s="25" t="s">
        <v>65</v>
      </c>
      <c r="C182" s="25"/>
      <c r="D182" s="25"/>
      <c r="E182" s="25"/>
      <c r="F182" s="25"/>
      <c r="G182" s="25"/>
      <c r="H182" s="25"/>
      <c r="I182" s="25"/>
      <c r="J182" s="25"/>
      <c r="K182" s="25"/>
      <c r="L182" s="25"/>
      <c r="M182" s="25"/>
      <c r="N182" s="25"/>
      <c r="O182" s="25"/>
      <c r="P182" s="25"/>
      <c r="Q182" s="25"/>
      <c r="R182" s="25"/>
      <c r="S182" s="53">
        <f>S178-S181-T181</f>
        <v>191343.80000000002</v>
      </c>
      <c r="T182" s="40"/>
      <c r="U182" s="25"/>
      <c r="V182" s="53"/>
      <c r="W182" s="25"/>
      <c r="X182" s="5"/>
    </row>
    <row r="183" spans="1:24" ht="16.2" thickBot="1" x14ac:dyDescent="0.35">
      <c r="A183" s="24"/>
      <c r="B183" s="25"/>
      <c r="C183" s="25"/>
      <c r="D183" s="25"/>
      <c r="E183" s="25"/>
      <c r="F183" s="25"/>
      <c r="G183" s="25"/>
      <c r="H183" s="25"/>
      <c r="I183" s="25"/>
      <c r="J183" s="25"/>
      <c r="K183" s="25"/>
      <c r="L183" s="25"/>
      <c r="M183" s="25"/>
      <c r="N183" s="25"/>
      <c r="O183" s="25"/>
      <c r="P183" s="25"/>
      <c r="Q183" s="25"/>
      <c r="R183" s="25"/>
      <c r="S183" s="25"/>
      <c r="T183" s="25"/>
      <c r="U183" s="25"/>
      <c r="V183" s="61"/>
      <c r="W183" s="25"/>
      <c r="X183" s="5"/>
    </row>
    <row r="184" spans="1:24" ht="15.6" x14ac:dyDescent="0.3">
      <c r="A184" s="2"/>
      <c r="B184" s="4"/>
      <c r="C184" s="4"/>
      <c r="D184" s="4"/>
      <c r="E184" s="4"/>
      <c r="F184" s="4"/>
      <c r="G184" s="4"/>
      <c r="H184" s="4"/>
      <c r="I184" s="4"/>
      <c r="J184" s="4"/>
      <c r="K184" s="4"/>
      <c r="L184" s="4"/>
      <c r="M184" s="4"/>
      <c r="N184" s="4"/>
      <c r="O184" s="4"/>
      <c r="P184" s="4"/>
      <c r="Q184" s="4"/>
      <c r="R184" s="4"/>
      <c r="S184" s="4"/>
      <c r="T184" s="4"/>
      <c r="U184" s="4"/>
      <c r="V184" s="50"/>
      <c r="W184" s="4"/>
      <c r="X184" s="5"/>
    </row>
    <row r="185" spans="1:24" ht="15.6" x14ac:dyDescent="0.3">
      <c r="A185" s="6"/>
      <c r="B185" s="119" t="s">
        <v>66</v>
      </c>
      <c r="C185" s="8"/>
      <c r="D185" s="8"/>
      <c r="E185" s="8"/>
      <c r="F185" s="8"/>
      <c r="G185" s="8"/>
      <c r="H185" s="8"/>
      <c r="I185" s="8"/>
      <c r="J185" s="8"/>
      <c r="K185" s="8"/>
      <c r="L185" s="8"/>
      <c r="M185" s="8"/>
      <c r="N185" s="8"/>
      <c r="O185" s="8"/>
      <c r="P185" s="8"/>
      <c r="Q185" s="8"/>
      <c r="R185" s="8"/>
      <c r="S185" s="8"/>
      <c r="T185" s="8"/>
      <c r="U185" s="8"/>
      <c r="V185" s="65"/>
      <c r="W185" s="8"/>
      <c r="X185" s="5"/>
    </row>
    <row r="186" spans="1:24" ht="15.6" x14ac:dyDescent="0.3">
      <c r="A186" s="24"/>
      <c r="B186" s="25" t="s">
        <v>67</v>
      </c>
      <c r="C186" s="25"/>
      <c r="D186" s="25"/>
      <c r="E186" s="25"/>
      <c r="F186" s="25"/>
      <c r="G186" s="25"/>
      <c r="H186" s="25"/>
      <c r="I186" s="25"/>
      <c r="J186" s="25"/>
      <c r="K186" s="25"/>
      <c r="L186" s="25"/>
      <c r="M186" s="25"/>
      <c r="N186" s="25"/>
      <c r="O186" s="25"/>
      <c r="P186" s="25"/>
      <c r="Q186" s="25"/>
      <c r="R186" s="25"/>
      <c r="S186" s="25"/>
      <c r="T186" s="25"/>
      <c r="U186" s="25"/>
      <c r="V186" s="59">
        <f>(V101+V103+V104+V105+V106)/-(V107+V108)</f>
        <v>1.3939079983423124</v>
      </c>
      <c r="W186" s="25" t="s">
        <v>120</v>
      </c>
      <c r="X186" s="5"/>
    </row>
    <row r="187" spans="1:24" ht="15.6" x14ac:dyDescent="0.3">
      <c r="A187" s="24"/>
      <c r="B187" s="25" t="s">
        <v>68</v>
      </c>
      <c r="C187" s="25"/>
      <c r="D187" s="25"/>
      <c r="E187" s="25"/>
      <c r="F187" s="25"/>
      <c r="G187" s="25"/>
      <c r="H187" s="25"/>
      <c r="I187" s="25"/>
      <c r="J187" s="25"/>
      <c r="K187" s="25"/>
      <c r="L187" s="25"/>
      <c r="M187" s="25"/>
      <c r="N187" s="25"/>
      <c r="O187" s="25"/>
      <c r="P187" s="25"/>
      <c r="Q187" s="25"/>
      <c r="R187" s="25"/>
      <c r="S187" s="25"/>
      <c r="T187" s="25"/>
      <c r="U187" s="25"/>
      <c r="V187" s="66">
        <v>1.4</v>
      </c>
      <c r="W187" s="25" t="s">
        <v>120</v>
      </c>
      <c r="X187" s="5"/>
    </row>
    <row r="188" spans="1:24" ht="15.6" x14ac:dyDescent="0.3">
      <c r="A188" s="24"/>
      <c r="B188" s="25" t="s">
        <v>69</v>
      </c>
      <c r="C188" s="25"/>
      <c r="D188" s="25"/>
      <c r="E188" s="25"/>
      <c r="F188" s="25"/>
      <c r="G188" s="25"/>
      <c r="H188" s="25"/>
      <c r="I188" s="25"/>
      <c r="J188" s="25"/>
      <c r="K188" s="25"/>
      <c r="L188" s="25"/>
      <c r="M188" s="25"/>
      <c r="N188" s="25"/>
      <c r="O188" s="25"/>
      <c r="P188" s="25"/>
      <c r="Q188" s="25"/>
      <c r="R188" s="25"/>
      <c r="S188" s="25"/>
      <c r="T188" s="25"/>
      <c r="U188" s="25"/>
      <c r="V188" s="59">
        <f>(V101+V103+V104+V105+V106+V107+V108)/-(V109+V110)</f>
        <v>3.0661290322580643</v>
      </c>
      <c r="W188" s="25" t="s">
        <v>120</v>
      </c>
      <c r="X188" s="5"/>
    </row>
    <row r="189" spans="1:24" ht="15.6" x14ac:dyDescent="0.3">
      <c r="A189" s="24"/>
      <c r="B189" s="25" t="s">
        <v>70</v>
      </c>
      <c r="C189" s="25"/>
      <c r="D189" s="25"/>
      <c r="E189" s="25"/>
      <c r="F189" s="25"/>
      <c r="G189" s="25"/>
      <c r="H189" s="25"/>
      <c r="I189" s="25"/>
      <c r="J189" s="25"/>
      <c r="K189" s="25"/>
      <c r="L189" s="25"/>
      <c r="M189" s="25"/>
      <c r="N189" s="25"/>
      <c r="O189" s="25"/>
      <c r="P189" s="25"/>
      <c r="Q189" s="25"/>
      <c r="R189" s="25"/>
      <c r="S189" s="25"/>
      <c r="T189" s="25"/>
      <c r="U189" s="25"/>
      <c r="V189" s="66">
        <v>4</v>
      </c>
      <c r="W189" s="25" t="s">
        <v>120</v>
      </c>
      <c r="X189" s="5"/>
    </row>
    <row r="190" spans="1:24" ht="15.6" x14ac:dyDescent="0.3">
      <c r="A190" s="24"/>
      <c r="B190" s="25" t="s">
        <v>204</v>
      </c>
      <c r="C190" s="25"/>
      <c r="D190" s="25"/>
      <c r="E190" s="25"/>
      <c r="F190" s="25"/>
      <c r="G190" s="25"/>
      <c r="H190" s="25"/>
      <c r="I190" s="25"/>
      <c r="J190" s="25"/>
      <c r="K190" s="25"/>
      <c r="L190" s="25"/>
      <c r="M190" s="25"/>
      <c r="N190" s="25"/>
      <c r="O190" s="25"/>
      <c r="P190" s="25"/>
      <c r="Q190" s="25"/>
      <c r="R190" s="25"/>
      <c r="S190" s="25"/>
      <c r="T190" s="25"/>
      <c r="U190" s="25"/>
      <c r="V190" s="59">
        <f>(V101+V103+V104+V105+V106+V107+V108+V109+V110)/-(V111+V112)</f>
        <v>2.4376784015223598</v>
      </c>
      <c r="W190" s="25" t="s">
        <v>120</v>
      </c>
      <c r="X190" s="5"/>
    </row>
    <row r="191" spans="1:24" ht="15.6" x14ac:dyDescent="0.3">
      <c r="A191" s="24"/>
      <c r="B191" s="25" t="s">
        <v>205</v>
      </c>
      <c r="C191" s="25"/>
      <c r="D191" s="25"/>
      <c r="E191" s="25"/>
      <c r="F191" s="25"/>
      <c r="G191" s="25"/>
      <c r="H191" s="25"/>
      <c r="I191" s="25"/>
      <c r="J191" s="25"/>
      <c r="K191" s="25"/>
      <c r="L191" s="25"/>
      <c r="M191" s="25"/>
      <c r="N191" s="25"/>
      <c r="O191" s="25"/>
      <c r="P191" s="25"/>
      <c r="Q191" s="25"/>
      <c r="R191" s="25"/>
      <c r="S191" s="25"/>
      <c r="T191" s="25"/>
      <c r="U191" s="25"/>
      <c r="V191" s="66">
        <v>3.59</v>
      </c>
      <c r="W191" s="25" t="s">
        <v>120</v>
      </c>
      <c r="X191" s="5"/>
    </row>
    <row r="192" spans="1:24"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25"/>
      <c r="W192" s="25"/>
      <c r="X192" s="5"/>
    </row>
    <row r="193" spans="1:24" ht="15.6" x14ac:dyDescent="0.3">
      <c r="A193" s="24"/>
      <c r="B193" s="25"/>
      <c r="C193" s="25"/>
      <c r="D193" s="25"/>
      <c r="E193" s="25"/>
      <c r="F193" s="25"/>
      <c r="G193" s="25"/>
      <c r="H193" s="25"/>
      <c r="I193" s="25"/>
      <c r="J193" s="25"/>
      <c r="K193" s="25"/>
      <c r="L193" s="25"/>
      <c r="M193" s="25"/>
      <c r="N193" s="25"/>
      <c r="O193" s="25"/>
      <c r="P193" s="25"/>
      <c r="Q193" s="25"/>
      <c r="R193" s="25"/>
      <c r="S193" s="25"/>
      <c r="T193" s="25"/>
      <c r="U193" s="25"/>
      <c r="V193" s="25"/>
      <c r="W193" s="25"/>
      <c r="X193" s="5"/>
    </row>
    <row r="194" spans="1:24" ht="15.6" x14ac:dyDescent="0.3">
      <c r="A194" s="6"/>
      <c r="B194" s="8"/>
      <c r="C194" s="8"/>
      <c r="D194" s="8"/>
      <c r="E194" s="8"/>
      <c r="F194" s="8"/>
      <c r="G194" s="8"/>
      <c r="H194" s="8"/>
      <c r="I194" s="8"/>
      <c r="J194" s="8"/>
      <c r="K194" s="8"/>
      <c r="L194" s="8"/>
      <c r="M194" s="8"/>
      <c r="N194" s="8"/>
      <c r="O194" s="8"/>
      <c r="P194" s="8"/>
      <c r="Q194" s="8"/>
      <c r="R194" s="8"/>
      <c r="S194" s="8"/>
      <c r="T194" s="8"/>
      <c r="U194" s="8"/>
      <c r="V194" s="8"/>
      <c r="W194" s="8"/>
      <c r="X194" s="5"/>
    </row>
    <row r="195" spans="1:24" ht="18" thickBot="1" x14ac:dyDescent="0.35">
      <c r="A195" s="101"/>
      <c r="B195" s="102" t="str">
        <f>B136</f>
        <v>PM12 INVESTOR REPORT QUARTER ENDING JANUARY 2009</v>
      </c>
      <c r="C195" s="165"/>
      <c r="D195" s="165"/>
      <c r="E195" s="165"/>
      <c r="F195" s="165"/>
      <c r="G195" s="165"/>
      <c r="H195" s="165"/>
      <c r="I195" s="165"/>
      <c r="J195" s="165"/>
      <c r="K195" s="165"/>
      <c r="L195" s="165"/>
      <c r="M195" s="165"/>
      <c r="N195" s="165"/>
      <c r="O195" s="165"/>
      <c r="P195" s="165"/>
      <c r="Q195" s="165"/>
      <c r="R195" s="165"/>
      <c r="S195" s="165"/>
      <c r="T195" s="165"/>
      <c r="U195" s="165"/>
      <c r="V195" s="165"/>
      <c r="W195" s="166"/>
      <c r="X195" s="5"/>
    </row>
    <row r="196" spans="1:24" ht="15.6" x14ac:dyDescent="0.3">
      <c r="A196" s="67"/>
      <c r="B196" s="60" t="s">
        <v>71</v>
      </c>
      <c r="C196" s="68"/>
      <c r="D196" s="68"/>
      <c r="E196" s="68"/>
      <c r="F196" s="68"/>
      <c r="G196" s="69"/>
      <c r="H196" s="69"/>
      <c r="I196" s="69"/>
      <c r="J196" s="69"/>
      <c r="K196" s="69"/>
      <c r="L196" s="69"/>
      <c r="M196" s="69"/>
      <c r="N196" s="69"/>
      <c r="O196" s="69"/>
      <c r="P196" s="69"/>
      <c r="Q196" s="69"/>
      <c r="R196" s="69"/>
      <c r="S196" s="69"/>
      <c r="T196" s="70">
        <v>39843</v>
      </c>
      <c r="U196" s="4"/>
      <c r="V196" s="4"/>
      <c r="W196" s="4"/>
      <c r="X196" s="5"/>
    </row>
    <row r="197" spans="1:24" ht="15.6" x14ac:dyDescent="0.3">
      <c r="A197" s="71"/>
      <c r="B197" s="72"/>
      <c r="C197" s="73"/>
      <c r="D197" s="73"/>
      <c r="E197" s="73"/>
      <c r="F197" s="73"/>
      <c r="G197" s="74"/>
      <c r="H197" s="74"/>
      <c r="I197" s="74"/>
      <c r="J197" s="74"/>
      <c r="K197" s="74"/>
      <c r="L197" s="74"/>
      <c r="M197" s="74"/>
      <c r="N197" s="74"/>
      <c r="O197" s="74"/>
      <c r="P197" s="74"/>
      <c r="Q197" s="74"/>
      <c r="R197" s="74"/>
      <c r="S197" s="74"/>
      <c r="T197" s="74"/>
      <c r="U197" s="8"/>
      <c r="V197" s="8"/>
      <c r="W197" s="8"/>
      <c r="X197" s="5"/>
    </row>
    <row r="198" spans="1:24" ht="15.6" x14ac:dyDescent="0.3">
      <c r="A198" s="75"/>
      <c r="B198" s="76" t="s">
        <v>72</v>
      </c>
      <c r="C198" s="77"/>
      <c r="D198" s="77"/>
      <c r="E198" s="77"/>
      <c r="F198" s="77"/>
      <c r="G198" s="64"/>
      <c r="H198" s="64"/>
      <c r="I198" s="64"/>
      <c r="J198" s="64"/>
      <c r="K198" s="64"/>
      <c r="L198" s="64"/>
      <c r="M198" s="64"/>
      <c r="N198" s="64"/>
      <c r="O198" s="64"/>
      <c r="P198" s="64"/>
      <c r="Q198" s="64"/>
      <c r="R198" s="64"/>
      <c r="S198" s="64"/>
      <c r="T198" s="78">
        <v>5.2060000000000002E-2</v>
      </c>
      <c r="U198" s="25"/>
      <c r="V198" s="25"/>
      <c r="W198" s="25"/>
      <c r="X198" s="5"/>
    </row>
    <row r="199" spans="1:24" ht="15.6" x14ac:dyDescent="0.3">
      <c r="A199" s="75"/>
      <c r="B199" s="76" t="s">
        <v>156</v>
      </c>
      <c r="C199" s="77"/>
      <c r="D199" s="77"/>
      <c r="E199" s="77"/>
      <c r="F199" s="77"/>
      <c r="G199" s="64"/>
      <c r="H199" s="64"/>
      <c r="I199" s="64"/>
      <c r="J199" s="64"/>
      <c r="K199" s="64"/>
      <c r="L199" s="64"/>
      <c r="M199" s="64"/>
      <c r="N199" s="64"/>
      <c r="O199" s="64"/>
      <c r="P199" s="64"/>
      <c r="Q199" s="64"/>
      <c r="R199" s="64"/>
      <c r="S199" s="64"/>
      <c r="T199" s="39">
        <f>'Oct 06'!T197</f>
        <v>4.8538814772447772E-2</v>
      </c>
      <c r="U199" s="25"/>
      <c r="V199" s="25"/>
      <c r="W199" s="25"/>
      <c r="X199" s="5"/>
    </row>
    <row r="200" spans="1:24" ht="15.6" x14ac:dyDescent="0.3">
      <c r="A200" s="75"/>
      <c r="B200" s="76" t="s">
        <v>73</v>
      </c>
      <c r="C200" s="77"/>
      <c r="D200" s="77"/>
      <c r="E200" s="77"/>
      <c r="F200" s="77"/>
      <c r="G200" s="64"/>
      <c r="H200" s="64"/>
      <c r="I200" s="64"/>
      <c r="J200" s="64"/>
      <c r="K200" s="64"/>
      <c r="L200" s="64"/>
      <c r="M200" s="64"/>
      <c r="N200" s="64"/>
      <c r="O200" s="64"/>
      <c r="P200" s="64"/>
      <c r="Q200" s="64"/>
      <c r="R200" s="64"/>
      <c r="S200" s="64"/>
      <c r="T200" s="78">
        <f>T198-T199</f>
        <v>3.5211852275522301E-3</v>
      </c>
      <c r="U200" s="25"/>
      <c r="V200" s="25"/>
      <c r="W200" s="25"/>
      <c r="X200" s="5"/>
    </row>
    <row r="201" spans="1:24" ht="15.6" x14ac:dyDescent="0.3">
      <c r="A201" s="75"/>
      <c r="B201" s="76" t="s">
        <v>74</v>
      </c>
      <c r="C201" s="77"/>
      <c r="D201" s="77"/>
      <c r="E201" s="77"/>
      <c r="F201" s="77"/>
      <c r="G201" s="64"/>
      <c r="H201" s="64"/>
      <c r="I201" s="64"/>
      <c r="J201" s="64"/>
      <c r="K201" s="64"/>
      <c r="L201" s="64"/>
      <c r="M201" s="64"/>
      <c r="N201" s="64"/>
      <c r="O201" s="64"/>
      <c r="P201" s="64"/>
      <c r="Q201" s="64"/>
      <c r="R201" s="64"/>
      <c r="S201" s="64"/>
      <c r="T201" s="78">
        <v>4.8439999999999997E-2</v>
      </c>
      <c r="U201" s="25"/>
      <c r="V201" s="25"/>
      <c r="W201" s="25"/>
      <c r="X201" s="5"/>
    </row>
    <row r="202" spans="1:24" ht="15.6" x14ac:dyDescent="0.3">
      <c r="A202" s="75"/>
      <c r="B202" s="76" t="s">
        <v>225</v>
      </c>
      <c r="C202" s="77"/>
      <c r="D202" s="77"/>
      <c r="E202" s="77"/>
      <c r="F202" s="77"/>
      <c r="G202" s="64"/>
      <c r="H202" s="64"/>
      <c r="I202" s="64"/>
      <c r="J202" s="64"/>
      <c r="K202" s="64"/>
      <c r="L202" s="64"/>
      <c r="M202" s="64"/>
      <c r="N202" s="64"/>
      <c r="O202" s="64"/>
      <c r="P202" s="64"/>
      <c r="Q202" s="64"/>
      <c r="R202" s="64"/>
      <c r="S202" s="64"/>
      <c r="T202" s="78">
        <f>V43</f>
        <v>4.3221884522910647E-2</v>
      </c>
      <c r="U202" s="25"/>
      <c r="V202" s="25"/>
      <c r="W202" s="25"/>
      <c r="X202" s="5"/>
    </row>
    <row r="203" spans="1:24" ht="15.6" x14ac:dyDescent="0.3">
      <c r="A203" s="75"/>
      <c r="B203" s="76" t="s">
        <v>75</v>
      </c>
      <c r="C203" s="77"/>
      <c r="D203" s="77"/>
      <c r="E203" s="77"/>
      <c r="F203" s="77"/>
      <c r="G203" s="64"/>
      <c r="H203" s="64"/>
      <c r="I203" s="64"/>
      <c r="J203" s="64"/>
      <c r="K203" s="64"/>
      <c r="L203" s="64"/>
      <c r="M203" s="64"/>
      <c r="N203" s="64"/>
      <c r="O203" s="64"/>
      <c r="P203" s="64"/>
      <c r="Q203" s="64"/>
      <c r="R203" s="64"/>
      <c r="S203" s="64"/>
      <c r="T203" s="78">
        <f>T201-T202</f>
        <v>5.2181154770893495E-3</v>
      </c>
      <c r="U203" s="25"/>
      <c r="V203" s="25"/>
      <c r="W203" s="25"/>
      <c r="X203" s="5"/>
    </row>
    <row r="204" spans="1:24" ht="15.6" x14ac:dyDescent="0.3">
      <c r="A204" s="75"/>
      <c r="B204" s="76" t="s">
        <v>271</v>
      </c>
      <c r="C204" s="77"/>
      <c r="D204" s="77"/>
      <c r="E204" s="77"/>
      <c r="F204" s="77"/>
      <c r="G204" s="64"/>
      <c r="H204" s="64"/>
      <c r="I204" s="64"/>
      <c r="J204" s="64"/>
      <c r="K204" s="64"/>
      <c r="L204" s="64"/>
      <c r="M204" s="64"/>
      <c r="N204" s="64"/>
      <c r="O204" s="64"/>
      <c r="P204" s="64"/>
      <c r="Q204" s="64"/>
      <c r="R204" s="64"/>
      <c r="S204" s="64"/>
      <c r="T204" s="78">
        <f>+V101/N72</f>
        <v>1.4251064291702129E-2</v>
      </c>
      <c r="U204" s="25"/>
      <c r="V204" s="25"/>
      <c r="W204" s="25"/>
      <c r="X204" s="5"/>
    </row>
    <row r="205" spans="1:24" ht="15.6" x14ac:dyDescent="0.3">
      <c r="A205" s="75"/>
      <c r="B205" s="76" t="s">
        <v>214</v>
      </c>
      <c r="C205" s="77"/>
      <c r="D205" s="77"/>
      <c r="E205" s="77"/>
      <c r="F205" s="77"/>
      <c r="G205" s="64"/>
      <c r="H205" s="64"/>
      <c r="I205" s="64"/>
      <c r="J205" s="64"/>
      <c r="K205" s="64"/>
      <c r="L205" s="64"/>
      <c r="M205" s="64"/>
      <c r="N205" s="64"/>
      <c r="O205" s="64"/>
      <c r="P205" s="64"/>
      <c r="Q205" s="64"/>
      <c r="R205" s="64"/>
      <c r="S205" s="64"/>
      <c r="T205" s="129">
        <v>50710</v>
      </c>
      <c r="U205" s="25"/>
      <c r="V205" s="25"/>
      <c r="W205" s="25"/>
      <c r="X205" s="5"/>
    </row>
    <row r="206" spans="1:24" ht="15.6" x14ac:dyDescent="0.3">
      <c r="A206" s="75"/>
      <c r="B206" s="76" t="s">
        <v>215</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216</v>
      </c>
      <c r="C207" s="77"/>
      <c r="D207" s="77"/>
      <c r="E207" s="77"/>
      <c r="F207" s="77"/>
      <c r="G207" s="64"/>
      <c r="H207" s="64"/>
      <c r="I207" s="64"/>
      <c r="J207" s="64"/>
      <c r="K207" s="64"/>
      <c r="L207" s="64"/>
      <c r="M207" s="64"/>
      <c r="N207" s="64"/>
      <c r="O207" s="64"/>
      <c r="P207" s="64"/>
      <c r="Q207" s="64"/>
      <c r="R207" s="64"/>
      <c r="S207" s="64"/>
      <c r="T207" s="129">
        <v>50710</v>
      </c>
      <c r="U207" s="25"/>
      <c r="V207" s="25"/>
      <c r="W207" s="25"/>
      <c r="X207" s="5"/>
    </row>
    <row r="208" spans="1:24" ht="15.6" x14ac:dyDescent="0.3">
      <c r="A208" s="75"/>
      <c r="B208" s="76" t="s">
        <v>76</v>
      </c>
      <c r="C208" s="77"/>
      <c r="D208" s="77"/>
      <c r="E208" s="77"/>
      <c r="F208" s="77"/>
      <c r="G208" s="64"/>
      <c r="H208" s="64"/>
      <c r="I208" s="64"/>
      <c r="J208" s="64"/>
      <c r="K208" s="64"/>
      <c r="L208" s="64"/>
      <c r="M208" s="64"/>
      <c r="N208" s="64"/>
      <c r="O208" s="64"/>
      <c r="P208" s="64"/>
      <c r="Q208" s="64"/>
      <c r="R208" s="64"/>
      <c r="S208" s="64"/>
      <c r="T208" s="133">
        <v>21.06</v>
      </c>
      <c r="U208" s="25" t="s">
        <v>115</v>
      </c>
      <c r="V208" s="25"/>
      <c r="W208" s="25"/>
      <c r="X208" s="5"/>
    </row>
    <row r="209" spans="1:24" ht="15.6" x14ac:dyDescent="0.3">
      <c r="A209" s="75"/>
      <c r="B209" s="76" t="s">
        <v>77</v>
      </c>
      <c r="C209" s="77"/>
      <c r="D209" s="77"/>
      <c r="E209" s="77"/>
      <c r="F209" s="77"/>
      <c r="G209" s="64"/>
      <c r="H209" s="64"/>
      <c r="I209" s="64"/>
      <c r="J209" s="64"/>
      <c r="K209" s="64"/>
      <c r="L209" s="64"/>
      <c r="M209" s="64"/>
      <c r="N209" s="64"/>
      <c r="O209" s="64"/>
      <c r="P209" s="64"/>
      <c r="Q209" s="64"/>
      <c r="R209" s="64"/>
      <c r="S209" s="64"/>
      <c r="T209" s="133">
        <v>18.63</v>
      </c>
      <c r="U209" s="25" t="s">
        <v>115</v>
      </c>
      <c r="V209" s="25"/>
      <c r="W209" s="25"/>
      <c r="X209" s="5"/>
    </row>
    <row r="210" spans="1:24" ht="15.6" x14ac:dyDescent="0.3">
      <c r="A210" s="75"/>
      <c r="B210" s="76" t="s">
        <v>78</v>
      </c>
      <c r="C210" s="77"/>
      <c r="D210" s="77"/>
      <c r="E210" s="77"/>
      <c r="F210" s="77"/>
      <c r="G210" s="64"/>
      <c r="H210" s="64"/>
      <c r="I210" s="64"/>
      <c r="J210" s="64"/>
      <c r="K210" s="64"/>
      <c r="L210" s="64"/>
      <c r="M210" s="64"/>
      <c r="N210" s="64"/>
      <c r="O210" s="64"/>
      <c r="P210" s="64"/>
      <c r="Q210" s="64"/>
      <c r="R210" s="64"/>
      <c r="S210" s="64"/>
      <c r="T210" s="78">
        <f>+P69/N69</f>
        <v>1.6467673536330954E-2</v>
      </c>
      <c r="U210" s="25"/>
      <c r="V210" s="25"/>
      <c r="W210" s="25"/>
      <c r="X210" s="5"/>
    </row>
    <row r="211" spans="1:24" ht="15.6" x14ac:dyDescent="0.3">
      <c r="A211" s="75"/>
      <c r="B211" s="76" t="s">
        <v>79</v>
      </c>
      <c r="C211" s="77"/>
      <c r="D211" s="77"/>
      <c r="E211" s="77"/>
      <c r="F211" s="77"/>
      <c r="G211" s="64"/>
      <c r="H211" s="64"/>
      <c r="I211" s="64"/>
      <c r="J211" s="64"/>
      <c r="K211" s="64"/>
      <c r="L211" s="64"/>
      <c r="M211" s="64"/>
      <c r="N211" s="64"/>
      <c r="O211" s="64"/>
      <c r="P211" s="64"/>
      <c r="Q211" s="64"/>
      <c r="R211" s="64"/>
      <c r="S211" s="64"/>
      <c r="T211" s="78">
        <v>0.13469999999999999</v>
      </c>
      <c r="U211" s="25"/>
      <c r="V211" s="25"/>
      <c r="W211" s="25"/>
      <c r="X211" s="5"/>
    </row>
    <row r="212" spans="1:24" ht="15.6" x14ac:dyDescent="0.3">
      <c r="A212" s="75"/>
      <c r="B212" s="76"/>
      <c r="C212" s="76"/>
      <c r="D212" s="76"/>
      <c r="E212" s="76"/>
      <c r="F212" s="76"/>
      <c r="G212" s="25"/>
      <c r="H212" s="25"/>
      <c r="I212" s="25"/>
      <c r="J212" s="25"/>
      <c r="K212" s="25"/>
      <c r="L212" s="25"/>
      <c r="M212" s="25"/>
      <c r="N212" s="25"/>
      <c r="O212" s="25"/>
      <c r="P212" s="25"/>
      <c r="Q212" s="25"/>
      <c r="R212" s="25"/>
      <c r="S212" s="25"/>
      <c r="T212" s="61"/>
      <c r="U212" s="25"/>
      <c r="V212" s="79"/>
      <c r="W212" s="25"/>
      <c r="X212" s="5"/>
    </row>
    <row r="213" spans="1:24" ht="15.6" x14ac:dyDescent="0.3">
      <c r="A213" s="80"/>
      <c r="B213" s="14" t="s">
        <v>80</v>
      </c>
      <c r="C213" s="81"/>
      <c r="D213" s="81"/>
      <c r="E213" s="81"/>
      <c r="F213" s="82"/>
      <c r="G213" s="81"/>
      <c r="H213" s="17"/>
      <c r="I213" s="17"/>
      <c r="J213" s="17"/>
      <c r="K213" s="17"/>
      <c r="L213" s="17"/>
      <c r="M213" s="17"/>
      <c r="N213" s="17"/>
      <c r="O213" s="17"/>
      <c r="P213" s="17"/>
      <c r="Q213" s="17"/>
      <c r="R213" s="17"/>
      <c r="S213" s="17" t="s">
        <v>104</v>
      </c>
      <c r="T213" s="83" t="s">
        <v>111</v>
      </c>
      <c r="U213" s="8"/>
      <c r="V213" s="8"/>
      <c r="W213" s="8"/>
      <c r="X213" s="5"/>
    </row>
    <row r="214" spans="1:24" ht="15.6" x14ac:dyDescent="0.3">
      <c r="A214" s="84"/>
      <c r="B214" s="76" t="s">
        <v>81</v>
      </c>
      <c r="C214" s="54"/>
      <c r="D214" s="54"/>
      <c r="E214" s="54"/>
      <c r="F214" s="25"/>
      <c r="G214" s="25"/>
      <c r="H214" s="30"/>
      <c r="I214" s="30"/>
      <c r="J214" s="30"/>
      <c r="K214" s="30"/>
      <c r="L214" s="30"/>
      <c r="M214" s="30"/>
      <c r="N214" s="30"/>
      <c r="O214" s="30"/>
      <c r="P214" s="30"/>
      <c r="Q214" s="30"/>
      <c r="R214" s="30"/>
      <c r="S214" s="30">
        <v>3</v>
      </c>
      <c r="T214" s="85">
        <v>531</v>
      </c>
      <c r="U214" s="25"/>
      <c r="V214" s="79"/>
      <c r="W214" s="86"/>
      <c r="X214" s="5"/>
    </row>
    <row r="215" spans="1:24" ht="15.6" x14ac:dyDescent="0.3">
      <c r="A215" s="84"/>
      <c r="B215" s="76" t="s">
        <v>150</v>
      </c>
      <c r="C215" s="54"/>
      <c r="D215" s="54"/>
      <c r="E215" s="54"/>
      <c r="F215" s="25"/>
      <c r="G215" s="25"/>
      <c r="H215" s="30"/>
      <c r="I215" s="30"/>
      <c r="J215" s="30"/>
      <c r="K215" s="30"/>
      <c r="L215" s="30"/>
      <c r="M215" s="30"/>
      <c r="N215" s="30"/>
      <c r="O215" s="30"/>
      <c r="P215" s="30"/>
      <c r="Q215" s="30"/>
      <c r="R215" s="30"/>
      <c r="S215" s="152">
        <f>+R255</f>
        <v>165</v>
      </c>
      <c r="T215" s="85">
        <f>+T255</f>
        <v>28775</v>
      </c>
      <c r="U215" s="25"/>
      <c r="V215" s="79"/>
      <c r="W215" s="86"/>
      <c r="X215" s="5"/>
    </row>
    <row r="216" spans="1:24" ht="15.6" x14ac:dyDescent="0.3">
      <c r="A216" s="84"/>
      <c r="B216" s="76" t="s">
        <v>82</v>
      </c>
      <c r="C216" s="54"/>
      <c r="D216" s="54"/>
      <c r="E216" s="54"/>
      <c r="F216" s="25"/>
      <c r="G216" s="25"/>
      <c r="H216" s="30"/>
      <c r="I216" s="30"/>
      <c r="J216" s="30"/>
      <c r="K216" s="30"/>
      <c r="L216" s="30"/>
      <c r="M216" s="30"/>
      <c r="N216" s="30"/>
      <c r="O216" s="30"/>
      <c r="P216" s="30"/>
      <c r="Q216" s="30"/>
      <c r="R216" s="30"/>
      <c r="S216" s="152">
        <f>+R267</f>
        <v>0</v>
      </c>
      <c r="T216" s="85">
        <f>+T267</f>
        <v>0</v>
      </c>
      <c r="U216" s="25"/>
      <c r="V216" s="79"/>
      <c r="W216" s="86"/>
      <c r="X216" s="5"/>
    </row>
    <row r="217" spans="1:24" ht="15.6" x14ac:dyDescent="0.3">
      <c r="A217" s="84"/>
      <c r="B217" s="122" t="s">
        <v>83</v>
      </c>
      <c r="C217" s="54"/>
      <c r="D217" s="54"/>
      <c r="E217" s="54"/>
      <c r="F217" s="25"/>
      <c r="G217" s="25"/>
      <c r="H217" s="25"/>
      <c r="I217" s="25"/>
      <c r="J217" s="25"/>
      <c r="K217" s="25"/>
      <c r="L217" s="25"/>
      <c r="M217" s="25"/>
      <c r="N217" s="25"/>
      <c r="O217" s="25"/>
      <c r="P217" s="25"/>
      <c r="Q217" s="25"/>
      <c r="R217" s="25"/>
      <c r="S217" s="25"/>
      <c r="T217" s="85">
        <v>0</v>
      </c>
      <c r="U217" s="25"/>
      <c r="V217" s="79"/>
      <c r="W217" s="86"/>
      <c r="X217" s="5"/>
    </row>
    <row r="218" spans="1:24" ht="15.6" x14ac:dyDescent="0.3">
      <c r="A218" s="84"/>
      <c r="B218" s="122" t="s">
        <v>84</v>
      </c>
      <c r="C218" s="54"/>
      <c r="D218" s="54"/>
      <c r="E218" s="54"/>
      <c r="F218" s="25"/>
      <c r="G218" s="25"/>
      <c r="H218" s="25"/>
      <c r="I218" s="25"/>
      <c r="J218" s="25"/>
      <c r="K218" s="25"/>
      <c r="L218" s="25"/>
      <c r="M218" s="25"/>
      <c r="N218" s="25"/>
      <c r="O218" s="25"/>
      <c r="P218" s="25"/>
      <c r="Q218" s="25"/>
      <c r="R218" s="25"/>
      <c r="S218" s="25"/>
      <c r="T218" s="62" t="s">
        <v>112</v>
      </c>
      <c r="U218" s="25"/>
      <c r="V218" s="79"/>
      <c r="W218" s="86"/>
      <c r="X218" s="5"/>
    </row>
    <row r="219" spans="1:24" ht="15.6" x14ac:dyDescent="0.3">
      <c r="A219" s="87"/>
      <c r="B219" s="122" t="s">
        <v>85</v>
      </c>
      <c r="C219" s="76"/>
      <c r="D219" s="76"/>
      <c r="E219" s="76"/>
      <c r="F219" s="76"/>
      <c r="G219" s="25"/>
      <c r="H219" s="25"/>
      <c r="I219" s="25"/>
      <c r="J219" s="25"/>
      <c r="K219" s="25"/>
      <c r="L219" s="25"/>
      <c r="M219" s="25"/>
      <c r="N219" s="25"/>
      <c r="O219" s="25"/>
      <c r="P219" s="25"/>
      <c r="Q219" s="25"/>
      <c r="R219" s="25"/>
      <c r="S219" s="25"/>
      <c r="T219" s="85"/>
      <c r="U219" s="25"/>
      <c r="V219" s="79"/>
      <c r="W219" s="88"/>
      <c r="X219" s="5"/>
    </row>
    <row r="220" spans="1:24" ht="15.6" x14ac:dyDescent="0.3">
      <c r="A220" s="87"/>
      <c r="B220" s="131" t="s">
        <v>86</v>
      </c>
      <c r="C220" s="76"/>
      <c r="D220" s="76"/>
      <c r="E220" s="76"/>
      <c r="F220" s="76"/>
      <c r="G220" s="25"/>
      <c r="H220" s="25"/>
      <c r="I220" s="25"/>
      <c r="J220" s="25"/>
      <c r="K220" s="25"/>
      <c r="L220" s="25"/>
      <c r="M220" s="25"/>
      <c r="N220" s="25"/>
      <c r="O220" s="25"/>
      <c r="P220" s="25"/>
      <c r="Q220" s="25"/>
      <c r="R220" s="25"/>
      <c r="S220" s="30"/>
      <c r="T220" s="85">
        <f>+V165</f>
        <v>52</v>
      </c>
      <c r="U220" s="25"/>
      <c r="V220" s="79"/>
      <c r="W220" s="88"/>
      <c r="X220" s="5"/>
    </row>
    <row r="221" spans="1:24" ht="15.6" x14ac:dyDescent="0.3">
      <c r="A221" s="84"/>
      <c r="B221" s="76" t="s">
        <v>87</v>
      </c>
      <c r="C221" s="54"/>
      <c r="D221" s="54"/>
      <c r="E221" s="54"/>
      <c r="F221" s="54"/>
      <c r="G221" s="25"/>
      <c r="H221" s="25"/>
      <c r="I221" s="25"/>
      <c r="J221" s="25"/>
      <c r="K221" s="25"/>
      <c r="L221" s="25"/>
      <c r="M221" s="25"/>
      <c r="N221" s="25"/>
      <c r="O221" s="25"/>
      <c r="P221" s="25"/>
      <c r="Q221" s="25"/>
      <c r="R221" s="25"/>
      <c r="S221" s="30"/>
      <c r="T221" s="85">
        <f>'Oct 08'!T221+'Jan 09'!T220</f>
        <v>363</v>
      </c>
      <c r="U221" s="25"/>
      <c r="V221" s="79"/>
      <c r="W221" s="88"/>
      <c r="X221" s="5"/>
    </row>
    <row r="222" spans="1:24" ht="15.6" x14ac:dyDescent="0.3">
      <c r="A222" s="87"/>
      <c r="B222" s="122" t="s">
        <v>292</v>
      </c>
      <c r="C222" s="76"/>
      <c r="D222" s="76"/>
      <c r="E222" s="76"/>
      <c r="F222" s="76"/>
      <c r="G222" s="25"/>
      <c r="H222" s="25"/>
      <c r="I222" s="25"/>
      <c r="J222" s="25"/>
      <c r="K222" s="25"/>
      <c r="L222" s="25"/>
      <c r="M222" s="25"/>
      <c r="N222" s="25"/>
      <c r="O222" s="25"/>
      <c r="P222" s="25"/>
      <c r="Q222" s="25"/>
      <c r="R222" s="25"/>
      <c r="S222" s="30"/>
      <c r="T222" s="85"/>
      <c r="U222" s="25"/>
      <c r="V222" s="79"/>
      <c r="W222" s="88"/>
      <c r="X222" s="5"/>
    </row>
    <row r="223" spans="1:24" ht="15.6" x14ac:dyDescent="0.3">
      <c r="A223" s="87"/>
      <c r="B223" s="76" t="s">
        <v>290</v>
      </c>
      <c r="C223" s="76"/>
      <c r="D223" s="76"/>
      <c r="E223" s="76"/>
      <c r="F223" s="76"/>
      <c r="G223" s="25"/>
      <c r="H223" s="25"/>
      <c r="I223" s="25"/>
      <c r="J223" s="25"/>
      <c r="K223" s="25"/>
      <c r="L223" s="25"/>
      <c r="M223" s="25"/>
      <c r="N223" s="25"/>
      <c r="O223" s="25"/>
      <c r="P223" s="25"/>
      <c r="Q223" s="25"/>
      <c r="R223" s="25"/>
      <c r="S223" s="30">
        <v>0</v>
      </c>
      <c r="T223" s="85">
        <v>0</v>
      </c>
      <c r="U223" s="25"/>
      <c r="V223" s="79"/>
      <c r="W223" s="88"/>
      <c r="X223" s="5"/>
    </row>
    <row r="224" spans="1:24" ht="15.6" x14ac:dyDescent="0.3">
      <c r="A224" s="84"/>
      <c r="B224" s="76" t="s">
        <v>88</v>
      </c>
      <c r="C224" s="89"/>
      <c r="D224" s="89"/>
      <c r="E224" s="89"/>
      <c r="F224" s="90"/>
      <c r="G224" s="25"/>
      <c r="H224" s="25"/>
      <c r="I224" s="25"/>
      <c r="J224" s="25"/>
      <c r="K224" s="25"/>
      <c r="L224" s="25"/>
      <c r="M224" s="25"/>
      <c r="N224" s="25"/>
      <c r="O224" s="25"/>
      <c r="P224" s="25"/>
      <c r="Q224" s="25"/>
      <c r="R224" s="25"/>
      <c r="S224" s="25"/>
      <c r="T224" s="62">
        <v>0</v>
      </c>
      <c r="U224" s="25"/>
      <c r="V224" s="79"/>
      <c r="W224" s="88"/>
      <c r="X224" s="5"/>
    </row>
    <row r="225" spans="1:25" ht="15.6" x14ac:dyDescent="0.3">
      <c r="A225" s="84"/>
      <c r="B225" s="76" t="s">
        <v>89</v>
      </c>
      <c r="C225" s="89"/>
      <c r="D225" s="89"/>
      <c r="E225" s="89"/>
      <c r="F225" s="90"/>
      <c r="G225" s="25"/>
      <c r="H225" s="25"/>
      <c r="I225" s="25"/>
      <c r="J225" s="25"/>
      <c r="K225" s="25"/>
      <c r="L225" s="25"/>
      <c r="M225" s="25"/>
      <c r="N225" s="25"/>
      <c r="O225" s="25"/>
      <c r="P225" s="25"/>
      <c r="Q225" s="25"/>
      <c r="R225" s="25"/>
      <c r="S225" s="25"/>
      <c r="T225" s="62">
        <v>0</v>
      </c>
      <c r="U225" s="25"/>
      <c r="V225" s="79"/>
      <c r="W225" s="88"/>
      <c r="X225" s="5"/>
    </row>
    <row r="226" spans="1:25" ht="15.6" x14ac:dyDescent="0.3">
      <c r="A226" s="84"/>
      <c r="B226" s="122" t="s">
        <v>223</v>
      </c>
      <c r="C226" s="89"/>
      <c r="D226" s="89"/>
      <c r="E226" s="89"/>
      <c r="F226" s="90"/>
      <c r="G226" s="25"/>
      <c r="H226" s="25"/>
      <c r="I226" s="25"/>
      <c r="J226" s="25"/>
      <c r="K226" s="25"/>
      <c r="L226" s="25"/>
      <c r="M226" s="25"/>
      <c r="N226" s="25"/>
      <c r="O226" s="25"/>
      <c r="P226" s="25"/>
      <c r="Q226" s="25"/>
      <c r="R226" s="25"/>
      <c r="S226" s="25"/>
      <c r="T226" s="91"/>
      <c r="U226" s="25"/>
      <c r="V226" s="79"/>
      <c r="W226" s="88"/>
      <c r="X226" s="5"/>
    </row>
    <row r="227" spans="1:25" ht="15.6" x14ac:dyDescent="0.3">
      <c r="A227" s="84"/>
      <c r="B227" s="76" t="s">
        <v>290</v>
      </c>
      <c r="C227" s="89"/>
      <c r="D227" s="89"/>
      <c r="E227" s="89"/>
      <c r="F227" s="90"/>
      <c r="G227" s="25"/>
      <c r="H227" s="25"/>
      <c r="I227" s="25"/>
      <c r="J227" s="25"/>
      <c r="K227" s="25"/>
      <c r="L227" s="25"/>
      <c r="M227" s="25"/>
      <c r="N227" s="25"/>
      <c r="O227" s="25"/>
      <c r="P227" s="25"/>
      <c r="Q227" s="25"/>
      <c r="R227" s="25"/>
      <c r="S227" s="30">
        <v>4</v>
      </c>
      <c r="T227" s="85">
        <v>416</v>
      </c>
      <c r="U227" s="25"/>
      <c r="V227" s="79"/>
      <c r="W227" s="88"/>
      <c r="X227" s="5"/>
    </row>
    <row r="228" spans="1:25" ht="15.6" x14ac:dyDescent="0.3">
      <c r="A228" s="84"/>
      <c r="B228" s="76" t="s">
        <v>224</v>
      </c>
      <c r="C228" s="89"/>
      <c r="D228" s="89"/>
      <c r="E228" s="89"/>
      <c r="F228" s="90"/>
      <c r="G228" s="25"/>
      <c r="H228" s="25"/>
      <c r="I228" s="25"/>
      <c r="J228" s="25"/>
      <c r="K228" s="25"/>
      <c r="L228" s="25"/>
      <c r="M228" s="25"/>
      <c r="N228" s="25"/>
      <c r="O228" s="25"/>
      <c r="P228" s="25"/>
      <c r="Q228" s="25"/>
      <c r="R228" s="25"/>
      <c r="S228" s="25"/>
      <c r="T228" s="62">
        <v>4.84</v>
      </c>
      <c r="U228" s="25"/>
      <c r="V228" s="79"/>
      <c r="W228" s="88"/>
      <c r="X228" s="5"/>
    </row>
    <row r="229" spans="1:25" ht="15.6" x14ac:dyDescent="0.3">
      <c r="A229" s="84"/>
      <c r="B229" s="76"/>
      <c r="C229" s="89"/>
      <c r="D229" s="89"/>
      <c r="E229" s="89"/>
      <c r="F229" s="90"/>
      <c r="G229" s="25"/>
      <c r="H229" s="25"/>
      <c r="I229" s="25"/>
      <c r="J229" s="25"/>
      <c r="K229" s="25"/>
      <c r="L229" s="25"/>
      <c r="M229" s="25"/>
      <c r="N229" s="25"/>
      <c r="O229" s="25"/>
      <c r="P229" s="25"/>
      <c r="Q229" s="25"/>
      <c r="R229" s="25"/>
      <c r="S229" s="25"/>
      <c r="T229" s="91"/>
      <c r="U229" s="25"/>
      <c r="V229" s="79"/>
      <c r="W229" s="88"/>
      <c r="X229" s="5"/>
    </row>
    <row r="230" spans="1:25" ht="15.6" x14ac:dyDescent="0.3">
      <c r="A230" s="84"/>
      <c r="B230" s="76"/>
      <c r="C230" s="89"/>
      <c r="D230" s="89"/>
      <c r="E230" s="89"/>
      <c r="F230" s="90"/>
      <c r="G230" s="25"/>
      <c r="H230" s="25"/>
      <c r="I230" s="25"/>
      <c r="J230" s="25"/>
      <c r="K230" s="25"/>
      <c r="L230" s="25"/>
      <c r="M230" s="25"/>
      <c r="N230" s="25"/>
      <c r="O230" s="25"/>
      <c r="P230" s="25"/>
      <c r="Q230" s="25"/>
      <c r="R230" s="25"/>
      <c r="S230" s="25"/>
      <c r="T230" s="91"/>
      <c r="U230" s="25"/>
      <c r="V230" s="79"/>
      <c r="W230" s="88"/>
      <c r="X230" s="5"/>
    </row>
    <row r="231" spans="1:25" ht="17.399999999999999" x14ac:dyDescent="0.3">
      <c r="A231" s="84"/>
      <c r="B231" s="149" t="s">
        <v>174</v>
      </c>
      <c r="C231" s="89"/>
      <c r="D231" s="89"/>
      <c r="E231" s="89"/>
      <c r="F231" s="90"/>
      <c r="G231" s="25"/>
      <c r="H231" s="25"/>
      <c r="I231" s="25"/>
      <c r="J231" s="25"/>
      <c r="K231" s="25"/>
      <c r="L231" s="25"/>
      <c r="M231" s="25"/>
      <c r="N231" s="25"/>
      <c r="O231" s="25"/>
      <c r="P231" s="150" t="s">
        <v>173</v>
      </c>
      <c r="Q231" s="25"/>
      <c r="R231" s="25"/>
      <c r="S231" s="25"/>
      <c r="T231" s="91"/>
      <c r="U231" s="25"/>
      <c r="V231" s="79"/>
      <c r="W231" s="88"/>
      <c r="X231" s="5"/>
    </row>
    <row r="232" spans="1:25" ht="15.6" x14ac:dyDescent="0.3">
      <c r="A232" s="84"/>
      <c r="B232" s="76"/>
      <c r="C232" s="89"/>
      <c r="D232" s="89"/>
      <c r="E232" s="89"/>
      <c r="F232" s="90"/>
      <c r="G232" s="25"/>
      <c r="H232" s="25"/>
      <c r="I232" s="25"/>
      <c r="J232" s="25"/>
      <c r="K232" s="25"/>
      <c r="L232" s="25"/>
      <c r="M232" s="25"/>
      <c r="N232" s="25"/>
      <c r="O232" s="25"/>
      <c r="P232" s="25"/>
      <c r="Q232" s="25"/>
      <c r="R232" s="25"/>
      <c r="S232" s="25"/>
      <c r="T232" s="91"/>
      <c r="U232" s="25"/>
      <c r="V232" s="79"/>
      <c r="W232" s="88"/>
      <c r="X232" s="5"/>
    </row>
    <row r="233" spans="1:25" ht="15.6" x14ac:dyDescent="0.3">
      <c r="A233" s="6"/>
      <c r="B233" s="14" t="s">
        <v>167</v>
      </c>
      <c r="C233" s="81"/>
      <c r="D233" s="81"/>
      <c r="E233" s="81"/>
      <c r="F233" s="82"/>
      <c r="G233" s="81"/>
      <c r="H233" s="17"/>
      <c r="I233" s="17"/>
      <c r="J233" s="17"/>
      <c r="K233" s="17"/>
      <c r="L233" s="17"/>
      <c r="M233" s="17"/>
      <c r="N233" s="17"/>
      <c r="O233" s="17"/>
      <c r="P233" s="17"/>
      <c r="Q233" s="17"/>
      <c r="R233" s="83" t="s">
        <v>104</v>
      </c>
      <c r="S233" s="17" t="s">
        <v>105</v>
      </c>
      <c r="T233" s="83" t="s">
        <v>113</v>
      </c>
      <c r="U233" s="17" t="s">
        <v>105</v>
      </c>
      <c r="V233" s="8"/>
      <c r="W233" s="92"/>
      <c r="X233" s="5"/>
    </row>
    <row r="234" spans="1:25" ht="15.6" x14ac:dyDescent="0.3">
      <c r="A234" s="24"/>
      <c r="B234" s="54" t="s">
        <v>90</v>
      </c>
      <c r="C234" s="93"/>
      <c r="D234" s="93"/>
      <c r="E234" s="93"/>
      <c r="F234" s="25"/>
      <c r="G234" s="93"/>
      <c r="H234" s="93"/>
      <c r="I234" s="93"/>
      <c r="J234" s="93"/>
      <c r="K234" s="93"/>
      <c r="L234" s="93"/>
      <c r="M234" s="93"/>
      <c r="N234" s="93"/>
      <c r="O234" s="93"/>
      <c r="P234" s="93"/>
      <c r="Q234" s="93"/>
      <c r="R234" s="54">
        <v>7643</v>
      </c>
      <c r="S234" s="94">
        <f t="shared" ref="S234:S241" si="1">R234/$R$243</f>
        <v>0.97874247662953007</v>
      </c>
      <c r="T234" s="53">
        <v>1023259</v>
      </c>
      <c r="U234" s="132">
        <f t="shared" ref="U234:U241" si="2">T234/$T$243</f>
        <v>0.9745407341586737</v>
      </c>
      <c r="V234" s="79"/>
      <c r="W234" s="88"/>
      <c r="X234" s="5"/>
    </row>
    <row r="235" spans="1:25" ht="15.6" x14ac:dyDescent="0.3">
      <c r="A235" s="24"/>
      <c r="B235" s="54" t="s">
        <v>91</v>
      </c>
      <c r="C235" s="93"/>
      <c r="D235" s="93"/>
      <c r="E235" s="93"/>
      <c r="F235" s="25"/>
      <c r="G235" s="94"/>
      <c r="H235" s="93"/>
      <c r="I235" s="93"/>
      <c r="J235" s="93"/>
      <c r="K235" s="93"/>
      <c r="L235" s="93"/>
      <c r="M235" s="93"/>
      <c r="N235" s="93"/>
      <c r="O235" s="93"/>
      <c r="P235" s="93"/>
      <c r="Q235" s="93"/>
      <c r="R235" s="54">
        <v>86</v>
      </c>
      <c r="S235" s="94">
        <f t="shared" si="1"/>
        <v>1.1012933794339864E-2</v>
      </c>
      <c r="T235" s="53">
        <v>13308</v>
      </c>
      <c r="U235" s="132">
        <f t="shared" si="2"/>
        <v>1.2674394351951588E-2</v>
      </c>
      <c r="V235" s="79"/>
      <c r="W235" s="88"/>
      <c r="X235" s="5"/>
      <c r="Y235" s="109"/>
    </row>
    <row r="236" spans="1:25" ht="15.6" x14ac:dyDescent="0.3">
      <c r="A236" s="24"/>
      <c r="B236" s="54" t="s">
        <v>92</v>
      </c>
      <c r="C236" s="93"/>
      <c r="D236" s="93"/>
      <c r="E236" s="93"/>
      <c r="F236" s="25"/>
      <c r="G236" s="94"/>
      <c r="H236" s="93"/>
      <c r="I236" s="93"/>
      <c r="J236" s="93"/>
      <c r="K236" s="93"/>
      <c r="L236" s="93"/>
      <c r="M236" s="93"/>
      <c r="N236" s="93"/>
      <c r="O236" s="93"/>
      <c r="P236" s="93"/>
      <c r="Q236" s="93"/>
      <c r="R236" s="54">
        <v>49</v>
      </c>
      <c r="S236" s="94">
        <f t="shared" si="1"/>
        <v>6.2748111153796901E-3</v>
      </c>
      <c r="T236" s="53">
        <v>8357</v>
      </c>
      <c r="U236" s="132">
        <f t="shared" si="2"/>
        <v>7.9591158400405329E-3</v>
      </c>
      <c r="V236" s="79"/>
      <c r="W236" s="88"/>
      <c r="X236" s="5"/>
    </row>
    <row r="237" spans="1:25" ht="15.6" x14ac:dyDescent="0.3">
      <c r="A237" s="24"/>
      <c r="B237" s="54" t="s">
        <v>161</v>
      </c>
      <c r="C237" s="93"/>
      <c r="D237" s="93"/>
      <c r="E237" s="93"/>
      <c r="F237" s="25"/>
      <c r="G237" s="94"/>
      <c r="H237" s="93"/>
      <c r="I237" s="93"/>
      <c r="J237" s="93"/>
      <c r="K237" s="93"/>
      <c r="L237" s="93"/>
      <c r="M237" s="93"/>
      <c r="N237" s="93"/>
      <c r="O237" s="93"/>
      <c r="P237" s="93"/>
      <c r="Q237" s="93"/>
      <c r="R237" s="54">
        <v>16</v>
      </c>
      <c r="S237" s="94">
        <f t="shared" si="1"/>
        <v>2.0489179152260212E-3</v>
      </c>
      <c r="T237" s="53">
        <v>2219</v>
      </c>
      <c r="U237" s="132">
        <f t="shared" si="2"/>
        <v>2.1133514477743144E-3</v>
      </c>
      <c r="V237" s="79"/>
      <c r="W237" s="88"/>
      <c r="X237" s="5"/>
      <c r="Y237" s="109"/>
    </row>
    <row r="238" spans="1:25" ht="15.6" x14ac:dyDescent="0.3">
      <c r="A238" s="24"/>
      <c r="B238" s="54" t="s">
        <v>162</v>
      </c>
      <c r="C238" s="93"/>
      <c r="D238" s="93"/>
      <c r="E238" s="93"/>
      <c r="F238" s="25"/>
      <c r="G238" s="94"/>
      <c r="H238" s="93"/>
      <c r="I238" s="93"/>
      <c r="J238" s="93"/>
      <c r="K238" s="93"/>
      <c r="L238" s="93"/>
      <c r="M238" s="93"/>
      <c r="N238" s="93"/>
      <c r="O238" s="93"/>
      <c r="P238" s="93"/>
      <c r="Q238" s="93"/>
      <c r="R238" s="54">
        <v>8</v>
      </c>
      <c r="S238" s="94">
        <f t="shared" si="1"/>
        <v>1.0244589576130106E-3</v>
      </c>
      <c r="T238" s="53">
        <v>1144</v>
      </c>
      <c r="U238" s="132">
        <f t="shared" si="2"/>
        <v>1.0895331483793671E-3</v>
      </c>
      <c r="V238" s="79"/>
      <c r="W238" s="88"/>
      <c r="X238" s="5"/>
    </row>
    <row r="239" spans="1:25" ht="15.6" x14ac:dyDescent="0.3">
      <c r="A239" s="24"/>
      <c r="B239" s="54" t="s">
        <v>163</v>
      </c>
      <c r="C239" s="93"/>
      <c r="D239" s="93"/>
      <c r="E239" s="93"/>
      <c r="F239" s="25"/>
      <c r="G239" s="94"/>
      <c r="H239" s="93"/>
      <c r="I239" s="93"/>
      <c r="J239" s="93"/>
      <c r="K239" s="93"/>
      <c r="L239" s="93"/>
      <c r="M239" s="93"/>
      <c r="N239" s="93"/>
      <c r="O239" s="93"/>
      <c r="P239" s="93"/>
      <c r="Q239" s="93"/>
      <c r="R239" s="54">
        <v>3</v>
      </c>
      <c r="S239" s="94">
        <f t="shared" si="1"/>
        <v>3.84172109104879E-4</v>
      </c>
      <c r="T239" s="53">
        <v>484</v>
      </c>
      <c r="U239" s="132">
        <f t="shared" si="2"/>
        <v>4.6095633200665529E-4</v>
      </c>
      <c r="V239" s="79"/>
      <c r="W239" s="88"/>
      <c r="X239" s="5"/>
      <c r="Y239" s="109"/>
    </row>
    <row r="240" spans="1:25" ht="15.6" x14ac:dyDescent="0.3">
      <c r="A240" s="24"/>
      <c r="B240" s="54" t="s">
        <v>164</v>
      </c>
      <c r="C240" s="93"/>
      <c r="D240" s="93"/>
      <c r="E240" s="93"/>
      <c r="F240" s="25"/>
      <c r="G240" s="94"/>
      <c r="H240" s="93"/>
      <c r="I240" s="93"/>
      <c r="J240" s="93"/>
      <c r="K240" s="93"/>
      <c r="L240" s="93"/>
      <c r="M240" s="93"/>
      <c r="N240" s="93"/>
      <c r="O240" s="93"/>
      <c r="P240" s="93"/>
      <c r="Q240" s="93"/>
      <c r="R240" s="54">
        <v>2</v>
      </c>
      <c r="S240" s="94">
        <f t="shared" si="1"/>
        <v>2.5611473940325265E-4</v>
      </c>
      <c r="T240" s="53">
        <v>929</v>
      </c>
      <c r="U240" s="132">
        <f t="shared" si="2"/>
        <v>8.8476948850037761E-4</v>
      </c>
      <c r="V240" s="79"/>
      <c r="W240" s="88"/>
      <c r="X240" s="5"/>
    </row>
    <row r="241" spans="1:25" ht="15.6" x14ac:dyDescent="0.3">
      <c r="A241" s="24"/>
      <c r="B241" s="54" t="s">
        <v>165</v>
      </c>
      <c r="C241" s="93"/>
      <c r="D241" s="93"/>
      <c r="E241" s="93"/>
      <c r="F241" s="25"/>
      <c r="G241" s="94"/>
      <c r="H241" s="93"/>
      <c r="I241" s="93"/>
      <c r="J241" s="93"/>
      <c r="K241" s="93"/>
      <c r="L241" s="93"/>
      <c r="M241" s="93"/>
      <c r="N241" s="93"/>
      <c r="O241" s="93"/>
      <c r="P241" s="93"/>
      <c r="Q241" s="93"/>
      <c r="R241" s="54">
        <v>2</v>
      </c>
      <c r="S241" s="94">
        <f t="shared" si="1"/>
        <v>2.5611473940325265E-4</v>
      </c>
      <c r="T241" s="53">
        <v>291</v>
      </c>
      <c r="U241" s="132">
        <f t="shared" si="2"/>
        <v>2.7714523267342292E-4</v>
      </c>
      <c r="V241" s="79"/>
      <c r="W241" s="88"/>
      <c r="X241" s="5"/>
      <c r="Y241" s="109"/>
    </row>
    <row r="242" spans="1:25" ht="15.6" x14ac:dyDescent="0.3">
      <c r="A242" s="24"/>
      <c r="B242" s="54"/>
      <c r="C242" s="93"/>
      <c r="D242" s="93"/>
      <c r="E242" s="93"/>
      <c r="F242" s="25"/>
      <c r="G242" s="94"/>
      <c r="H242" s="93"/>
      <c r="I242" s="93"/>
      <c r="J242" s="93"/>
      <c r="K242" s="93"/>
      <c r="L242" s="93"/>
      <c r="M242" s="93"/>
      <c r="N242" s="93"/>
      <c r="O242" s="93"/>
      <c r="P242" s="93"/>
      <c r="Q242" s="93"/>
      <c r="R242" s="54"/>
      <c r="S242" s="94"/>
      <c r="T242" s="53"/>
      <c r="U242" s="132"/>
      <c r="V242" s="79"/>
      <c r="W242" s="88"/>
      <c r="X242" s="5"/>
    </row>
    <row r="243" spans="1:25" ht="15.6" x14ac:dyDescent="0.3">
      <c r="A243" s="24"/>
      <c r="B243" s="25" t="s">
        <v>119</v>
      </c>
      <c r="C243" s="25"/>
      <c r="D243" s="25"/>
      <c r="E243" s="25"/>
      <c r="F243" s="25"/>
      <c r="G243" s="25"/>
      <c r="H243" s="95"/>
      <c r="I243" s="95"/>
      <c r="J243" s="95"/>
      <c r="K243" s="95"/>
      <c r="L243" s="95"/>
      <c r="M243" s="95"/>
      <c r="N243" s="95"/>
      <c r="O243" s="95"/>
      <c r="P243" s="95"/>
      <c r="Q243" s="95"/>
      <c r="R243" s="34">
        <f>SUM(R234:R242)</f>
        <v>7809</v>
      </c>
      <c r="S243" s="132">
        <f>SUM(S234:S242)</f>
        <v>1</v>
      </c>
      <c r="T243" s="53">
        <f>SUM(T234:T242)</f>
        <v>1049991</v>
      </c>
      <c r="U243" s="132">
        <f>SUM(U234:U242)</f>
        <v>0.99999999999999989</v>
      </c>
      <c r="V243" s="25"/>
      <c r="W243" s="25"/>
      <c r="X243" s="5"/>
    </row>
    <row r="244" spans="1:25" ht="15.6" x14ac:dyDescent="0.3">
      <c r="A244" s="24"/>
      <c r="B244" s="25"/>
      <c r="C244" s="25"/>
      <c r="D244" s="25"/>
      <c r="E244" s="25"/>
      <c r="F244" s="25"/>
      <c r="G244" s="25"/>
      <c r="H244" s="95"/>
      <c r="I244" s="95"/>
      <c r="J244" s="95"/>
      <c r="K244" s="95"/>
      <c r="L244" s="95"/>
      <c r="M244" s="95"/>
      <c r="N244" s="95"/>
      <c r="O244" s="95"/>
      <c r="P244" s="95"/>
      <c r="Q244" s="95"/>
      <c r="R244" s="34"/>
      <c r="S244" s="132"/>
      <c r="T244" s="53"/>
      <c r="U244" s="132"/>
      <c r="V244" s="25"/>
      <c r="W244" s="25"/>
      <c r="X244" s="5"/>
    </row>
    <row r="245" spans="1:25" ht="15.6" x14ac:dyDescent="0.3">
      <c r="A245" s="141"/>
      <c r="B245" s="14" t="s">
        <v>283</v>
      </c>
      <c r="C245" s="81"/>
      <c r="D245" s="81"/>
      <c r="E245" s="81"/>
      <c r="F245" s="82"/>
      <c r="G245" s="81"/>
      <c r="H245" s="17"/>
      <c r="I245" s="17"/>
      <c r="J245" s="17"/>
      <c r="K245" s="17"/>
      <c r="L245" s="17"/>
      <c r="M245" s="17"/>
      <c r="N245" s="17"/>
      <c r="O245" s="17"/>
      <c r="P245" s="17"/>
      <c r="Q245" s="17"/>
      <c r="R245" s="83" t="s">
        <v>104</v>
      </c>
      <c r="S245" s="17" t="s">
        <v>105</v>
      </c>
      <c r="T245" s="83" t="s">
        <v>113</v>
      </c>
      <c r="U245" s="17" t="s">
        <v>105</v>
      </c>
      <c r="V245" s="139"/>
      <c r="W245" s="140"/>
      <c r="X245" s="5"/>
    </row>
    <row r="246" spans="1:25" ht="15.6" x14ac:dyDescent="0.3">
      <c r="A246" s="24"/>
      <c r="B246" s="54" t="s">
        <v>90</v>
      </c>
      <c r="C246" s="93"/>
      <c r="D246" s="93"/>
      <c r="E246" s="93"/>
      <c r="F246" s="25"/>
      <c r="G246" s="93"/>
      <c r="H246" s="93"/>
      <c r="I246" s="93"/>
      <c r="J246" s="93"/>
      <c r="K246" s="93"/>
      <c r="L246" s="93"/>
      <c r="M246" s="93"/>
      <c r="N246" s="93"/>
      <c r="O246" s="93"/>
      <c r="P246" s="93"/>
      <c r="Q246" s="93"/>
      <c r="R246" s="54">
        <v>6</v>
      </c>
      <c r="S246" s="94">
        <f t="shared" ref="S246:S253" si="3">R246/$R$255</f>
        <v>3.6363636363636362E-2</v>
      </c>
      <c r="T246" s="53">
        <v>1491</v>
      </c>
      <c r="U246" s="132">
        <f t="shared" ref="U246:U253" si="4">T246/$T$255</f>
        <v>5.1815812337098179E-2</v>
      </c>
      <c r="V246" s="25"/>
      <c r="W246" s="25"/>
      <c r="X246" s="5"/>
    </row>
    <row r="247" spans="1:25" ht="15.6" x14ac:dyDescent="0.3">
      <c r="A247" s="24"/>
      <c r="B247" s="54" t="s">
        <v>91</v>
      </c>
      <c r="C247" s="93"/>
      <c r="D247" s="93"/>
      <c r="E247" s="93"/>
      <c r="F247" s="25"/>
      <c r="G247" s="94"/>
      <c r="H247" s="93"/>
      <c r="I247" s="93"/>
      <c r="J247" s="93"/>
      <c r="K247" s="93"/>
      <c r="L247" s="93"/>
      <c r="M247" s="93"/>
      <c r="N247" s="93"/>
      <c r="O247" s="93"/>
      <c r="P247" s="93"/>
      <c r="Q247" s="93"/>
      <c r="R247" s="54">
        <v>57</v>
      </c>
      <c r="S247" s="94">
        <f t="shared" si="3"/>
        <v>0.34545454545454546</v>
      </c>
      <c r="T247" s="53">
        <v>9930</v>
      </c>
      <c r="U247" s="132">
        <f t="shared" si="4"/>
        <v>0.34509122502172024</v>
      </c>
      <c r="V247" s="25"/>
      <c r="W247" s="25"/>
      <c r="X247" s="5"/>
    </row>
    <row r="248" spans="1:25" ht="15.6" x14ac:dyDescent="0.3">
      <c r="A248" s="24"/>
      <c r="B248" s="54" t="s">
        <v>92</v>
      </c>
      <c r="C248" s="93"/>
      <c r="D248" s="93"/>
      <c r="E248" s="93"/>
      <c r="F248" s="25"/>
      <c r="G248" s="94"/>
      <c r="H248" s="93"/>
      <c r="I248" s="93"/>
      <c r="J248" s="93"/>
      <c r="K248" s="93"/>
      <c r="L248" s="93"/>
      <c r="M248" s="93"/>
      <c r="N248" s="93"/>
      <c r="O248" s="93"/>
      <c r="P248" s="93"/>
      <c r="Q248" s="93"/>
      <c r="R248" s="54">
        <v>10</v>
      </c>
      <c r="S248" s="94">
        <f t="shared" si="3"/>
        <v>6.0606060606060608E-2</v>
      </c>
      <c r="T248" s="53">
        <v>2219</v>
      </c>
      <c r="U248" s="132">
        <f t="shared" si="4"/>
        <v>7.7115551694178969E-2</v>
      </c>
      <c r="V248" s="25"/>
      <c r="W248" s="25"/>
      <c r="X248" s="5"/>
    </row>
    <row r="249" spans="1:25" ht="15.6" x14ac:dyDescent="0.3">
      <c r="A249" s="24"/>
      <c r="B249" s="54" t="s">
        <v>161</v>
      </c>
      <c r="C249" s="93"/>
      <c r="D249" s="93"/>
      <c r="E249" s="93"/>
      <c r="F249" s="25"/>
      <c r="G249" s="94"/>
      <c r="H249" s="93"/>
      <c r="I249" s="93"/>
      <c r="J249" s="93"/>
      <c r="K249" s="93"/>
      <c r="L249" s="93"/>
      <c r="M249" s="93"/>
      <c r="N249" s="93"/>
      <c r="O249" s="93"/>
      <c r="P249" s="93"/>
      <c r="Q249" s="93"/>
      <c r="R249" s="54">
        <v>14</v>
      </c>
      <c r="S249" s="94">
        <f t="shared" si="3"/>
        <v>8.4848484848484854E-2</v>
      </c>
      <c r="T249" s="53">
        <v>3032</v>
      </c>
      <c r="U249" s="132">
        <f t="shared" si="4"/>
        <v>0.10536924413553432</v>
      </c>
      <c r="V249" s="25"/>
      <c r="W249" s="25"/>
      <c r="X249" s="5"/>
    </row>
    <row r="250" spans="1:25" ht="15.6" x14ac:dyDescent="0.3">
      <c r="A250" s="24"/>
      <c r="B250" s="54" t="s">
        <v>162</v>
      </c>
      <c r="C250" s="93"/>
      <c r="D250" s="93"/>
      <c r="E250" s="93"/>
      <c r="F250" s="25"/>
      <c r="G250" s="94"/>
      <c r="H250" s="93"/>
      <c r="I250" s="93"/>
      <c r="J250" s="93"/>
      <c r="K250" s="93"/>
      <c r="L250" s="93"/>
      <c r="M250" s="93"/>
      <c r="N250" s="93"/>
      <c r="O250" s="93"/>
      <c r="P250" s="93"/>
      <c r="Q250" s="93"/>
      <c r="R250" s="54">
        <v>7</v>
      </c>
      <c r="S250" s="94">
        <f t="shared" si="3"/>
        <v>4.2424242424242427E-2</v>
      </c>
      <c r="T250" s="53">
        <v>976</v>
      </c>
      <c r="U250" s="132">
        <f t="shared" si="4"/>
        <v>3.3918331885317114E-2</v>
      </c>
      <c r="V250" s="25"/>
      <c r="W250" s="25"/>
      <c r="X250" s="5"/>
    </row>
    <row r="251" spans="1:25" ht="15.6" x14ac:dyDescent="0.3">
      <c r="A251" s="24"/>
      <c r="B251" s="54" t="s">
        <v>163</v>
      </c>
      <c r="C251" s="93"/>
      <c r="D251" s="93"/>
      <c r="E251" s="93"/>
      <c r="F251" s="25"/>
      <c r="G251" s="94"/>
      <c r="H251" s="93"/>
      <c r="I251" s="93"/>
      <c r="J251" s="93"/>
      <c r="K251" s="93"/>
      <c r="L251" s="93"/>
      <c r="M251" s="93"/>
      <c r="N251" s="93"/>
      <c r="O251" s="93"/>
      <c r="P251" s="93"/>
      <c r="Q251" s="93"/>
      <c r="R251" s="54">
        <v>6</v>
      </c>
      <c r="S251" s="94">
        <f t="shared" si="3"/>
        <v>3.6363636363636362E-2</v>
      </c>
      <c r="T251" s="53">
        <v>1928</v>
      </c>
      <c r="U251" s="132">
        <f t="shared" si="4"/>
        <v>6.7002606429192008E-2</v>
      </c>
      <c r="V251" s="25"/>
      <c r="W251" s="25"/>
      <c r="X251" s="5"/>
    </row>
    <row r="252" spans="1:25" ht="15.6" x14ac:dyDescent="0.3">
      <c r="A252" s="24"/>
      <c r="B252" s="54" t="s">
        <v>164</v>
      </c>
      <c r="C252" s="93"/>
      <c r="D252" s="93"/>
      <c r="E252" s="93"/>
      <c r="F252" s="25"/>
      <c r="G252" s="94"/>
      <c r="H252" s="93"/>
      <c r="I252" s="93"/>
      <c r="J252" s="93"/>
      <c r="K252" s="93"/>
      <c r="L252" s="93"/>
      <c r="M252" s="93"/>
      <c r="N252" s="93"/>
      <c r="O252" s="93"/>
      <c r="P252" s="93"/>
      <c r="Q252" s="93"/>
      <c r="R252" s="54">
        <v>46</v>
      </c>
      <c r="S252" s="94">
        <f t="shared" si="3"/>
        <v>0.27878787878787881</v>
      </c>
      <c r="T252" s="53">
        <v>6489</v>
      </c>
      <c r="U252" s="132">
        <f t="shared" si="4"/>
        <v>0.22550825369244135</v>
      </c>
      <c r="V252" s="25"/>
      <c r="W252" s="25"/>
      <c r="X252" s="5"/>
    </row>
    <row r="253" spans="1:25" ht="15.6" x14ac:dyDescent="0.3">
      <c r="A253" s="24"/>
      <c r="B253" s="54" t="s">
        <v>165</v>
      </c>
      <c r="C253" s="93"/>
      <c r="D253" s="93"/>
      <c r="E253" s="93"/>
      <c r="F253" s="25"/>
      <c r="G253" s="94"/>
      <c r="H253" s="93"/>
      <c r="I253" s="93"/>
      <c r="J253" s="93"/>
      <c r="K253" s="93"/>
      <c r="L253" s="93"/>
      <c r="M253" s="93"/>
      <c r="N253" s="93"/>
      <c r="O253" s="93"/>
      <c r="P253" s="93"/>
      <c r="Q253" s="93"/>
      <c r="R253" s="54">
        <v>19</v>
      </c>
      <c r="S253" s="94">
        <f t="shared" si="3"/>
        <v>0.11515151515151516</v>
      </c>
      <c r="T253" s="53">
        <v>2710</v>
      </c>
      <c r="U253" s="132">
        <f t="shared" si="4"/>
        <v>9.4178974804517812E-2</v>
      </c>
      <c r="V253" s="25"/>
      <c r="W253" s="25"/>
      <c r="X253" s="5"/>
    </row>
    <row r="254" spans="1:25" ht="15.6" x14ac:dyDescent="0.3">
      <c r="A254" s="24"/>
      <c r="B254" s="54"/>
      <c r="C254" s="93"/>
      <c r="D254" s="93"/>
      <c r="E254" s="93"/>
      <c r="F254" s="25"/>
      <c r="G254" s="94"/>
      <c r="H254" s="93"/>
      <c r="I254" s="93"/>
      <c r="J254" s="93"/>
      <c r="K254" s="93"/>
      <c r="L254" s="93"/>
      <c r="M254" s="93"/>
      <c r="N254" s="93"/>
      <c r="O254" s="93"/>
      <c r="P254" s="93"/>
      <c r="Q254" s="93"/>
      <c r="R254" s="54"/>
      <c r="S254" s="94"/>
      <c r="T254" s="53"/>
      <c r="U254" s="132"/>
      <c r="V254" s="25"/>
      <c r="W254" s="25"/>
      <c r="X254" s="5"/>
    </row>
    <row r="255" spans="1:25" ht="15.6" x14ac:dyDescent="0.3">
      <c r="A255" s="24"/>
      <c r="B255" s="25" t="s">
        <v>119</v>
      </c>
      <c r="C255" s="25"/>
      <c r="D255" s="25"/>
      <c r="E255" s="25"/>
      <c r="F255" s="25"/>
      <c r="G255" s="25"/>
      <c r="H255" s="95"/>
      <c r="I255" s="95"/>
      <c r="J255" s="95"/>
      <c r="K255" s="95"/>
      <c r="L255" s="95"/>
      <c r="M255" s="95"/>
      <c r="N255" s="95"/>
      <c r="O255" s="95"/>
      <c r="P255" s="95"/>
      <c r="Q255" s="95"/>
      <c r="R255" s="34">
        <f>SUM(R246:R254)</f>
        <v>165</v>
      </c>
      <c r="S255" s="132">
        <f>SUM(S246:S254)</f>
        <v>1.0000000000000002</v>
      </c>
      <c r="T255" s="53">
        <f>SUM(T246:T254)</f>
        <v>28775</v>
      </c>
      <c r="U255" s="132">
        <f>SUM(U246:U254)</f>
        <v>1</v>
      </c>
      <c r="V255" s="25"/>
      <c r="W255" s="25"/>
      <c r="X255" s="5"/>
    </row>
    <row r="256" spans="1:25" ht="15.6" x14ac:dyDescent="0.3">
      <c r="A256" s="24"/>
      <c r="B256" s="25"/>
      <c r="C256" s="25"/>
      <c r="D256" s="25"/>
      <c r="E256" s="25"/>
      <c r="F256" s="25"/>
      <c r="G256" s="25"/>
      <c r="H256" s="95"/>
      <c r="I256" s="95"/>
      <c r="J256" s="95"/>
      <c r="K256" s="95"/>
      <c r="L256" s="95"/>
      <c r="M256" s="95"/>
      <c r="N256" s="95"/>
      <c r="O256" s="95"/>
      <c r="P256" s="95"/>
      <c r="Q256" s="95"/>
      <c r="R256" s="34"/>
      <c r="S256" s="132"/>
      <c r="T256" s="53"/>
      <c r="U256" s="132"/>
      <c r="V256" s="25"/>
      <c r="W256" s="25"/>
      <c r="X256" s="5"/>
    </row>
    <row r="257" spans="1:24" ht="15.6" x14ac:dyDescent="0.3">
      <c r="A257" s="141"/>
      <c r="B257" s="14" t="s">
        <v>169</v>
      </c>
      <c r="C257" s="139"/>
      <c r="D257" s="139"/>
      <c r="E257" s="139"/>
      <c r="F257" s="139"/>
      <c r="G257" s="139"/>
      <c r="H257" s="145"/>
      <c r="I257" s="145"/>
      <c r="J257" s="145"/>
      <c r="K257" s="145"/>
      <c r="L257" s="145"/>
      <c r="M257" s="145"/>
      <c r="N257" s="145"/>
      <c r="O257" s="145"/>
      <c r="P257" s="145"/>
      <c r="Q257" s="145"/>
      <c r="R257" s="83" t="s">
        <v>104</v>
      </c>
      <c r="S257" s="17" t="s">
        <v>105</v>
      </c>
      <c r="T257" s="83" t="s">
        <v>113</v>
      </c>
      <c r="U257" s="17" t="s">
        <v>105</v>
      </c>
      <c r="V257" s="139"/>
      <c r="W257" s="140"/>
      <c r="X257" s="5"/>
    </row>
    <row r="258" spans="1:24" ht="15.6" x14ac:dyDescent="0.3">
      <c r="A258" s="24"/>
      <c r="B258" s="54" t="s">
        <v>90</v>
      </c>
      <c r="C258" s="25"/>
      <c r="D258" s="25"/>
      <c r="E258" s="25"/>
      <c r="F258" s="25"/>
      <c r="G258" s="25"/>
      <c r="H258" s="95"/>
      <c r="I258" s="95"/>
      <c r="J258" s="95"/>
      <c r="K258" s="95"/>
      <c r="L258" s="95"/>
      <c r="M258" s="95"/>
      <c r="N258" s="95"/>
      <c r="O258" s="95"/>
      <c r="P258" s="95"/>
      <c r="Q258" s="95"/>
      <c r="R258" s="54">
        <v>0</v>
      </c>
      <c r="S258" s="94">
        <v>0</v>
      </c>
      <c r="T258" s="53">
        <v>0</v>
      </c>
      <c r="U258" s="94">
        <v>0</v>
      </c>
      <c r="V258" s="25"/>
      <c r="W258" s="25"/>
      <c r="X258" s="5"/>
    </row>
    <row r="259" spans="1:24" ht="15.6" x14ac:dyDescent="0.3">
      <c r="A259" s="24"/>
      <c r="B259" s="54" t="s">
        <v>91</v>
      </c>
      <c r="C259" s="25"/>
      <c r="D259" s="25"/>
      <c r="E259" s="25"/>
      <c r="F259" s="25"/>
      <c r="G259" s="25"/>
      <c r="H259" s="95"/>
      <c r="I259" s="95"/>
      <c r="J259" s="95"/>
      <c r="K259" s="95"/>
      <c r="L259" s="95"/>
      <c r="M259" s="95"/>
      <c r="N259" s="95"/>
      <c r="O259" s="95"/>
      <c r="P259" s="95"/>
      <c r="Q259" s="95"/>
      <c r="R259" s="54">
        <v>0</v>
      </c>
      <c r="S259" s="94">
        <v>0</v>
      </c>
      <c r="T259" s="53">
        <v>0</v>
      </c>
      <c r="U259" s="94">
        <v>0</v>
      </c>
      <c r="V259" s="25"/>
      <c r="W259" s="25"/>
      <c r="X259" s="5"/>
    </row>
    <row r="260" spans="1:24" ht="15.6" x14ac:dyDescent="0.3">
      <c r="A260" s="24"/>
      <c r="B260" s="54" t="s">
        <v>92</v>
      </c>
      <c r="C260" s="25"/>
      <c r="D260" s="25"/>
      <c r="E260" s="25"/>
      <c r="F260" s="25"/>
      <c r="G260" s="25"/>
      <c r="H260" s="95"/>
      <c r="I260" s="95"/>
      <c r="J260" s="95"/>
      <c r="K260" s="95"/>
      <c r="L260" s="95"/>
      <c r="M260" s="95"/>
      <c r="N260" s="95"/>
      <c r="O260" s="95"/>
      <c r="P260" s="95"/>
      <c r="Q260" s="95"/>
      <c r="R260" s="54">
        <v>0</v>
      </c>
      <c r="S260" s="94">
        <v>0</v>
      </c>
      <c r="T260" s="53">
        <v>0</v>
      </c>
      <c r="U260" s="94">
        <v>0</v>
      </c>
      <c r="V260" s="25"/>
      <c r="W260" s="25"/>
      <c r="X260" s="5"/>
    </row>
    <row r="261" spans="1:24" ht="15.6" x14ac:dyDescent="0.3">
      <c r="A261" s="24"/>
      <c r="B261" s="54" t="s">
        <v>161</v>
      </c>
      <c r="C261" s="25"/>
      <c r="D261" s="25"/>
      <c r="E261" s="25"/>
      <c r="F261" s="25"/>
      <c r="G261" s="25"/>
      <c r="H261" s="95"/>
      <c r="I261" s="95"/>
      <c r="J261" s="95"/>
      <c r="K261" s="95"/>
      <c r="L261" s="95"/>
      <c r="M261" s="95"/>
      <c r="N261" s="95"/>
      <c r="O261" s="95"/>
      <c r="P261" s="95"/>
      <c r="Q261" s="95"/>
      <c r="R261" s="54">
        <v>0</v>
      </c>
      <c r="S261" s="94">
        <v>0</v>
      </c>
      <c r="T261" s="53">
        <v>0</v>
      </c>
      <c r="U261" s="94">
        <v>0</v>
      </c>
      <c r="V261" s="25"/>
      <c r="W261" s="25"/>
      <c r="X261" s="5"/>
    </row>
    <row r="262" spans="1:24" ht="15.6" x14ac:dyDescent="0.3">
      <c r="A262" s="24"/>
      <c r="B262" s="54" t="s">
        <v>162</v>
      </c>
      <c r="C262" s="25"/>
      <c r="D262" s="25"/>
      <c r="E262" s="25"/>
      <c r="F262" s="25"/>
      <c r="G262" s="25"/>
      <c r="H262" s="95"/>
      <c r="I262" s="95"/>
      <c r="J262" s="95"/>
      <c r="K262" s="95"/>
      <c r="L262" s="95"/>
      <c r="M262" s="95"/>
      <c r="N262" s="95"/>
      <c r="O262" s="95"/>
      <c r="P262" s="95"/>
      <c r="Q262" s="95"/>
      <c r="R262" s="54">
        <v>0</v>
      </c>
      <c r="S262" s="94">
        <v>0</v>
      </c>
      <c r="T262" s="53">
        <v>0</v>
      </c>
      <c r="U262" s="94">
        <v>0</v>
      </c>
      <c r="V262" s="25"/>
      <c r="W262" s="25"/>
      <c r="X262" s="5"/>
    </row>
    <row r="263" spans="1:24" ht="15.6" x14ac:dyDescent="0.3">
      <c r="A263" s="24"/>
      <c r="B263" s="54" t="s">
        <v>163</v>
      </c>
      <c r="C263" s="25"/>
      <c r="D263" s="25"/>
      <c r="E263" s="25"/>
      <c r="F263" s="25"/>
      <c r="G263" s="25"/>
      <c r="H263" s="95"/>
      <c r="I263" s="95"/>
      <c r="J263" s="95"/>
      <c r="K263" s="95"/>
      <c r="L263" s="95"/>
      <c r="M263" s="95"/>
      <c r="N263" s="95"/>
      <c r="O263" s="95"/>
      <c r="P263" s="95"/>
      <c r="Q263" s="95"/>
      <c r="R263" s="54">
        <v>0</v>
      </c>
      <c r="S263" s="94">
        <v>0</v>
      </c>
      <c r="T263" s="53">
        <v>0</v>
      </c>
      <c r="U263" s="94">
        <v>0</v>
      </c>
      <c r="V263" s="25"/>
      <c r="W263" s="25"/>
      <c r="X263" s="5"/>
    </row>
    <row r="264" spans="1:24" ht="15.6" x14ac:dyDescent="0.3">
      <c r="A264" s="24"/>
      <c r="B264" s="54" t="s">
        <v>164</v>
      </c>
      <c r="C264" s="25"/>
      <c r="D264" s="25"/>
      <c r="E264" s="25"/>
      <c r="F264" s="25"/>
      <c r="G264" s="25"/>
      <c r="H264" s="95"/>
      <c r="I264" s="95"/>
      <c r="J264" s="95"/>
      <c r="K264" s="95"/>
      <c r="L264" s="95"/>
      <c r="M264" s="95"/>
      <c r="N264" s="95"/>
      <c r="O264" s="95"/>
      <c r="P264" s="95"/>
      <c r="Q264" s="95"/>
      <c r="R264" s="54">
        <v>0</v>
      </c>
      <c r="S264" s="94">
        <v>0</v>
      </c>
      <c r="T264" s="53">
        <v>0</v>
      </c>
      <c r="U264" s="94">
        <v>0</v>
      </c>
      <c r="V264" s="25"/>
      <c r="W264" s="25"/>
      <c r="X264" s="5"/>
    </row>
    <row r="265" spans="1:24" ht="15.6" x14ac:dyDescent="0.3">
      <c r="A265" s="24"/>
      <c r="B265" s="54" t="s">
        <v>165</v>
      </c>
      <c r="C265" s="25"/>
      <c r="D265" s="25"/>
      <c r="E265" s="25"/>
      <c r="F265" s="25"/>
      <c r="G265" s="25"/>
      <c r="H265" s="95"/>
      <c r="I265" s="95"/>
      <c r="J265" s="95"/>
      <c r="K265" s="95"/>
      <c r="L265" s="95"/>
      <c r="M265" s="95"/>
      <c r="N265" s="95"/>
      <c r="O265" s="95"/>
      <c r="P265" s="95"/>
      <c r="Q265" s="95"/>
      <c r="R265" s="54">
        <v>0</v>
      </c>
      <c r="S265" s="94">
        <v>0</v>
      </c>
      <c r="T265" s="53">
        <v>0</v>
      </c>
      <c r="U265" s="94">
        <v>0</v>
      </c>
      <c r="V265" s="25"/>
      <c r="W265" s="25"/>
      <c r="X265" s="5"/>
    </row>
    <row r="266" spans="1:24" ht="15.6" x14ac:dyDescent="0.3">
      <c r="A266" s="24"/>
      <c r="B266" s="54"/>
      <c r="C266" s="25"/>
      <c r="D266" s="25"/>
      <c r="E266" s="25"/>
      <c r="F266" s="25"/>
      <c r="G266" s="25"/>
      <c r="H266" s="95"/>
      <c r="I266" s="95"/>
      <c r="J266" s="95"/>
      <c r="K266" s="95"/>
      <c r="L266" s="95"/>
      <c r="M266" s="95"/>
      <c r="N266" s="95"/>
      <c r="O266" s="95"/>
      <c r="P266" s="95"/>
      <c r="Q266" s="95"/>
      <c r="R266" s="54"/>
      <c r="S266" s="94"/>
      <c r="T266" s="53"/>
      <c r="U266" s="132"/>
      <c r="V266" s="25"/>
      <c r="W266" s="25"/>
      <c r="X266" s="5"/>
    </row>
    <row r="267" spans="1:24" ht="15.6" x14ac:dyDescent="0.3">
      <c r="A267" s="24"/>
      <c r="B267" s="25" t="s">
        <v>119</v>
      </c>
      <c r="C267" s="25"/>
      <c r="D267" s="25"/>
      <c r="E267" s="25"/>
      <c r="F267" s="25"/>
      <c r="G267" s="25"/>
      <c r="H267" s="95"/>
      <c r="I267" s="95"/>
      <c r="J267" s="95"/>
      <c r="K267" s="95"/>
      <c r="L267" s="95"/>
      <c r="M267" s="95"/>
      <c r="N267" s="95"/>
      <c r="O267" s="95"/>
      <c r="P267" s="95"/>
      <c r="Q267" s="95"/>
      <c r="R267" s="34">
        <f>SUM(R258:R265)</f>
        <v>0</v>
      </c>
      <c r="S267" s="132">
        <f>SUM(S258:S266)</f>
        <v>0</v>
      </c>
      <c r="T267" s="53">
        <f>SUM(T258:T265)</f>
        <v>0</v>
      </c>
      <c r="U267" s="132">
        <f>SUM(U258:U266)</f>
        <v>0</v>
      </c>
      <c r="V267" s="25"/>
      <c r="W267" s="25"/>
      <c r="X267" s="5"/>
    </row>
    <row r="268" spans="1:24" ht="15.6" x14ac:dyDescent="0.3">
      <c r="A268" s="24"/>
      <c r="B268" s="25"/>
      <c r="C268" s="25"/>
      <c r="D268" s="25"/>
      <c r="E268" s="25"/>
      <c r="F268" s="25"/>
      <c r="G268" s="25"/>
      <c r="H268" s="95"/>
      <c r="I268" s="95"/>
      <c r="J268" s="95"/>
      <c r="K268" s="95"/>
      <c r="L268" s="95"/>
      <c r="M268" s="95"/>
      <c r="N268" s="95"/>
      <c r="O268" s="95"/>
      <c r="P268" s="95"/>
      <c r="Q268" s="95"/>
      <c r="R268" s="34"/>
      <c r="S268" s="132"/>
      <c r="T268" s="53"/>
      <c r="U268" s="132"/>
      <c r="V268" s="25"/>
      <c r="W268" s="25"/>
      <c r="X268" s="5"/>
    </row>
    <row r="269" spans="1:24" ht="15.6" x14ac:dyDescent="0.3">
      <c r="A269" s="24"/>
      <c r="B269" s="142" t="s">
        <v>170</v>
      </c>
      <c r="C269" s="25"/>
      <c r="D269" s="25"/>
      <c r="E269" s="25"/>
      <c r="F269" s="25"/>
      <c r="G269" s="25"/>
      <c r="H269" s="95"/>
      <c r="I269" s="95"/>
      <c r="J269" s="95"/>
      <c r="K269" s="95"/>
      <c r="L269" s="95"/>
      <c r="M269" s="95"/>
      <c r="N269" s="95"/>
      <c r="O269" s="95"/>
      <c r="P269" s="95"/>
      <c r="Q269" s="95"/>
      <c r="R269" s="161">
        <f>R267+R255+R243</f>
        <v>7974</v>
      </c>
      <c r="S269" s="143"/>
      <c r="T269" s="144">
        <f>+T267+T255+T243</f>
        <v>1078766</v>
      </c>
      <c r="U269" s="143"/>
      <c r="V269" s="25"/>
      <c r="W269" s="25"/>
      <c r="X269" s="5"/>
    </row>
    <row r="270" spans="1:24" ht="15.6" x14ac:dyDescent="0.3">
      <c r="A270" s="24"/>
      <c r="B270" s="25"/>
      <c r="C270" s="25"/>
      <c r="D270" s="25"/>
      <c r="E270" s="25"/>
      <c r="F270" s="25"/>
      <c r="G270" s="25"/>
      <c r="H270" s="95"/>
      <c r="I270" s="95"/>
      <c r="J270" s="95"/>
      <c r="K270" s="95"/>
      <c r="L270" s="95"/>
      <c r="M270" s="95"/>
      <c r="N270" s="95"/>
      <c r="O270" s="95"/>
      <c r="P270" s="95"/>
      <c r="Q270" s="95"/>
      <c r="R270" s="95"/>
      <c r="S270" s="95"/>
      <c r="T270" s="53"/>
      <c r="U270" s="95"/>
      <c r="V270" s="25"/>
      <c r="W270" s="25"/>
      <c r="X270" s="5"/>
    </row>
    <row r="271" spans="1:24" ht="15.6" x14ac:dyDescent="0.3">
      <c r="A271" s="6"/>
      <c r="B271" s="8"/>
      <c r="C271" s="8"/>
      <c r="D271" s="8"/>
      <c r="E271" s="8"/>
      <c r="F271" s="8"/>
      <c r="G271" s="8"/>
      <c r="H271" s="96"/>
      <c r="I271" s="96"/>
      <c r="J271" s="96"/>
      <c r="K271" s="96"/>
      <c r="L271" s="96"/>
      <c r="M271" s="96"/>
      <c r="N271" s="96"/>
      <c r="O271" s="96"/>
      <c r="P271" s="96"/>
      <c r="Q271" s="96"/>
      <c r="R271" s="96"/>
      <c r="S271" s="96"/>
      <c r="T271" s="97"/>
      <c r="U271" s="96"/>
      <c r="V271" s="8"/>
      <c r="W271" s="8"/>
      <c r="X271" s="5"/>
    </row>
    <row r="272" spans="1:24" ht="15.6" x14ac:dyDescent="0.3">
      <c r="A272" s="167"/>
      <c r="B272" s="14" t="s">
        <v>93</v>
      </c>
      <c r="C272" s="15"/>
      <c r="D272" s="15"/>
      <c r="E272" s="15"/>
      <c r="F272" s="17" t="s">
        <v>99</v>
      </c>
      <c r="G272" s="15"/>
      <c r="H272" s="14" t="s">
        <v>101</v>
      </c>
      <c r="I272" s="162"/>
      <c r="J272" s="162"/>
      <c r="K272" s="162"/>
      <c r="L272" s="162"/>
      <c r="M272" s="162"/>
      <c r="N272" s="162"/>
      <c r="O272" s="162"/>
      <c r="P272" s="162"/>
      <c r="Q272" s="162"/>
      <c r="R272" s="162"/>
      <c r="S272" s="162"/>
      <c r="T272" s="162"/>
      <c r="U272" s="162"/>
      <c r="V272" s="162"/>
      <c r="W272" s="162"/>
      <c r="X272" s="5"/>
    </row>
    <row r="273" spans="1:24" ht="15.6" x14ac:dyDescent="0.3">
      <c r="A273" s="167"/>
      <c r="B273" s="162"/>
      <c r="C273" s="8"/>
      <c r="D273" s="8"/>
      <c r="E273" s="8"/>
      <c r="F273" s="8"/>
      <c r="G273" s="8"/>
      <c r="H273" s="8"/>
      <c r="I273" s="162"/>
      <c r="J273" s="162"/>
      <c r="K273" s="162"/>
      <c r="L273" s="162"/>
      <c r="M273" s="162"/>
      <c r="N273" s="162"/>
      <c r="O273" s="162"/>
      <c r="P273" s="162"/>
      <c r="Q273" s="162"/>
      <c r="R273" s="162"/>
      <c r="S273" s="162"/>
      <c r="T273" s="162"/>
      <c r="U273" s="162"/>
      <c r="V273" s="162"/>
      <c r="W273" s="162"/>
      <c r="X273" s="5"/>
    </row>
    <row r="274" spans="1:24" ht="15.6" x14ac:dyDescent="0.3">
      <c r="A274" s="167"/>
      <c r="B274" s="13" t="s">
        <v>94</v>
      </c>
      <c r="C274" s="13"/>
      <c r="D274" s="13"/>
      <c r="E274" s="13"/>
      <c r="F274" s="130" t="s">
        <v>153</v>
      </c>
      <c r="G274" s="13"/>
      <c r="H274" s="13" t="s">
        <v>157</v>
      </c>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277</v>
      </c>
      <c r="C275" s="13"/>
      <c r="D275" s="13"/>
      <c r="E275" s="13"/>
      <c r="F275" s="130" t="s">
        <v>278</v>
      </c>
      <c r="G275" s="13"/>
      <c r="H275" s="13" t="s">
        <v>279</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t="s">
        <v>95</v>
      </c>
      <c r="C276" s="13"/>
      <c r="D276" s="13"/>
      <c r="E276" s="13"/>
      <c r="F276" s="130" t="s">
        <v>152</v>
      </c>
      <c r="G276" s="13"/>
      <c r="H276" s="13" t="s">
        <v>158</v>
      </c>
      <c r="I276" s="162"/>
      <c r="J276" s="162"/>
      <c r="K276" s="162"/>
      <c r="L276" s="162"/>
      <c r="M276" s="162"/>
      <c r="N276" s="162"/>
      <c r="O276" s="162"/>
      <c r="P276" s="162"/>
      <c r="Q276" s="162"/>
      <c r="R276" s="162"/>
      <c r="S276" s="162"/>
      <c r="T276" s="162"/>
      <c r="U276" s="162"/>
      <c r="V276" s="162"/>
      <c r="W276" s="162"/>
      <c r="X276" s="5"/>
    </row>
    <row r="277" spans="1:24" ht="15.6" x14ac:dyDescent="0.3">
      <c r="A277" s="167"/>
      <c r="B277" s="13"/>
      <c r="C277" s="13"/>
      <c r="D277" s="13"/>
      <c r="E277" s="13"/>
      <c r="F277" s="13"/>
      <c r="G277" s="99"/>
      <c r="H277" s="162"/>
      <c r="I277" s="162"/>
      <c r="J277" s="162"/>
      <c r="K277" s="162"/>
      <c r="L277" s="162"/>
      <c r="M277" s="162"/>
      <c r="N277" s="162"/>
      <c r="O277" s="162"/>
      <c r="P277" s="162"/>
      <c r="Q277" s="162"/>
      <c r="R277" s="162"/>
      <c r="S277" s="162"/>
      <c r="T277" s="162"/>
      <c r="U277" s="162"/>
      <c r="V277" s="162"/>
      <c r="W277" s="162"/>
      <c r="X277" s="5"/>
    </row>
    <row r="278" spans="1:24" ht="18" thickBot="1" x14ac:dyDescent="0.35">
      <c r="A278" s="167"/>
      <c r="B278" s="49" t="str">
        <f>B195</f>
        <v>PM12 INVESTOR REPORT QUARTER ENDING JANUARY 2009</v>
      </c>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x14ac:dyDescent="0.25">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row>
  </sheetData>
  <phoneticPr fontId="0" type="noConversion"/>
  <hyperlinks>
    <hyperlink ref="P231" r:id="rId1" xr:uid="{00000000-0004-0000-0900-000000000000}"/>
    <hyperlink ref="I9" r:id="rId2" xr:uid="{00000000-0004-0000-09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6" max="14" man="1"/>
    <brk id="195" max="14"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9CB31"/>
  </sheetPr>
  <dimension ref="A1:Y279"/>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0.64249999999999996</v>
      </c>
      <c r="T16" s="17" t="s">
        <v>145</v>
      </c>
      <c r="U16" s="137">
        <v>0.35749999999999998</v>
      </c>
      <c r="V16" s="16"/>
      <c r="W16" s="15"/>
      <c r="X16" s="5"/>
    </row>
    <row r="17" spans="1:25"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5" ht="15.6" x14ac:dyDescent="0.3">
      <c r="A18" s="6"/>
      <c r="B18" s="14" t="s">
        <v>5</v>
      </c>
      <c r="C18" s="15"/>
      <c r="D18" s="15"/>
      <c r="E18" s="15"/>
      <c r="F18" s="15"/>
      <c r="G18" s="15"/>
      <c r="H18" s="15"/>
      <c r="I18" s="15"/>
      <c r="J18" s="15"/>
      <c r="K18" s="15"/>
      <c r="L18" s="15"/>
      <c r="M18" s="15"/>
      <c r="N18" s="15"/>
      <c r="O18" s="15"/>
      <c r="P18" s="15"/>
      <c r="Q18" s="15"/>
      <c r="R18" s="15"/>
      <c r="S18" s="15"/>
      <c r="T18" s="15"/>
      <c r="U18" s="15"/>
      <c r="V18" s="19">
        <v>39955</v>
      </c>
      <c r="W18" s="15"/>
      <c r="X18" s="5"/>
      <c r="Y18" s="170"/>
    </row>
    <row r="19" spans="1:25"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5"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5"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5"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5"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5"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5"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5"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5"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5"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5"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5"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5"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5" ht="15.6" x14ac:dyDescent="0.3">
      <c r="A32" s="24"/>
      <c r="B32" s="25" t="s">
        <v>137</v>
      </c>
      <c r="C32" s="32"/>
      <c r="D32" s="146">
        <f>D31*D38</f>
        <v>1013052.6</v>
      </c>
      <c r="E32" s="32"/>
      <c r="F32" s="31">
        <f>F31*F38</f>
        <v>97928.475999999995</v>
      </c>
      <c r="G32" s="31"/>
      <c r="H32" s="124">
        <f>H31*H38</f>
        <v>165465.356</v>
      </c>
      <c r="I32" s="124"/>
      <c r="J32" s="146">
        <f>J31*J38</f>
        <v>210039.5724</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1001881.5</v>
      </c>
      <c r="E33" s="36"/>
      <c r="F33" s="35">
        <f>F37*F31</f>
        <v>96848.603000000003</v>
      </c>
      <c r="G33" s="35"/>
      <c r="H33" s="125">
        <f>H31*H37</f>
        <v>163640.74299999999</v>
      </c>
      <c r="I33" s="125"/>
      <c r="J33" s="151">
        <f>J37*J31</f>
        <v>207723.43099999998</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550571.80094280001</v>
      </c>
      <c r="E35" s="32"/>
      <c r="F35" s="31">
        <f>F34*F38</f>
        <v>97928.475999999995</v>
      </c>
      <c r="G35" s="31"/>
      <c r="H35" s="31">
        <f>H34*H38</f>
        <v>114114.3646608</v>
      </c>
      <c r="I35" s="31"/>
      <c r="J35" s="31">
        <f>J34*J38</f>
        <v>114152.1177048</v>
      </c>
      <c r="K35" s="31"/>
      <c r="L35" s="31">
        <f>+L34</f>
        <v>25000</v>
      </c>
      <c r="M35" s="31"/>
      <c r="N35" s="31">
        <f>+N34</f>
        <v>86897</v>
      </c>
      <c r="O35" s="31"/>
      <c r="P35" s="31">
        <f>+P34</f>
        <v>17000</v>
      </c>
      <c r="Q35" s="31"/>
      <c r="R35" s="31">
        <f>+R34</f>
        <v>73103</v>
      </c>
      <c r="S35" s="31"/>
      <c r="T35" s="31"/>
      <c r="U35" s="164"/>
      <c r="V35" s="154">
        <f>SUM(C35:R35)-1</f>
        <v>1078765.7593084001</v>
      </c>
      <c r="W35" s="34"/>
      <c r="X35" s="5"/>
    </row>
    <row r="36" spans="1:24" ht="15.6" x14ac:dyDescent="0.3">
      <c r="A36" s="28"/>
      <c r="B36" s="29" t="s">
        <v>295</v>
      </c>
      <c r="C36" s="126"/>
      <c r="D36" s="35">
        <f>D34*D37</f>
        <v>544500.55385699996</v>
      </c>
      <c r="E36" s="36"/>
      <c r="F36" s="35">
        <f>F34*F37</f>
        <v>96848.603000000003</v>
      </c>
      <c r="G36" s="35"/>
      <c r="H36" s="35">
        <f>H34*H37</f>
        <v>112856.00727240001</v>
      </c>
      <c r="I36" s="35"/>
      <c r="J36" s="35">
        <f>J34*J37</f>
        <v>112893.34326199999</v>
      </c>
      <c r="K36" s="35"/>
      <c r="L36" s="35">
        <f>+L34</f>
        <v>25000</v>
      </c>
      <c r="M36" s="35"/>
      <c r="N36" s="35">
        <f>+N34</f>
        <v>86897</v>
      </c>
      <c r="O36" s="35"/>
      <c r="P36" s="35">
        <f>+P34</f>
        <v>17000</v>
      </c>
      <c r="Q36" s="35"/>
      <c r="R36" s="35">
        <f>+R34</f>
        <v>73103</v>
      </c>
      <c r="S36" s="128"/>
      <c r="T36" s="128"/>
      <c r="U36" s="164"/>
      <c r="V36" s="155">
        <f>SUM(C36:R36)-1</f>
        <v>1069097.5073913999</v>
      </c>
      <c r="W36" s="34"/>
      <c r="X36" s="5"/>
    </row>
    <row r="37" spans="1:24" ht="15.6" x14ac:dyDescent="0.3">
      <c r="A37" s="24"/>
      <c r="B37" s="122" t="s">
        <v>135</v>
      </c>
      <c r="C37" s="25"/>
      <c r="D37" s="168">
        <v>0.66792099999999999</v>
      </c>
      <c r="E37" s="169"/>
      <c r="F37" s="168">
        <v>0.6679214</v>
      </c>
      <c r="G37" s="168"/>
      <c r="H37" s="168">
        <v>0.6679214</v>
      </c>
      <c r="I37" s="168"/>
      <c r="J37" s="168">
        <v>0.66792099999999999</v>
      </c>
      <c r="K37" s="168"/>
      <c r="L37" s="168">
        <v>1</v>
      </c>
      <c r="M37" s="168"/>
      <c r="N37" s="168">
        <v>1</v>
      </c>
      <c r="O37" s="168"/>
      <c r="P37" s="168">
        <v>1</v>
      </c>
      <c r="Q37" s="168"/>
      <c r="R37" s="168">
        <v>1</v>
      </c>
      <c r="S37" s="30"/>
      <c r="T37" s="30"/>
      <c r="U37" s="163"/>
      <c r="V37" s="163"/>
      <c r="W37" s="25"/>
      <c r="X37" s="5"/>
    </row>
    <row r="38" spans="1:24" ht="15.6" x14ac:dyDescent="0.3">
      <c r="A38" s="24"/>
      <c r="B38" s="122" t="s">
        <v>136</v>
      </c>
      <c r="C38" s="25"/>
      <c r="D38" s="168">
        <v>0.67536839999999998</v>
      </c>
      <c r="E38" s="169"/>
      <c r="F38" s="168">
        <v>0.67536879999999999</v>
      </c>
      <c r="G38" s="168"/>
      <c r="H38" s="168">
        <v>0.67536879999999999</v>
      </c>
      <c r="I38" s="168"/>
      <c r="J38" s="168">
        <v>0.67536839999999998</v>
      </c>
      <c r="K38" s="168"/>
      <c r="L38" s="168">
        <v>1</v>
      </c>
      <c r="M38" s="168"/>
      <c r="N38" s="168">
        <v>1</v>
      </c>
      <c r="O38" s="168"/>
      <c r="P38" s="168">
        <v>1</v>
      </c>
      <c r="Q38" s="168"/>
      <c r="R38" s="168">
        <v>1</v>
      </c>
      <c r="S38" s="39"/>
      <c r="T38" s="38"/>
      <c r="U38" s="163"/>
      <c r="V38" s="39"/>
      <c r="W38" s="25"/>
      <c r="X38" s="5"/>
    </row>
    <row r="39" spans="1:24" ht="15.6" x14ac:dyDescent="0.3">
      <c r="A39" s="24"/>
      <c r="B39" s="25" t="s">
        <v>11</v>
      </c>
      <c r="C39" s="25"/>
      <c r="D39" s="30" t="s">
        <v>235</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5.7124999999999997E-3</v>
      </c>
      <c r="E40" s="25"/>
      <c r="F40" s="38">
        <v>2.1825000000000001E-2</v>
      </c>
      <c r="G40" s="39"/>
      <c r="H40" s="38">
        <v>2.0629999999999999E-2</v>
      </c>
      <c r="I40" s="38"/>
      <c r="J40" s="38">
        <v>1.3475000000000001E-2</v>
      </c>
      <c r="K40" s="39"/>
      <c r="L40" s="38">
        <v>2.3025E-2</v>
      </c>
      <c r="M40" s="39"/>
      <c r="N40" s="38">
        <v>2.1829999999999999E-2</v>
      </c>
      <c r="O40" s="39"/>
      <c r="P40" s="38">
        <v>2.5225000000000001E-2</v>
      </c>
      <c r="Q40" s="39"/>
      <c r="R40" s="38">
        <v>2.4029999999999999E-2</v>
      </c>
      <c r="S40" s="39"/>
      <c r="T40" s="38"/>
      <c r="U40" s="163"/>
      <c r="V40" s="30"/>
      <c r="W40" s="25"/>
      <c r="X40" s="5"/>
    </row>
    <row r="41" spans="1:24" ht="15.6" x14ac:dyDescent="0.3">
      <c r="A41" s="24"/>
      <c r="B41" s="25" t="s">
        <v>13</v>
      </c>
      <c r="C41" s="25"/>
      <c r="D41" s="38">
        <v>4.5313000000000003E-3</v>
      </c>
      <c r="E41" s="25"/>
      <c r="F41" s="38">
        <v>4.2687500000000003E-2</v>
      </c>
      <c r="G41" s="39"/>
      <c r="H41" s="38">
        <v>4.3650000000000001E-2</v>
      </c>
      <c r="I41" s="38"/>
      <c r="J41" s="38">
        <v>2.25875E-2</v>
      </c>
      <c r="K41" s="39"/>
      <c r="L41" s="38">
        <v>4.3887500000000003E-2</v>
      </c>
      <c r="M41" s="39"/>
      <c r="N41" s="38">
        <v>4.4850000000000001E-2</v>
      </c>
      <c r="O41" s="39"/>
      <c r="P41" s="38">
        <v>4.6087500000000003E-2</v>
      </c>
      <c r="Q41" s="39"/>
      <c r="R41" s="38">
        <v>4.7050000000000002E-2</v>
      </c>
      <c r="S41" s="39"/>
      <c r="T41" s="38"/>
      <c r="U41" s="163"/>
      <c r="V41" s="39" t="s">
        <v>199</v>
      </c>
      <c r="W41" s="25"/>
      <c r="X41" s="5"/>
    </row>
    <row r="42" spans="1:24" ht="15.6" x14ac:dyDescent="0.3">
      <c r="A42" s="24"/>
      <c r="B42" s="25" t="s">
        <v>296</v>
      </c>
      <c r="C42" s="25"/>
      <c r="D42" s="30" t="s">
        <v>286</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2.2028300000000001E-2</v>
      </c>
      <c r="E43" s="38"/>
      <c r="F43" s="38">
        <f>+F40</f>
        <v>2.1825000000000001E-2</v>
      </c>
      <c r="G43" s="38"/>
      <c r="H43" s="38">
        <v>2.1786E-2</v>
      </c>
      <c r="I43" s="38"/>
      <c r="J43" s="38">
        <v>2.1906999999999999E-2</v>
      </c>
      <c r="K43" s="38"/>
      <c r="L43" s="38">
        <f>+L40</f>
        <v>2.3025E-2</v>
      </c>
      <c r="M43" s="38"/>
      <c r="N43" s="38">
        <v>2.3126000000000001E-2</v>
      </c>
      <c r="O43" s="38"/>
      <c r="P43" s="38">
        <f>+P40</f>
        <v>2.5225000000000001E-2</v>
      </c>
      <c r="Q43" s="39"/>
      <c r="R43" s="38">
        <v>2.5461000000000001E-2</v>
      </c>
      <c r="S43" s="30"/>
      <c r="T43" s="30"/>
      <c r="U43" s="163"/>
      <c r="V43" s="39">
        <f>SUMPRODUCT(D43:R43,D35:R35)/V35</f>
        <v>2.2365913155174472E-2</v>
      </c>
      <c r="W43" s="25"/>
      <c r="X43" s="5"/>
    </row>
    <row r="44" spans="1:24" ht="15.6" x14ac:dyDescent="0.3">
      <c r="A44" s="24"/>
      <c r="B44" s="25" t="s">
        <v>298</v>
      </c>
      <c r="C44" s="110"/>
      <c r="D44" s="38">
        <v>4.28908E-2</v>
      </c>
      <c r="E44" s="38"/>
      <c r="F44" s="38">
        <f>+F41</f>
        <v>4.2687500000000003E-2</v>
      </c>
      <c r="G44" s="38"/>
      <c r="H44" s="38">
        <v>4.2648499999999999E-2</v>
      </c>
      <c r="I44" s="38"/>
      <c r="J44" s="38">
        <v>4.2769500000000002E-2</v>
      </c>
      <c r="K44" s="38"/>
      <c r="L44" s="38">
        <f>+L41</f>
        <v>4.3887500000000003E-2</v>
      </c>
      <c r="M44" s="38"/>
      <c r="N44" s="38">
        <v>4.39885E-2</v>
      </c>
      <c r="O44" s="38"/>
      <c r="P44" s="38">
        <f>+P41</f>
        <v>4.6087500000000003E-2</v>
      </c>
      <c r="Q44" s="39"/>
      <c r="R44" s="38">
        <v>4.6323499999999997E-2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0.23296084386963331</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39948</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92</v>
      </c>
      <c r="S57" s="25"/>
      <c r="T57" s="45">
        <v>39769</v>
      </c>
      <c r="U57" s="46"/>
      <c r="V57" s="45">
        <v>39860</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87</v>
      </c>
      <c r="S58" s="25"/>
      <c r="T58" s="45">
        <v>39861</v>
      </c>
      <c r="U58" s="46"/>
      <c r="V58" s="45">
        <v>39947</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39934</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289</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1078766</v>
      </c>
      <c r="O69" s="34"/>
      <c r="P69" s="34">
        <f>9668+1198+146</f>
        <v>11012</v>
      </c>
      <c r="Q69" s="34"/>
      <c r="R69" s="34">
        <f>1198+146</f>
        <v>1344</v>
      </c>
      <c r="S69" s="34"/>
      <c r="T69" s="34">
        <v>0</v>
      </c>
      <c r="U69" s="34"/>
      <c r="V69" s="53">
        <f>+N69-P69+R69-T69</f>
        <v>1069098</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1078766</v>
      </c>
      <c r="O72" s="34"/>
      <c r="P72" s="34">
        <f>SUM(P69:P71)</f>
        <v>11012</v>
      </c>
      <c r="Q72" s="34"/>
      <c r="R72" s="34">
        <f>SUM(R69:R71)</f>
        <v>1344</v>
      </c>
      <c r="S72" s="34"/>
      <c r="T72" s="34">
        <f>SUM(T69:T71)</f>
        <v>0</v>
      </c>
      <c r="U72" s="34"/>
      <c r="V72" s="54">
        <f>SUM(V69:V71)</f>
        <v>1069098</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1078766</v>
      </c>
      <c r="O85" s="34"/>
      <c r="P85" s="34"/>
      <c r="Q85" s="34"/>
      <c r="R85" s="34"/>
      <c r="S85" s="34"/>
      <c r="T85" s="54"/>
      <c r="U85" s="34"/>
      <c r="V85" s="54">
        <f>SUM(V72:V84)</f>
        <v>1069098</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+T196</f>
        <v>39933</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11012-319</f>
        <v>10693</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8295+5412-780-932+64+19-16</f>
        <v>12062</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20+115</f>
        <v>135</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421</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v>0</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573</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10693</v>
      </c>
      <c r="U97" s="25"/>
      <c r="V97" s="54">
        <f>SUM(V89:V96)</f>
        <v>13191</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-31</v>
      </c>
      <c r="U98" s="25"/>
      <c r="V98" s="54">
        <v>31</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282</v>
      </c>
      <c r="C100" s="25"/>
      <c r="D100" s="25"/>
      <c r="E100" s="25"/>
      <c r="F100" s="25"/>
      <c r="G100" s="25"/>
      <c r="H100" s="25"/>
      <c r="I100" s="25"/>
      <c r="J100" s="25"/>
      <c r="K100" s="25"/>
      <c r="L100" s="25"/>
      <c r="M100" s="25"/>
      <c r="N100" s="25"/>
      <c r="O100" s="25"/>
      <c r="P100" s="25"/>
      <c r="Q100" s="25"/>
      <c r="R100" s="25"/>
      <c r="S100" s="25"/>
      <c r="T100" s="34"/>
      <c r="U100" s="25"/>
      <c r="V100" s="53">
        <v>-240</v>
      </c>
      <c r="W100" s="25"/>
      <c r="X100" s="5"/>
    </row>
    <row r="101" spans="1:25"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10662</v>
      </c>
      <c r="U101" s="25"/>
      <c r="V101" s="54">
        <f>V97+V99+V98+V100</f>
        <v>12982</v>
      </c>
      <c r="W101" s="25"/>
      <c r="X101" s="5"/>
    </row>
    <row r="102" spans="1:25"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5"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5" ht="15.6" x14ac:dyDescent="0.3">
      <c r="A104" s="24">
        <f>+A103+1</f>
        <v>2</v>
      </c>
      <c r="B104" s="25" t="s">
        <v>259</v>
      </c>
      <c r="C104" s="25"/>
      <c r="D104" s="25"/>
      <c r="E104" s="25"/>
      <c r="F104" s="25"/>
      <c r="G104" s="25"/>
      <c r="H104" s="25"/>
      <c r="I104" s="25"/>
      <c r="J104" s="25"/>
      <c r="K104" s="25"/>
      <c r="L104" s="25"/>
      <c r="M104" s="25"/>
      <c r="N104" s="25"/>
      <c r="O104" s="25"/>
      <c r="P104" s="25"/>
      <c r="Q104" s="25"/>
      <c r="R104" s="25"/>
      <c r="S104" s="25"/>
      <c r="T104" s="25"/>
      <c r="U104" s="25"/>
      <c r="V104" s="53">
        <v>-2</v>
      </c>
      <c r="W104" s="25"/>
      <c r="X104" s="5"/>
    </row>
    <row r="105" spans="1:25" ht="15.6" x14ac:dyDescent="0.3">
      <c r="A105" s="24">
        <f>+A104+1</f>
        <v>3</v>
      </c>
      <c r="B105" s="25" t="s">
        <v>210</v>
      </c>
      <c r="C105" s="25"/>
      <c r="D105" s="25"/>
      <c r="E105" s="25"/>
      <c r="F105" s="25"/>
      <c r="G105" s="25"/>
      <c r="H105" s="25"/>
      <c r="I105" s="25"/>
      <c r="J105" s="25"/>
      <c r="K105" s="25"/>
      <c r="L105" s="25"/>
      <c r="M105" s="25"/>
      <c r="N105" s="25"/>
      <c r="O105" s="25"/>
      <c r="P105" s="25"/>
      <c r="Q105" s="25"/>
      <c r="R105" s="25"/>
      <c r="S105" s="25"/>
      <c r="T105" s="25"/>
      <c r="U105" s="25"/>
      <c r="V105" s="53">
        <f>-396-216-12</f>
        <v>-624</v>
      </c>
      <c r="W105" s="25"/>
      <c r="X105" s="5"/>
    </row>
    <row r="106" spans="1:25" ht="15.6" x14ac:dyDescent="0.3">
      <c r="A106" s="24" t="s">
        <v>132</v>
      </c>
      <c r="B106" s="25" t="s">
        <v>121</v>
      </c>
      <c r="C106" s="25"/>
      <c r="D106" s="25"/>
      <c r="E106" s="25"/>
      <c r="F106" s="25"/>
      <c r="G106" s="25"/>
      <c r="H106" s="25"/>
      <c r="I106" s="25"/>
      <c r="J106" s="25"/>
      <c r="K106" s="25"/>
      <c r="L106" s="25"/>
      <c r="M106" s="25"/>
      <c r="N106" s="25"/>
      <c r="O106" s="25"/>
      <c r="P106" s="25"/>
      <c r="Q106" s="25"/>
      <c r="R106" s="25"/>
      <c r="S106" s="25"/>
      <c r="T106" s="25"/>
      <c r="U106" s="25"/>
      <c r="V106" s="53">
        <v>-3982</v>
      </c>
      <c r="W106" s="25"/>
      <c r="X106" s="5"/>
    </row>
    <row r="107" spans="1:25" ht="15.6" x14ac:dyDescent="0.3">
      <c r="A107" s="24" t="s">
        <v>133</v>
      </c>
      <c r="B107" s="25" t="s">
        <v>256</v>
      </c>
      <c r="C107" s="25"/>
      <c r="D107" s="25"/>
      <c r="E107" s="25"/>
      <c r="F107" s="25"/>
      <c r="G107" s="25"/>
      <c r="H107" s="25"/>
      <c r="I107" s="25"/>
      <c r="J107" s="25"/>
      <c r="K107" s="25"/>
      <c r="L107" s="25"/>
      <c r="M107" s="25"/>
      <c r="N107" s="25"/>
      <c r="O107" s="25"/>
      <c r="P107" s="25"/>
      <c r="Q107" s="25"/>
      <c r="R107" s="25"/>
      <c r="S107" s="25"/>
      <c r="T107" s="25"/>
      <c r="U107" s="25"/>
      <c r="V107" s="53">
        <f>-4589+509</f>
        <v>-4080</v>
      </c>
      <c r="W107" s="25"/>
      <c r="X107" s="171"/>
      <c r="Y107" s="109"/>
    </row>
    <row r="108" spans="1:25" ht="15.6" x14ac:dyDescent="0.3">
      <c r="A108" s="24" t="s">
        <v>155</v>
      </c>
      <c r="B108" s="25" t="s">
        <v>190</v>
      </c>
      <c r="C108" s="25"/>
      <c r="D108" s="25"/>
      <c r="E108" s="25"/>
      <c r="F108" s="25"/>
      <c r="G108" s="25"/>
      <c r="H108" s="25"/>
      <c r="I108" s="25"/>
      <c r="J108" s="25"/>
      <c r="K108" s="25"/>
      <c r="L108" s="25"/>
      <c r="M108" s="25"/>
      <c r="N108" s="25"/>
      <c r="O108" s="25"/>
      <c r="P108" s="25"/>
      <c r="Q108" s="25"/>
      <c r="R108" s="25"/>
      <c r="S108" s="25"/>
      <c r="T108" s="25"/>
      <c r="U108" s="25"/>
      <c r="V108" s="53">
        <v>-509</v>
      </c>
      <c r="W108" s="25"/>
      <c r="X108" s="5"/>
      <c r="Y108" s="109"/>
    </row>
    <row r="109" spans="1:25" ht="15.6" x14ac:dyDescent="0.3">
      <c r="A109" s="24" t="s">
        <v>211</v>
      </c>
      <c r="B109" s="25" t="s">
        <v>191</v>
      </c>
      <c r="C109" s="25"/>
      <c r="D109" s="25"/>
      <c r="E109" s="25"/>
      <c r="F109" s="25"/>
      <c r="G109" s="25"/>
      <c r="H109" s="25"/>
      <c r="I109" s="25"/>
      <c r="J109" s="25"/>
      <c r="K109" s="25"/>
      <c r="L109" s="25"/>
      <c r="M109" s="25"/>
      <c r="N109" s="25"/>
      <c r="O109" s="25"/>
      <c r="P109" s="25"/>
      <c r="Q109" s="25"/>
      <c r="R109" s="25"/>
      <c r="S109" s="25"/>
      <c r="T109" s="25"/>
      <c r="U109" s="25"/>
      <c r="V109" s="53">
        <v>-479</v>
      </c>
      <c r="W109" s="25"/>
      <c r="X109" s="5"/>
      <c r="Y109" s="109"/>
    </row>
    <row r="110" spans="1:25" ht="15.6" x14ac:dyDescent="0.3">
      <c r="A110" s="24" t="s">
        <v>212</v>
      </c>
      <c r="B110" s="25" t="s">
        <v>192</v>
      </c>
      <c r="C110" s="25"/>
      <c r="D110" s="25"/>
      <c r="E110" s="25"/>
      <c r="F110" s="25"/>
      <c r="G110" s="25"/>
      <c r="H110" s="25"/>
      <c r="I110" s="25"/>
      <c r="J110" s="25"/>
      <c r="K110" s="25"/>
      <c r="L110" s="25"/>
      <c r="M110" s="25"/>
      <c r="N110" s="25"/>
      <c r="O110" s="25"/>
      <c r="P110" s="25"/>
      <c r="Q110" s="25"/>
      <c r="R110" s="25"/>
      <c r="S110" s="25"/>
      <c r="T110" s="25"/>
      <c r="U110" s="25"/>
      <c r="V110" s="53">
        <f>-616+479</f>
        <v>-137</v>
      </c>
      <c r="W110" s="25"/>
      <c r="X110" s="5"/>
      <c r="Y110" s="109"/>
    </row>
    <row r="111" spans="1:25" ht="15.6" x14ac:dyDescent="0.3">
      <c r="A111" s="24" t="s">
        <v>213</v>
      </c>
      <c r="B111" s="25" t="s">
        <v>202</v>
      </c>
      <c r="C111" s="25"/>
      <c r="D111" s="25"/>
      <c r="E111" s="25"/>
      <c r="F111" s="25"/>
      <c r="G111" s="25"/>
      <c r="H111" s="25"/>
      <c r="I111" s="25"/>
      <c r="J111" s="25"/>
      <c r="K111" s="25"/>
      <c r="L111" s="25"/>
      <c r="M111" s="25"/>
      <c r="N111" s="25"/>
      <c r="O111" s="25"/>
      <c r="P111" s="25"/>
      <c r="Q111" s="25"/>
      <c r="R111" s="25"/>
      <c r="S111" s="25"/>
      <c r="T111" s="25"/>
      <c r="U111" s="25"/>
      <c r="V111" s="53">
        <v>-444</v>
      </c>
      <c r="W111" s="25"/>
      <c r="X111" s="5"/>
      <c r="Y111" s="109"/>
    </row>
    <row r="112" spans="1:25" ht="15.6" x14ac:dyDescent="0.3">
      <c r="A112" s="24" t="s">
        <v>258</v>
      </c>
      <c r="B112" s="25" t="s">
        <v>257</v>
      </c>
      <c r="C112" s="25"/>
      <c r="D112" s="25"/>
      <c r="E112" s="25"/>
      <c r="F112" s="25"/>
      <c r="G112" s="25"/>
      <c r="H112" s="25"/>
      <c r="I112" s="25"/>
      <c r="J112" s="25"/>
      <c r="K112" s="25"/>
      <c r="L112" s="25"/>
      <c r="M112" s="25"/>
      <c r="N112" s="25"/>
      <c r="O112" s="25"/>
      <c r="P112" s="25"/>
      <c r="Q112" s="25"/>
      <c r="R112" s="25"/>
      <c r="S112" s="25"/>
      <c r="T112" s="25"/>
      <c r="U112" s="25"/>
      <c r="V112" s="53">
        <f>-546+444</f>
        <v>-102</v>
      </c>
      <c r="W112" s="25"/>
      <c r="X112" s="5"/>
      <c r="Y112" s="109"/>
    </row>
    <row r="113" spans="1:24" ht="15.6" x14ac:dyDescent="0.3">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-10</v>
      </c>
      <c r="W113" s="25"/>
      <c r="X113" s="5"/>
    </row>
    <row r="114" spans="1:24" ht="15.6" x14ac:dyDescent="0.3">
      <c r="A114" s="24">
        <f t="shared" ref="A114:A119" si="0">+A113+1</f>
        <v>8</v>
      </c>
      <c r="B114" s="25" t="s">
        <v>46</v>
      </c>
      <c r="C114" s="25"/>
      <c r="D114" s="25"/>
      <c r="E114" s="25"/>
      <c r="F114" s="25"/>
      <c r="G114" s="25"/>
      <c r="H114" s="25"/>
      <c r="I114" s="25"/>
      <c r="J114" s="25"/>
      <c r="K114" s="25"/>
      <c r="L114" s="25"/>
      <c r="M114" s="25"/>
      <c r="N114" s="25"/>
      <c r="O114" s="25"/>
      <c r="P114" s="25"/>
      <c r="Q114" s="25"/>
      <c r="R114" s="25"/>
      <c r="S114" s="25"/>
      <c r="T114" s="34">
        <f>-V114</f>
        <v>319</v>
      </c>
      <c r="U114" s="25"/>
      <c r="V114" s="53">
        <v>-319</v>
      </c>
      <c r="W114" s="25"/>
      <c r="X114" s="5"/>
    </row>
    <row r="115" spans="1:24" ht="15.6" x14ac:dyDescent="0.3">
      <c r="A115" s="24">
        <f t="shared" si="0"/>
        <v>9</v>
      </c>
      <c r="B115" s="25" t="s">
        <v>130</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10</v>
      </c>
      <c r="B116" s="25" t="s">
        <v>36</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11</v>
      </c>
      <c r="B117" s="25" t="s">
        <v>37</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6" x14ac:dyDescent="0.3">
      <c r="A118" s="24">
        <f t="shared" si="0"/>
        <v>12</v>
      </c>
      <c r="B118" s="25" t="s">
        <v>154</v>
      </c>
      <c r="C118" s="25"/>
      <c r="D118" s="25"/>
      <c r="E118" s="25"/>
      <c r="F118" s="25"/>
      <c r="G118" s="25"/>
      <c r="H118" s="25"/>
      <c r="I118" s="25"/>
      <c r="J118" s="25"/>
      <c r="K118" s="25"/>
      <c r="L118" s="25"/>
      <c r="M118" s="25"/>
      <c r="N118" s="25"/>
      <c r="O118" s="25"/>
      <c r="P118" s="25"/>
      <c r="Q118" s="25"/>
      <c r="R118" s="25"/>
      <c r="S118" s="25"/>
      <c r="T118" s="25"/>
      <c r="U118" s="25"/>
      <c r="V118" s="53">
        <v>-395</v>
      </c>
      <c r="W118" s="25"/>
      <c r="X118" s="5"/>
    </row>
    <row r="119" spans="1:24" ht="15.6" x14ac:dyDescent="0.3">
      <c r="A119" s="24">
        <f t="shared" si="0"/>
        <v>13</v>
      </c>
      <c r="B119" s="25" t="s">
        <v>131</v>
      </c>
      <c r="C119" s="25"/>
      <c r="D119" s="25"/>
      <c r="E119" s="25"/>
      <c r="F119" s="25"/>
      <c r="G119" s="25"/>
      <c r="H119" s="25"/>
      <c r="I119" s="25"/>
      <c r="J119" s="25"/>
      <c r="K119" s="25"/>
      <c r="L119" s="25"/>
      <c r="M119" s="25"/>
      <c r="N119" s="25"/>
      <c r="O119" s="25"/>
      <c r="P119" s="25"/>
      <c r="Q119" s="25"/>
      <c r="R119" s="25"/>
      <c r="S119" s="25"/>
      <c r="T119" s="25"/>
      <c r="U119" s="25"/>
      <c r="V119" s="53">
        <f>-V101-SUM(V103:V118)</f>
        <v>-1899</v>
      </c>
      <c r="W119" s="25"/>
      <c r="X119" s="5"/>
    </row>
    <row r="120" spans="1:24" ht="15.6" x14ac:dyDescent="0.3">
      <c r="A120" s="24"/>
      <c r="B120" s="118" t="s">
        <v>38</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6" x14ac:dyDescent="0.3">
      <c r="A121" s="24"/>
      <c r="B121" s="25" t="s">
        <v>179</v>
      </c>
      <c r="C121" s="25"/>
      <c r="D121" s="25"/>
      <c r="E121" s="25"/>
      <c r="F121" s="25"/>
      <c r="G121" s="25"/>
      <c r="H121" s="25"/>
      <c r="I121" s="25"/>
      <c r="J121" s="25"/>
      <c r="K121" s="25"/>
      <c r="L121" s="25"/>
      <c r="M121" s="25"/>
      <c r="N121" s="25"/>
      <c r="O121" s="25"/>
      <c r="P121" s="25"/>
      <c r="Q121" s="25"/>
      <c r="R121" s="25"/>
      <c r="S121" s="25"/>
      <c r="T121" s="34">
        <f>-T180</f>
        <v>-2</v>
      </c>
      <c r="U121" s="34"/>
      <c r="V121" s="53"/>
      <c r="W121" s="25"/>
      <c r="X121" s="5"/>
    </row>
    <row r="122" spans="1:24" ht="15.6" x14ac:dyDescent="0.3">
      <c r="A122" s="24"/>
      <c r="B122" s="25" t="s">
        <v>180</v>
      </c>
      <c r="C122" s="25"/>
      <c r="D122" s="25"/>
      <c r="E122" s="25"/>
      <c r="F122" s="25"/>
      <c r="G122" s="25"/>
      <c r="H122" s="25"/>
      <c r="I122" s="25"/>
      <c r="J122" s="25"/>
      <c r="K122" s="25"/>
      <c r="L122" s="25"/>
      <c r="M122" s="25"/>
      <c r="N122" s="25"/>
      <c r="O122" s="25"/>
      <c r="P122" s="25"/>
      <c r="Q122" s="25"/>
      <c r="R122" s="25"/>
      <c r="S122" s="25"/>
      <c r="T122" s="34">
        <v>0</v>
      </c>
      <c r="U122" s="34"/>
      <c r="V122" s="53"/>
      <c r="W122" s="25"/>
      <c r="X122" s="5"/>
    </row>
    <row r="123" spans="1:24" ht="15.6" x14ac:dyDescent="0.3">
      <c r="A123" s="24"/>
      <c r="B123" s="25" t="s">
        <v>39</v>
      </c>
      <c r="C123" s="25"/>
      <c r="D123" s="25"/>
      <c r="E123" s="25"/>
      <c r="F123" s="25"/>
      <c r="G123" s="25"/>
      <c r="H123" s="25"/>
      <c r="I123" s="25"/>
      <c r="J123" s="25"/>
      <c r="K123" s="25"/>
      <c r="L123" s="25"/>
      <c r="M123" s="25"/>
      <c r="N123" s="25"/>
      <c r="O123" s="25"/>
      <c r="P123" s="25"/>
      <c r="Q123" s="25"/>
      <c r="R123" s="25"/>
      <c r="S123" s="25"/>
      <c r="T123" s="34">
        <f>-S180</f>
        <v>-1311</v>
      </c>
      <c r="U123" s="34"/>
      <c r="V123" s="53"/>
      <c r="W123" s="25"/>
      <c r="X123" s="5"/>
    </row>
    <row r="124" spans="1:24" ht="15.6" x14ac:dyDescent="0.3">
      <c r="A124" s="24"/>
      <c r="B124" s="25" t="s">
        <v>203</v>
      </c>
      <c r="C124" s="25"/>
      <c r="D124" s="25"/>
      <c r="E124" s="25"/>
      <c r="F124" s="25"/>
      <c r="G124" s="25"/>
      <c r="H124" s="25"/>
      <c r="I124" s="25"/>
      <c r="J124" s="25"/>
      <c r="K124" s="25"/>
      <c r="L124" s="25"/>
      <c r="M124" s="25"/>
      <c r="N124" s="25"/>
      <c r="O124" s="25"/>
      <c r="P124" s="25"/>
      <c r="Q124" s="25"/>
      <c r="R124" s="25"/>
      <c r="S124" s="25"/>
      <c r="T124" s="34">
        <v>-6071</v>
      </c>
      <c r="U124" s="34"/>
      <c r="V124" s="53"/>
      <c r="W124" s="25"/>
      <c r="X124" s="5"/>
    </row>
    <row r="125" spans="1:24" ht="15.6" x14ac:dyDescent="0.3">
      <c r="A125" s="24"/>
      <c r="B125" s="25" t="s">
        <v>201</v>
      </c>
      <c r="C125" s="25"/>
      <c r="D125" s="25"/>
      <c r="E125" s="25"/>
      <c r="F125" s="25"/>
      <c r="G125" s="25"/>
      <c r="H125" s="25"/>
      <c r="I125" s="25"/>
      <c r="J125" s="25"/>
      <c r="K125" s="25"/>
      <c r="L125" s="25"/>
      <c r="M125" s="25"/>
      <c r="N125" s="25"/>
      <c r="O125" s="25"/>
      <c r="P125" s="25"/>
      <c r="Q125" s="25"/>
      <c r="R125" s="25"/>
      <c r="S125" s="25"/>
      <c r="T125" s="34">
        <v>-1080</v>
      </c>
      <c r="U125" s="34"/>
      <c r="V125" s="53"/>
      <c r="W125" s="25"/>
      <c r="X125" s="5"/>
    </row>
    <row r="126" spans="1:24" ht="15.6" x14ac:dyDescent="0.3">
      <c r="A126" s="24"/>
      <c r="B126" s="25" t="s">
        <v>200</v>
      </c>
      <c r="C126" s="25"/>
      <c r="D126" s="25"/>
      <c r="E126" s="25"/>
      <c r="F126" s="25"/>
      <c r="G126" s="25"/>
      <c r="H126" s="25"/>
      <c r="I126" s="25"/>
      <c r="J126" s="25"/>
      <c r="K126" s="25"/>
      <c r="L126" s="25"/>
      <c r="M126" s="25"/>
      <c r="N126" s="25"/>
      <c r="O126" s="25"/>
      <c r="P126" s="25"/>
      <c r="Q126" s="25"/>
      <c r="R126" s="25"/>
      <c r="S126" s="25"/>
      <c r="T126" s="34">
        <v>-1258</v>
      </c>
      <c r="U126" s="34"/>
      <c r="V126" s="53"/>
      <c r="W126" s="25"/>
      <c r="X126" s="5"/>
    </row>
    <row r="127" spans="1:24" ht="15.6" x14ac:dyDescent="0.3">
      <c r="A127" s="24"/>
      <c r="B127" s="25" t="s">
        <v>260</v>
      </c>
      <c r="C127" s="25"/>
      <c r="D127" s="25"/>
      <c r="E127" s="25"/>
      <c r="F127" s="25"/>
      <c r="G127" s="25"/>
      <c r="H127" s="25"/>
      <c r="I127" s="25"/>
      <c r="J127" s="25"/>
      <c r="K127" s="25"/>
      <c r="L127" s="25"/>
      <c r="M127" s="25"/>
      <c r="N127" s="25"/>
      <c r="O127" s="25"/>
      <c r="P127" s="25"/>
      <c r="Q127" s="25"/>
      <c r="R127" s="25"/>
      <c r="S127" s="25"/>
      <c r="T127" s="34">
        <v>-1259</v>
      </c>
      <c r="U127" s="34"/>
      <c r="V127" s="53"/>
      <c r="W127" s="25"/>
      <c r="X127" s="5"/>
    </row>
    <row r="128" spans="1:24" ht="15.6" x14ac:dyDescent="0.3">
      <c r="A128" s="24"/>
      <c r="B128" s="25" t="s">
        <v>195</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261</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193</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40</v>
      </c>
      <c r="C132" s="25"/>
      <c r="D132" s="25"/>
      <c r="E132" s="25"/>
      <c r="F132" s="25"/>
      <c r="G132" s="25"/>
      <c r="H132" s="25"/>
      <c r="I132" s="25"/>
      <c r="J132" s="25"/>
      <c r="K132" s="25"/>
      <c r="L132" s="25"/>
      <c r="M132" s="25"/>
      <c r="N132" s="25"/>
      <c r="O132" s="25"/>
      <c r="P132" s="25"/>
      <c r="Q132" s="25"/>
      <c r="R132" s="25"/>
      <c r="S132" s="25"/>
      <c r="T132" s="34">
        <f>SUM(T121:T131)</f>
        <v>-10981</v>
      </c>
      <c r="U132" s="34"/>
      <c r="V132" s="34">
        <f>SUM(V102:V129)</f>
        <v>-12982</v>
      </c>
      <c r="W132" s="25"/>
      <c r="X132" s="5"/>
    </row>
    <row r="133" spans="1:24" ht="15.6" x14ac:dyDescent="0.3">
      <c r="A133" s="24"/>
      <c r="B133" s="25" t="s">
        <v>41</v>
      </c>
      <c r="C133" s="25"/>
      <c r="D133" s="25"/>
      <c r="E133" s="25"/>
      <c r="F133" s="25"/>
      <c r="G133" s="25"/>
      <c r="H133" s="25"/>
      <c r="I133" s="25"/>
      <c r="J133" s="25"/>
      <c r="K133" s="25"/>
      <c r="L133" s="25"/>
      <c r="M133" s="25"/>
      <c r="N133" s="25"/>
      <c r="O133" s="25"/>
      <c r="P133" s="25"/>
      <c r="Q133" s="25"/>
      <c r="R133" s="25"/>
      <c r="S133" s="25"/>
      <c r="T133" s="34">
        <f>T101+T132+T114</f>
        <v>0</v>
      </c>
      <c r="U133" s="34"/>
      <c r="V133" s="34">
        <f>V101+V132</f>
        <v>0</v>
      </c>
      <c r="W133" s="25"/>
      <c r="X133" s="5"/>
    </row>
    <row r="134" spans="1:24" ht="15.6" x14ac:dyDescent="0.3">
      <c r="A134" s="24"/>
      <c r="B134" s="25"/>
      <c r="C134" s="25"/>
      <c r="D134" s="25"/>
      <c r="E134" s="25"/>
      <c r="F134" s="25"/>
      <c r="G134" s="25"/>
      <c r="H134" s="25"/>
      <c r="I134" s="25"/>
      <c r="J134" s="25"/>
      <c r="K134" s="25"/>
      <c r="L134" s="25"/>
      <c r="M134" s="25"/>
      <c r="N134" s="25"/>
      <c r="O134" s="25"/>
      <c r="P134" s="25"/>
      <c r="Q134" s="25"/>
      <c r="R134" s="25"/>
      <c r="S134" s="25"/>
      <c r="T134" s="34"/>
      <c r="U134" s="34"/>
      <c r="V134" s="34"/>
      <c r="W134" s="25"/>
      <c r="X134" s="5"/>
    </row>
    <row r="135" spans="1:24" ht="15.6" x14ac:dyDescent="0.3">
      <c r="A135" s="6"/>
      <c r="B135" s="8"/>
      <c r="C135" s="8"/>
      <c r="D135" s="8"/>
      <c r="E135" s="8"/>
      <c r="F135" s="8"/>
      <c r="G135" s="8"/>
      <c r="H135" s="8"/>
      <c r="I135" s="8"/>
      <c r="J135" s="8"/>
      <c r="K135" s="8"/>
      <c r="L135" s="8"/>
      <c r="M135" s="8"/>
      <c r="N135" s="8"/>
      <c r="O135" s="8"/>
      <c r="P135" s="8"/>
      <c r="Q135" s="8"/>
      <c r="R135" s="8"/>
      <c r="S135" s="8"/>
      <c r="T135" s="8"/>
      <c r="U135" s="8"/>
      <c r="V135" s="52"/>
      <c r="W135" s="8"/>
      <c r="X135" s="5"/>
    </row>
    <row r="136" spans="1:24" ht="18" thickBot="1" x14ac:dyDescent="0.35">
      <c r="A136" s="101"/>
      <c r="B136" s="102" t="str">
        <f>B64</f>
        <v>PM12 INVESTOR REPORT QUARTER ENDING APRIL 2009</v>
      </c>
      <c r="C136" s="103"/>
      <c r="D136" s="103"/>
      <c r="E136" s="103"/>
      <c r="F136" s="103"/>
      <c r="G136" s="103"/>
      <c r="H136" s="103"/>
      <c r="I136" s="103"/>
      <c r="J136" s="103"/>
      <c r="K136" s="103"/>
      <c r="L136" s="103"/>
      <c r="M136" s="103"/>
      <c r="N136" s="103"/>
      <c r="O136" s="103"/>
      <c r="P136" s="103"/>
      <c r="Q136" s="103"/>
      <c r="R136" s="103"/>
      <c r="S136" s="103"/>
      <c r="T136" s="103"/>
      <c r="U136" s="103"/>
      <c r="V136" s="106"/>
      <c r="W136" s="105"/>
      <c r="X136" s="5"/>
    </row>
    <row r="137" spans="1:24" ht="15.6" x14ac:dyDescent="0.3">
      <c r="A137" s="2"/>
      <c r="B137" s="60" t="s">
        <v>42</v>
      </c>
      <c r="C137" s="4"/>
      <c r="D137" s="4"/>
      <c r="E137" s="4"/>
      <c r="F137" s="4"/>
      <c r="G137" s="4"/>
      <c r="H137" s="4"/>
      <c r="I137" s="4"/>
      <c r="J137" s="4"/>
      <c r="K137" s="4"/>
      <c r="L137" s="4"/>
      <c r="M137" s="4"/>
      <c r="N137" s="4"/>
      <c r="O137" s="4"/>
      <c r="P137" s="4"/>
      <c r="Q137" s="4"/>
      <c r="R137" s="4"/>
      <c r="S137" s="4"/>
      <c r="T137" s="4"/>
      <c r="U137" s="4"/>
      <c r="V137" s="50"/>
      <c r="W137" s="4"/>
      <c r="X137" s="5"/>
    </row>
    <row r="138" spans="1:24" ht="15.6" x14ac:dyDescent="0.3">
      <c r="A138" s="6"/>
      <c r="B138" s="21"/>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6"/>
      <c r="B139" s="119" t="s">
        <v>43</v>
      </c>
      <c r="C139" s="8"/>
      <c r="D139" s="8"/>
      <c r="E139" s="8"/>
      <c r="F139" s="8"/>
      <c r="G139" s="8"/>
      <c r="H139" s="8"/>
      <c r="I139" s="8"/>
      <c r="J139" s="8"/>
      <c r="K139" s="8"/>
      <c r="L139" s="8"/>
      <c r="M139" s="8"/>
      <c r="N139" s="8"/>
      <c r="O139" s="8"/>
      <c r="P139" s="8"/>
      <c r="Q139" s="8"/>
      <c r="R139" s="8"/>
      <c r="S139" s="8"/>
      <c r="T139" s="8"/>
      <c r="U139" s="8"/>
      <c r="V139" s="52"/>
      <c r="W139" s="8"/>
      <c r="X139" s="5"/>
    </row>
    <row r="140" spans="1:24" ht="15.6" x14ac:dyDescent="0.3">
      <c r="A140" s="24"/>
      <c r="B140" s="25" t="s">
        <v>44</v>
      </c>
      <c r="C140" s="25"/>
      <c r="D140" s="25"/>
      <c r="E140" s="25"/>
      <c r="F140" s="25"/>
      <c r="G140" s="25"/>
      <c r="H140" s="25"/>
      <c r="I140" s="25"/>
      <c r="J140" s="25"/>
      <c r="K140" s="25"/>
      <c r="L140" s="25"/>
      <c r="M140" s="25"/>
      <c r="N140" s="25"/>
      <c r="O140" s="25"/>
      <c r="P140" s="25"/>
      <c r="Q140" s="25"/>
      <c r="R140" s="25"/>
      <c r="S140" s="25"/>
      <c r="T140" s="25"/>
      <c r="U140" s="25"/>
      <c r="V140" s="53">
        <f>+V34*0.019</f>
        <v>28503.895</v>
      </c>
      <c r="W140" s="25"/>
      <c r="X140" s="5"/>
    </row>
    <row r="141" spans="1:24" ht="15.6" x14ac:dyDescent="0.3">
      <c r="A141" s="24"/>
      <c r="B141" s="25" t="s">
        <v>45</v>
      </c>
      <c r="C141" s="25"/>
      <c r="D141" s="25"/>
      <c r="E141" s="25"/>
      <c r="F141" s="25"/>
      <c r="G141" s="25"/>
      <c r="H141" s="25"/>
      <c r="I141" s="25"/>
      <c r="J141" s="25"/>
      <c r="K141" s="25"/>
      <c r="L141" s="25"/>
      <c r="M141" s="25"/>
      <c r="N141" s="25"/>
      <c r="O141" s="25"/>
      <c r="P141" s="25"/>
      <c r="Q141" s="25"/>
      <c r="R141" s="25"/>
      <c r="S141" s="25"/>
      <c r="T141" s="25"/>
      <c r="U141" s="25"/>
      <c r="V141" s="53">
        <v>28504</v>
      </c>
      <c r="W141" s="25"/>
      <c r="X141" s="5"/>
    </row>
    <row r="142" spans="1:24" ht="15.6" x14ac:dyDescent="0.3">
      <c r="A142" s="24"/>
      <c r="B142" s="25" t="s">
        <v>141</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128</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129</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181</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46</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134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230</v>
      </c>
      <c r="C148" s="25"/>
      <c r="D148" s="25"/>
      <c r="E148" s="25"/>
      <c r="F148" s="25"/>
      <c r="G148" s="25"/>
      <c r="H148" s="25"/>
      <c r="I148" s="25"/>
      <c r="J148" s="25"/>
      <c r="K148" s="25"/>
      <c r="L148" s="25"/>
      <c r="M148" s="25"/>
      <c r="N148" s="25"/>
      <c r="O148" s="25"/>
      <c r="P148" s="25"/>
      <c r="Q148" s="25"/>
      <c r="R148" s="25"/>
      <c r="S148" s="25"/>
      <c r="T148" s="25"/>
      <c r="U148" s="25"/>
      <c r="V148" s="53">
        <v>0</v>
      </c>
      <c r="W148" s="25"/>
      <c r="X148" s="5"/>
      <c r="Y148" s="109"/>
    </row>
    <row r="149" spans="1:25" ht="15.6" x14ac:dyDescent="0.3">
      <c r="A149" s="24"/>
      <c r="B149" s="25" t="s">
        <v>47</v>
      </c>
      <c r="C149" s="25"/>
      <c r="D149" s="25"/>
      <c r="E149" s="25"/>
      <c r="F149" s="25"/>
      <c r="G149" s="25"/>
      <c r="H149" s="25"/>
      <c r="I149" s="25"/>
      <c r="J149" s="25"/>
      <c r="K149" s="25"/>
      <c r="L149" s="25"/>
      <c r="M149" s="25"/>
      <c r="N149" s="25"/>
      <c r="O149" s="25"/>
      <c r="P149" s="25"/>
      <c r="Q149" s="25"/>
      <c r="R149" s="25"/>
      <c r="S149" s="25"/>
      <c r="T149" s="25"/>
      <c r="U149" s="25"/>
      <c r="V149" s="53">
        <f>SUM(V141:V148)</f>
        <v>28504</v>
      </c>
      <c r="W149" s="25"/>
      <c r="X149" s="5"/>
    </row>
    <row r="150" spans="1:25" ht="15.6" x14ac:dyDescent="0.3">
      <c r="A150" s="24"/>
      <c r="B150" s="25"/>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138" t="s">
        <v>269</v>
      </c>
      <c r="C151" s="25"/>
      <c r="D151" s="25"/>
      <c r="E151" s="25"/>
      <c r="F151" s="25"/>
      <c r="G151" s="25"/>
      <c r="H151" s="25"/>
      <c r="I151" s="25"/>
      <c r="J151" s="25"/>
      <c r="K151" s="25"/>
      <c r="L151" s="25"/>
      <c r="M151" s="25"/>
      <c r="N151" s="25"/>
      <c r="O151" s="25"/>
      <c r="P151" s="25"/>
      <c r="Q151" s="25"/>
      <c r="R151" s="25"/>
      <c r="S151" s="25"/>
      <c r="T151" s="25"/>
      <c r="U151" s="25"/>
      <c r="V151" s="53"/>
      <c r="W151" s="25"/>
      <c r="X151" s="5"/>
    </row>
    <row r="152" spans="1:25" ht="15.6" x14ac:dyDescent="0.3">
      <c r="A152" s="24"/>
      <c r="B152" s="25" t="s">
        <v>160</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178</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t="s">
        <v>270</v>
      </c>
      <c r="C154" s="25"/>
      <c r="D154" s="25"/>
      <c r="E154" s="25"/>
      <c r="F154" s="25"/>
      <c r="G154" s="25"/>
      <c r="H154" s="25"/>
      <c r="I154" s="25"/>
      <c r="J154" s="25"/>
      <c r="K154" s="25"/>
      <c r="L154" s="25"/>
      <c r="M154" s="25"/>
      <c r="N154" s="25"/>
      <c r="O154" s="25"/>
      <c r="P154" s="25"/>
      <c r="Q154" s="25"/>
      <c r="R154" s="25"/>
      <c r="S154" s="25"/>
      <c r="T154" s="25"/>
      <c r="U154" s="25"/>
      <c r="V154" s="53">
        <v>0</v>
      </c>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53"/>
      <c r="W155" s="25"/>
      <c r="X155" s="5"/>
    </row>
    <row r="156" spans="1:25" ht="15.6" x14ac:dyDescent="0.3">
      <c r="A156" s="24"/>
      <c r="B156" s="25"/>
      <c r="C156" s="25"/>
      <c r="D156" s="25"/>
      <c r="E156" s="25"/>
      <c r="F156" s="25"/>
      <c r="G156" s="25"/>
      <c r="H156" s="25"/>
      <c r="I156" s="25"/>
      <c r="J156" s="25"/>
      <c r="K156" s="25"/>
      <c r="L156" s="25"/>
      <c r="M156" s="25"/>
      <c r="N156" s="25"/>
      <c r="O156" s="25"/>
      <c r="P156" s="25"/>
      <c r="Q156" s="25"/>
      <c r="R156" s="25"/>
      <c r="S156" s="25"/>
      <c r="T156" s="25"/>
      <c r="U156" s="25"/>
      <c r="V156" s="61"/>
      <c r="W156" s="25"/>
      <c r="X156" s="5"/>
    </row>
    <row r="157" spans="1:25" ht="15.6" x14ac:dyDescent="0.3">
      <c r="A157" s="6"/>
      <c r="B157" s="119" t="s">
        <v>24</v>
      </c>
      <c r="C157" s="8"/>
      <c r="D157" s="8"/>
      <c r="E157" s="8"/>
      <c r="F157" s="8"/>
      <c r="G157" s="8"/>
      <c r="H157" s="8"/>
      <c r="I157" s="8"/>
      <c r="J157" s="8"/>
      <c r="K157" s="8"/>
      <c r="L157" s="8"/>
      <c r="M157" s="8"/>
      <c r="N157" s="8"/>
      <c r="O157" s="8"/>
      <c r="P157" s="8"/>
      <c r="Q157" s="8"/>
      <c r="R157" s="8"/>
      <c r="S157" s="8"/>
      <c r="T157" s="8"/>
      <c r="U157" s="8"/>
      <c r="V157" s="52"/>
      <c r="W157" s="8"/>
      <c r="X157" s="5"/>
    </row>
    <row r="158" spans="1:25" ht="15.6" x14ac:dyDescent="0.3">
      <c r="A158" s="24"/>
      <c r="B158" s="25" t="s">
        <v>48</v>
      </c>
      <c r="C158" s="25"/>
      <c r="D158" s="25"/>
      <c r="E158" s="25"/>
      <c r="F158" s="25"/>
      <c r="G158" s="25"/>
      <c r="H158" s="25"/>
      <c r="I158" s="25"/>
      <c r="J158" s="25"/>
      <c r="K158" s="25"/>
      <c r="L158" s="25"/>
      <c r="M158" s="25"/>
      <c r="N158" s="25"/>
      <c r="O158" s="25"/>
      <c r="P158" s="25"/>
      <c r="Q158" s="25"/>
      <c r="R158" s="25"/>
      <c r="S158" s="25"/>
      <c r="T158" s="25"/>
      <c r="U158" s="25"/>
      <c r="V158" s="59" t="s">
        <v>123</v>
      </c>
      <c r="W158" s="25"/>
      <c r="X158" s="5"/>
    </row>
    <row r="159" spans="1:25" ht="15.6" x14ac:dyDescent="0.3">
      <c r="A159" s="24"/>
      <c r="B159" s="25" t="s">
        <v>49</v>
      </c>
      <c r="C159" s="163"/>
      <c r="D159" s="163"/>
      <c r="E159" s="163"/>
      <c r="F159" s="163"/>
      <c r="G159" s="163"/>
      <c r="H159" s="163"/>
      <c r="I159" s="163"/>
      <c r="J159" s="163"/>
      <c r="K159" s="163"/>
      <c r="L159" s="163"/>
      <c r="M159" s="163"/>
      <c r="N159" s="163"/>
      <c r="O159" s="163"/>
      <c r="P159" s="163"/>
      <c r="Q159" s="163"/>
      <c r="R159" s="163"/>
      <c r="S159" s="163"/>
      <c r="T159" s="163"/>
      <c r="U159" s="163"/>
      <c r="V159" s="59" t="s">
        <v>123</v>
      </c>
      <c r="W159" s="25"/>
      <c r="X159" s="5"/>
    </row>
    <row r="160" spans="1:25" ht="15.6" x14ac:dyDescent="0.3">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t="s">
        <v>51</v>
      </c>
      <c r="C161" s="25"/>
      <c r="D161" s="25"/>
      <c r="E161" s="25"/>
      <c r="F161" s="25"/>
      <c r="G161" s="25"/>
      <c r="H161" s="25"/>
      <c r="I161" s="25"/>
      <c r="J161" s="25"/>
      <c r="K161" s="25"/>
      <c r="L161" s="25"/>
      <c r="M161" s="25"/>
      <c r="N161" s="25"/>
      <c r="O161" s="25"/>
      <c r="P161" s="25"/>
      <c r="Q161" s="25"/>
      <c r="R161" s="25"/>
      <c r="S161" s="25"/>
      <c r="T161" s="25"/>
      <c r="U161" s="25"/>
      <c r="V161" s="59" t="s">
        <v>123</v>
      </c>
      <c r="W161" s="25"/>
      <c r="X161" s="5"/>
    </row>
    <row r="162" spans="1:24" ht="15.6" x14ac:dyDescent="0.3">
      <c r="A162" s="24"/>
      <c r="B162" s="25"/>
      <c r="C162" s="25"/>
      <c r="D162" s="25"/>
      <c r="E162" s="25"/>
      <c r="F162" s="25"/>
      <c r="G162" s="25"/>
      <c r="H162" s="25"/>
      <c r="I162" s="25"/>
      <c r="J162" s="25"/>
      <c r="K162" s="25"/>
      <c r="L162" s="25"/>
      <c r="M162" s="25"/>
      <c r="N162" s="25"/>
      <c r="O162" s="25"/>
      <c r="P162" s="25"/>
      <c r="Q162" s="25"/>
      <c r="R162" s="25"/>
      <c r="S162" s="25"/>
      <c r="T162" s="25"/>
      <c r="U162" s="25"/>
      <c r="V162" s="61"/>
      <c r="W162" s="25"/>
      <c r="X162" s="5"/>
    </row>
    <row r="163" spans="1:24" ht="15.6" x14ac:dyDescent="0.3">
      <c r="A163" s="6"/>
      <c r="B163" s="119" t="s">
        <v>52</v>
      </c>
      <c r="C163" s="8"/>
      <c r="D163" s="8"/>
      <c r="E163" s="8"/>
      <c r="F163" s="8"/>
      <c r="G163" s="8"/>
      <c r="H163" s="8"/>
      <c r="I163" s="8"/>
      <c r="J163" s="8"/>
      <c r="K163" s="8"/>
      <c r="L163" s="8"/>
      <c r="M163" s="8"/>
      <c r="N163" s="8"/>
      <c r="O163" s="8"/>
      <c r="P163" s="8"/>
      <c r="Q163" s="8"/>
      <c r="R163" s="8"/>
      <c r="S163" s="8"/>
      <c r="T163" s="8"/>
      <c r="U163" s="8"/>
      <c r="V163" s="63"/>
      <c r="W163" s="8"/>
      <c r="X163" s="5"/>
    </row>
    <row r="164" spans="1:24" ht="15.6" x14ac:dyDescent="0.3">
      <c r="A164" s="24"/>
      <c r="B164" s="25" t="s">
        <v>53</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4" ht="15.6" x14ac:dyDescent="0.3">
      <c r="A165" s="24"/>
      <c r="B165" s="25" t="s">
        <v>54</v>
      </c>
      <c r="C165" s="25"/>
      <c r="D165" s="25"/>
      <c r="E165" s="25"/>
      <c r="F165" s="25"/>
      <c r="G165" s="25"/>
      <c r="H165" s="25"/>
      <c r="I165" s="25"/>
      <c r="J165" s="25"/>
      <c r="K165" s="25"/>
      <c r="L165" s="25"/>
      <c r="M165" s="25"/>
      <c r="N165" s="25"/>
      <c r="O165" s="25"/>
      <c r="P165" s="25"/>
      <c r="Q165" s="25"/>
      <c r="R165" s="25"/>
      <c r="S165" s="25"/>
      <c r="T165" s="25"/>
      <c r="U165" s="25"/>
      <c r="V165" s="53">
        <f>-V114</f>
        <v>319</v>
      </c>
      <c r="W165" s="25"/>
      <c r="X165" s="5"/>
    </row>
    <row r="166" spans="1:24" ht="15.6" x14ac:dyDescent="0.3">
      <c r="A166" s="24"/>
      <c r="B166" s="25" t="s">
        <v>55</v>
      </c>
      <c r="C166" s="25"/>
      <c r="D166" s="25"/>
      <c r="E166" s="25"/>
      <c r="F166" s="25"/>
      <c r="G166" s="25"/>
      <c r="H166" s="25"/>
      <c r="I166" s="25"/>
      <c r="J166" s="25"/>
      <c r="K166" s="25"/>
      <c r="L166" s="25"/>
      <c r="M166" s="25"/>
      <c r="N166" s="25"/>
      <c r="O166" s="25"/>
      <c r="P166" s="25"/>
      <c r="Q166" s="25"/>
      <c r="R166" s="25"/>
      <c r="S166" s="25"/>
      <c r="T166" s="25"/>
      <c r="U166" s="25"/>
      <c r="V166" s="53">
        <f>V165+V164</f>
        <v>319</v>
      </c>
      <c r="W166" s="25"/>
      <c r="X166" s="5"/>
    </row>
    <row r="167" spans="1:24" ht="15.6" x14ac:dyDescent="0.3">
      <c r="A167" s="24"/>
      <c r="B167" s="25" t="s">
        <v>310</v>
      </c>
      <c r="C167" s="25"/>
      <c r="D167" s="25"/>
      <c r="E167" s="25"/>
      <c r="F167" s="25"/>
      <c r="G167" s="25"/>
      <c r="H167" s="25"/>
      <c r="I167" s="25"/>
      <c r="J167" s="25"/>
      <c r="K167" s="25"/>
      <c r="L167" s="25"/>
      <c r="M167" s="25"/>
      <c r="N167" s="25"/>
      <c r="O167" s="25"/>
      <c r="P167" s="25"/>
      <c r="Q167" s="25"/>
      <c r="R167" s="25"/>
      <c r="S167" s="25"/>
      <c r="T167" s="25"/>
      <c r="U167" s="25"/>
      <c r="V167" s="53">
        <f>V114</f>
        <v>-319</v>
      </c>
      <c r="W167" s="25"/>
      <c r="X167" s="5"/>
    </row>
    <row r="168" spans="1:24" ht="15.6" x14ac:dyDescent="0.3">
      <c r="A168" s="24"/>
      <c r="B168" s="25" t="s">
        <v>56</v>
      </c>
      <c r="C168" s="25"/>
      <c r="D168" s="25"/>
      <c r="E168" s="25"/>
      <c r="F168" s="25"/>
      <c r="G168" s="25"/>
      <c r="H168" s="25"/>
      <c r="I168" s="25"/>
      <c r="J168" s="25"/>
      <c r="K168" s="25"/>
      <c r="L168" s="25"/>
      <c r="M168" s="25"/>
      <c r="N168" s="25"/>
      <c r="O168" s="25"/>
      <c r="P168" s="25"/>
      <c r="Q168" s="25"/>
      <c r="R168" s="25"/>
      <c r="S168" s="25"/>
      <c r="T168" s="25"/>
      <c r="U168" s="25"/>
      <c r="V168" s="53">
        <f>V166+V167</f>
        <v>0</v>
      </c>
      <c r="W168" s="25"/>
      <c r="X168" s="5"/>
    </row>
    <row r="169" spans="1:24" ht="16.2" thickBot="1" x14ac:dyDescent="0.35">
      <c r="A169" s="24"/>
      <c r="B169" s="25"/>
      <c r="C169" s="25"/>
      <c r="D169" s="25"/>
      <c r="E169" s="25"/>
      <c r="F169" s="25"/>
      <c r="G169" s="25"/>
      <c r="H169" s="25"/>
      <c r="I169" s="25"/>
      <c r="J169" s="25"/>
      <c r="K169" s="25"/>
      <c r="L169" s="25"/>
      <c r="M169" s="25"/>
      <c r="N169" s="25"/>
      <c r="O169" s="25"/>
      <c r="P169" s="25"/>
      <c r="Q169" s="25"/>
      <c r="R169" s="25"/>
      <c r="S169" s="25"/>
      <c r="T169" s="25"/>
      <c r="U169" s="25"/>
      <c r="V169" s="61"/>
      <c r="W169" s="25"/>
      <c r="X169" s="5"/>
    </row>
    <row r="170" spans="1:24" ht="15.6" x14ac:dyDescent="0.3">
      <c r="A170" s="2"/>
      <c r="B170" s="4"/>
      <c r="C170" s="4"/>
      <c r="D170" s="4"/>
      <c r="E170" s="4"/>
      <c r="F170" s="4"/>
      <c r="G170" s="4"/>
      <c r="H170" s="4"/>
      <c r="I170" s="4"/>
      <c r="J170" s="4"/>
      <c r="K170" s="4"/>
      <c r="L170" s="4"/>
      <c r="M170" s="4"/>
      <c r="N170" s="4"/>
      <c r="O170" s="4"/>
      <c r="P170" s="4"/>
      <c r="Q170" s="4"/>
      <c r="R170" s="4"/>
      <c r="S170" s="4"/>
      <c r="T170" s="4"/>
      <c r="U170" s="4"/>
      <c r="V170" s="50"/>
      <c r="W170" s="4"/>
      <c r="X170" s="5"/>
    </row>
    <row r="171" spans="1:24" ht="15.6" x14ac:dyDescent="0.3">
      <c r="A171" s="6"/>
      <c r="B171" s="119" t="s">
        <v>57</v>
      </c>
      <c r="C171" s="8"/>
      <c r="D171" s="8"/>
      <c r="E171" s="8"/>
      <c r="F171" s="8"/>
      <c r="G171" s="8"/>
      <c r="H171" s="8"/>
      <c r="I171" s="8"/>
      <c r="J171" s="8"/>
      <c r="K171" s="8"/>
      <c r="L171" s="8"/>
      <c r="M171" s="8"/>
      <c r="N171" s="8"/>
      <c r="O171" s="8"/>
      <c r="P171" s="8"/>
      <c r="Q171" s="8"/>
      <c r="R171" s="8"/>
      <c r="S171" s="8"/>
      <c r="T171" s="8"/>
      <c r="U171" s="8"/>
      <c r="V171" s="52"/>
      <c r="W171" s="8"/>
      <c r="X171" s="5"/>
    </row>
    <row r="172" spans="1:24" ht="15.6" x14ac:dyDescent="0.3">
      <c r="A172" s="6"/>
      <c r="B172" s="21"/>
      <c r="C172" s="8"/>
      <c r="D172" s="8"/>
      <c r="E172" s="8"/>
      <c r="F172" s="8"/>
      <c r="G172" s="8"/>
      <c r="H172" s="8"/>
      <c r="I172" s="8"/>
      <c r="J172" s="8"/>
      <c r="K172" s="8"/>
      <c r="L172" s="8"/>
      <c r="M172" s="8"/>
      <c r="N172" s="8"/>
      <c r="O172" s="8"/>
      <c r="P172" s="8"/>
      <c r="Q172" s="8"/>
      <c r="R172" s="8"/>
      <c r="S172" s="8"/>
      <c r="T172" s="8"/>
      <c r="U172" s="8"/>
      <c r="V172" s="52"/>
      <c r="W172" s="8"/>
      <c r="X172" s="5"/>
    </row>
    <row r="173" spans="1:24" ht="15.6" x14ac:dyDescent="0.3">
      <c r="A173" s="24"/>
      <c r="B173" s="25" t="s">
        <v>58</v>
      </c>
      <c r="C173" s="25"/>
      <c r="D173" s="25"/>
      <c r="E173" s="25"/>
      <c r="F173" s="25"/>
      <c r="G173" s="25"/>
      <c r="H173" s="25"/>
      <c r="I173" s="25"/>
      <c r="J173" s="25"/>
      <c r="K173" s="25"/>
      <c r="L173" s="25"/>
      <c r="M173" s="25"/>
      <c r="N173" s="25"/>
      <c r="O173" s="25"/>
      <c r="P173" s="25"/>
      <c r="Q173" s="25"/>
      <c r="R173" s="25"/>
      <c r="S173" s="25"/>
      <c r="T173" s="25"/>
      <c r="U173" s="25"/>
      <c r="V173" s="53">
        <f>V72</f>
        <v>1069098</v>
      </c>
      <c r="W173" s="25"/>
      <c r="X173" s="5"/>
    </row>
    <row r="174" spans="1:24" ht="15.6" x14ac:dyDescent="0.3">
      <c r="A174" s="24"/>
      <c r="B174" s="25" t="s">
        <v>59</v>
      </c>
      <c r="C174" s="25"/>
      <c r="D174" s="25"/>
      <c r="E174" s="25"/>
      <c r="F174" s="25"/>
      <c r="G174" s="25"/>
      <c r="H174" s="25"/>
      <c r="I174" s="25"/>
      <c r="J174" s="25"/>
      <c r="K174" s="25"/>
      <c r="L174" s="25"/>
      <c r="M174" s="25"/>
      <c r="N174" s="25"/>
      <c r="O174" s="25"/>
      <c r="P174" s="25"/>
      <c r="Q174" s="25"/>
      <c r="R174" s="25"/>
      <c r="S174" s="25"/>
      <c r="T174" s="25"/>
      <c r="U174" s="25"/>
      <c r="V174" s="53">
        <f>V85</f>
        <v>1069098</v>
      </c>
      <c r="W174" s="25"/>
      <c r="X174" s="5"/>
    </row>
    <row r="175" spans="1:24" ht="16.2" thickBot="1" x14ac:dyDescent="0.35">
      <c r="A175" s="24"/>
      <c r="B175" s="25"/>
      <c r="C175" s="25"/>
      <c r="D175" s="25"/>
      <c r="E175" s="25"/>
      <c r="F175" s="25"/>
      <c r="G175" s="25"/>
      <c r="H175" s="25"/>
      <c r="I175" s="25"/>
      <c r="J175" s="25"/>
      <c r="K175" s="25"/>
      <c r="L175" s="25"/>
      <c r="M175" s="25"/>
      <c r="N175" s="25"/>
      <c r="O175" s="25"/>
      <c r="P175" s="25"/>
      <c r="Q175" s="25"/>
      <c r="R175" s="25"/>
      <c r="S175" s="25"/>
      <c r="T175" s="25"/>
      <c r="U175" s="25"/>
      <c r="V175" s="61"/>
      <c r="W175" s="25"/>
      <c r="X175" s="5"/>
    </row>
    <row r="176" spans="1:24" ht="15.6" x14ac:dyDescent="0.3">
      <c r="A176" s="2"/>
      <c r="B176" s="4"/>
      <c r="C176" s="4"/>
      <c r="D176" s="4"/>
      <c r="E176" s="4"/>
      <c r="F176" s="4"/>
      <c r="G176" s="4"/>
      <c r="H176" s="4"/>
      <c r="I176" s="4"/>
      <c r="J176" s="4"/>
      <c r="K176" s="4"/>
      <c r="L176" s="4"/>
      <c r="M176" s="4"/>
      <c r="N176" s="4"/>
      <c r="O176" s="4"/>
      <c r="P176" s="4"/>
      <c r="Q176" s="4"/>
      <c r="R176" s="4"/>
      <c r="S176" s="4"/>
      <c r="T176" s="4"/>
      <c r="U176" s="4"/>
      <c r="V176" s="50"/>
      <c r="W176" s="4"/>
      <c r="X176" s="5"/>
    </row>
    <row r="177" spans="1:24" ht="15.6" x14ac:dyDescent="0.3">
      <c r="A177" s="6"/>
      <c r="B177" s="119" t="s">
        <v>60</v>
      </c>
      <c r="C177" s="117"/>
      <c r="D177" s="117"/>
      <c r="E177" s="117"/>
      <c r="F177" s="117"/>
      <c r="G177" s="117"/>
      <c r="H177" s="120"/>
      <c r="I177" s="120"/>
      <c r="J177" s="120"/>
      <c r="K177" s="120"/>
      <c r="L177" s="120"/>
      <c r="M177" s="120"/>
      <c r="N177" s="120"/>
      <c r="O177" s="120"/>
      <c r="P177" s="120"/>
      <c r="Q177" s="120"/>
      <c r="R177" s="120"/>
      <c r="S177" s="120" t="s">
        <v>103</v>
      </c>
      <c r="T177" s="120" t="s">
        <v>182</v>
      </c>
      <c r="U177" s="111"/>
      <c r="V177" s="121" t="s">
        <v>119</v>
      </c>
      <c r="W177" s="10"/>
      <c r="X177" s="5"/>
    </row>
    <row r="178" spans="1:24" ht="15.6" x14ac:dyDescent="0.3">
      <c r="A178" s="24"/>
      <c r="B178" s="25" t="s">
        <v>61</v>
      </c>
      <c r="C178" s="25"/>
      <c r="D178" s="25"/>
      <c r="E178" s="25"/>
      <c r="F178" s="25"/>
      <c r="G178" s="25"/>
      <c r="H178" s="25"/>
      <c r="I178" s="25"/>
      <c r="J178" s="25"/>
      <c r="K178" s="25"/>
      <c r="L178" s="25"/>
      <c r="M178" s="25"/>
      <c r="N178" s="25"/>
      <c r="O178" s="25"/>
      <c r="P178" s="25"/>
      <c r="Q178" s="25"/>
      <c r="R178" s="25"/>
      <c r="S178" s="53">
        <f>+V34*0.16</f>
        <v>240032.80000000002</v>
      </c>
      <c r="T178" s="40"/>
      <c r="U178" s="25"/>
      <c r="V178" s="53"/>
      <c r="W178" s="25"/>
      <c r="X178" s="5"/>
    </row>
    <row r="179" spans="1:24" ht="15.6" x14ac:dyDescent="0.3">
      <c r="A179" s="24"/>
      <c r="B179" s="25" t="s">
        <v>62</v>
      </c>
      <c r="C179" s="25"/>
      <c r="D179" s="25"/>
      <c r="E179" s="25"/>
      <c r="F179" s="25"/>
      <c r="G179" s="25"/>
      <c r="H179" s="25"/>
      <c r="I179" s="25"/>
      <c r="J179" s="25"/>
      <c r="K179" s="25"/>
      <c r="L179" s="25"/>
      <c r="M179" s="25"/>
      <c r="N179" s="25"/>
      <c r="O179" s="25"/>
      <c r="P179" s="25"/>
      <c r="Q179" s="25"/>
      <c r="R179" s="25"/>
      <c r="S179" s="53">
        <f>+'Jan 09'!S181</f>
        <v>42599</v>
      </c>
      <c r="T179" s="53">
        <f>+'Jan 09'!T181</f>
        <v>6090</v>
      </c>
      <c r="U179" s="25"/>
      <c r="V179" s="53">
        <f>S179+T179</f>
        <v>48689</v>
      </c>
      <c r="W179" s="25"/>
      <c r="X179" s="5"/>
    </row>
    <row r="180" spans="1:24" ht="15.6" x14ac:dyDescent="0.3">
      <c r="A180" s="24"/>
      <c r="B180" s="25" t="s">
        <v>63</v>
      </c>
      <c r="C180" s="25"/>
      <c r="D180" s="25"/>
      <c r="E180" s="25"/>
      <c r="F180" s="25"/>
      <c r="G180" s="25"/>
      <c r="H180" s="25"/>
      <c r="I180" s="25"/>
      <c r="J180" s="25"/>
      <c r="K180" s="25"/>
      <c r="L180" s="25"/>
      <c r="M180" s="25"/>
      <c r="N180" s="25"/>
      <c r="O180" s="25"/>
      <c r="P180" s="25"/>
      <c r="Q180" s="25"/>
      <c r="R180" s="25"/>
      <c r="S180" s="34">
        <f>1196+115</f>
        <v>1311</v>
      </c>
      <c r="T180" s="34">
        <v>2</v>
      </c>
      <c r="U180" s="25"/>
      <c r="V180" s="53">
        <f>S180+T180</f>
        <v>1313</v>
      </c>
      <c r="W180" s="25"/>
      <c r="X180" s="5"/>
    </row>
    <row r="181" spans="1:24" ht="15.6" x14ac:dyDescent="0.3">
      <c r="A181" s="24"/>
      <c r="B181" s="25" t="s">
        <v>64</v>
      </c>
      <c r="C181" s="25"/>
      <c r="D181" s="25"/>
      <c r="E181" s="25"/>
      <c r="F181" s="25"/>
      <c r="G181" s="25"/>
      <c r="H181" s="25"/>
      <c r="I181" s="25"/>
      <c r="J181" s="25"/>
      <c r="K181" s="25"/>
      <c r="L181" s="25"/>
      <c r="M181" s="25"/>
      <c r="N181" s="25"/>
      <c r="O181" s="25"/>
      <c r="P181" s="25"/>
      <c r="Q181" s="25"/>
      <c r="R181" s="25"/>
      <c r="S181" s="53">
        <f>S179+S180</f>
        <v>43910</v>
      </c>
      <c r="T181" s="53">
        <f>T180+T179</f>
        <v>6092</v>
      </c>
      <c r="U181" s="25"/>
      <c r="V181" s="53">
        <f>S181+T181</f>
        <v>50002</v>
      </c>
      <c r="W181" s="25"/>
      <c r="X181" s="5"/>
    </row>
    <row r="182" spans="1:24" ht="15.6" x14ac:dyDescent="0.3">
      <c r="A182" s="24"/>
      <c r="B182" s="25" t="s">
        <v>65</v>
      </c>
      <c r="C182" s="25"/>
      <c r="D182" s="25"/>
      <c r="E182" s="25"/>
      <c r="F182" s="25"/>
      <c r="G182" s="25"/>
      <c r="H182" s="25"/>
      <c r="I182" s="25"/>
      <c r="J182" s="25"/>
      <c r="K182" s="25"/>
      <c r="L182" s="25"/>
      <c r="M182" s="25"/>
      <c r="N182" s="25"/>
      <c r="O182" s="25"/>
      <c r="P182" s="25"/>
      <c r="Q182" s="25"/>
      <c r="R182" s="25"/>
      <c r="S182" s="53">
        <f>S178-S181-T181</f>
        <v>190030.80000000002</v>
      </c>
      <c r="T182" s="40"/>
      <c r="U182" s="25"/>
      <c r="V182" s="53"/>
      <c r="W182" s="25"/>
      <c r="X182" s="5"/>
    </row>
    <row r="183" spans="1:24" ht="16.2" thickBot="1" x14ac:dyDescent="0.35">
      <c r="A183" s="24"/>
      <c r="B183" s="25"/>
      <c r="C183" s="25"/>
      <c r="D183" s="25"/>
      <c r="E183" s="25"/>
      <c r="F183" s="25"/>
      <c r="G183" s="25"/>
      <c r="H183" s="25"/>
      <c r="I183" s="25"/>
      <c r="J183" s="25"/>
      <c r="K183" s="25"/>
      <c r="L183" s="25"/>
      <c r="M183" s="25"/>
      <c r="N183" s="25"/>
      <c r="O183" s="25"/>
      <c r="P183" s="25"/>
      <c r="Q183" s="25"/>
      <c r="R183" s="25"/>
      <c r="S183" s="25"/>
      <c r="T183" s="25"/>
      <c r="U183" s="25"/>
      <c r="V183" s="61"/>
      <c r="W183" s="25"/>
      <c r="X183" s="5"/>
    </row>
    <row r="184" spans="1:24" ht="15.6" x14ac:dyDescent="0.3">
      <c r="A184" s="2"/>
      <c r="B184" s="4"/>
      <c r="C184" s="4"/>
      <c r="D184" s="4"/>
      <c r="E184" s="4"/>
      <c r="F184" s="4"/>
      <c r="G184" s="4"/>
      <c r="H184" s="4"/>
      <c r="I184" s="4"/>
      <c r="J184" s="4"/>
      <c r="K184" s="4"/>
      <c r="L184" s="4"/>
      <c r="M184" s="4"/>
      <c r="N184" s="4"/>
      <c r="O184" s="4"/>
      <c r="P184" s="4"/>
      <c r="Q184" s="4"/>
      <c r="R184" s="4"/>
      <c r="S184" s="4"/>
      <c r="T184" s="4"/>
      <c r="U184" s="4"/>
      <c r="V184" s="50"/>
      <c r="W184" s="4"/>
      <c r="X184" s="5"/>
    </row>
    <row r="185" spans="1:24" ht="15.6" x14ac:dyDescent="0.3">
      <c r="A185" s="6"/>
      <c r="B185" s="119" t="s">
        <v>66</v>
      </c>
      <c r="C185" s="8"/>
      <c r="D185" s="8"/>
      <c r="E185" s="8"/>
      <c r="F185" s="8"/>
      <c r="G185" s="8"/>
      <c r="H185" s="8"/>
      <c r="I185" s="8"/>
      <c r="J185" s="8"/>
      <c r="K185" s="8"/>
      <c r="L185" s="8"/>
      <c r="M185" s="8"/>
      <c r="N185" s="8"/>
      <c r="O185" s="8"/>
      <c r="P185" s="8"/>
      <c r="Q185" s="8"/>
      <c r="R185" s="8"/>
      <c r="S185" s="8"/>
      <c r="T185" s="8"/>
      <c r="U185" s="8"/>
      <c r="V185" s="65"/>
      <c r="W185" s="8"/>
      <c r="X185" s="5"/>
    </row>
    <row r="186" spans="1:24" ht="15.6" x14ac:dyDescent="0.3">
      <c r="A186" s="24"/>
      <c r="B186" s="25" t="s">
        <v>67</v>
      </c>
      <c r="C186" s="25"/>
      <c r="D186" s="25"/>
      <c r="E186" s="25"/>
      <c r="F186" s="25"/>
      <c r="G186" s="25"/>
      <c r="H186" s="25"/>
      <c r="I186" s="25"/>
      <c r="J186" s="25"/>
      <c r="K186" s="25"/>
      <c r="L186" s="25"/>
      <c r="M186" s="25"/>
      <c r="N186" s="25"/>
      <c r="O186" s="25"/>
      <c r="P186" s="25"/>
      <c r="Q186" s="25"/>
      <c r="R186" s="25"/>
      <c r="S186" s="25"/>
      <c r="T186" s="25"/>
      <c r="U186" s="25"/>
      <c r="V186" s="59">
        <f>(V101+V103+V104+V105+V106)/-(V107+V108)</f>
        <v>1.8247984310307257</v>
      </c>
      <c r="W186" s="25" t="s">
        <v>120</v>
      </c>
      <c r="X186" s="5"/>
    </row>
    <row r="187" spans="1:24" ht="15.6" x14ac:dyDescent="0.3">
      <c r="A187" s="24"/>
      <c r="B187" s="25" t="s">
        <v>68</v>
      </c>
      <c r="C187" s="25"/>
      <c r="D187" s="25"/>
      <c r="E187" s="25"/>
      <c r="F187" s="25"/>
      <c r="G187" s="25"/>
      <c r="H187" s="25"/>
      <c r="I187" s="25"/>
      <c r="J187" s="25"/>
      <c r="K187" s="25"/>
      <c r="L187" s="25"/>
      <c r="M187" s="25"/>
      <c r="N187" s="25"/>
      <c r="O187" s="25"/>
      <c r="P187" s="25"/>
      <c r="Q187" s="25"/>
      <c r="R187" s="25"/>
      <c r="S187" s="25"/>
      <c r="T187" s="25"/>
      <c r="U187" s="25"/>
      <c r="V187" s="66">
        <v>1.41</v>
      </c>
      <c r="W187" s="25" t="s">
        <v>120</v>
      </c>
      <c r="X187" s="5"/>
    </row>
    <row r="188" spans="1:24" ht="15.6" x14ac:dyDescent="0.3">
      <c r="A188" s="24"/>
      <c r="B188" s="25" t="s">
        <v>69</v>
      </c>
      <c r="C188" s="25"/>
      <c r="D188" s="25"/>
      <c r="E188" s="25"/>
      <c r="F188" s="25"/>
      <c r="G188" s="25"/>
      <c r="H188" s="25"/>
      <c r="I188" s="25"/>
      <c r="J188" s="25"/>
      <c r="K188" s="25"/>
      <c r="L188" s="25"/>
      <c r="M188" s="25"/>
      <c r="N188" s="25"/>
      <c r="O188" s="25"/>
      <c r="P188" s="25"/>
      <c r="Q188" s="25"/>
      <c r="R188" s="25"/>
      <c r="S188" s="25"/>
      <c r="T188" s="25"/>
      <c r="U188" s="25"/>
      <c r="V188" s="59">
        <f>(V101+V103+V104+V105+V106+V107+V108)/-(V109+V110)</f>
        <v>6.1444805194805197</v>
      </c>
      <c r="W188" s="25" t="s">
        <v>120</v>
      </c>
      <c r="X188" s="5"/>
    </row>
    <row r="189" spans="1:24" ht="15.6" x14ac:dyDescent="0.3">
      <c r="A189" s="24"/>
      <c r="B189" s="25" t="s">
        <v>70</v>
      </c>
      <c r="C189" s="25"/>
      <c r="D189" s="25"/>
      <c r="E189" s="25"/>
      <c r="F189" s="25"/>
      <c r="G189" s="25"/>
      <c r="H189" s="25"/>
      <c r="I189" s="25"/>
      <c r="J189" s="25"/>
      <c r="K189" s="25"/>
      <c r="L189" s="25"/>
      <c r="M189" s="25"/>
      <c r="N189" s="25"/>
      <c r="O189" s="25"/>
      <c r="P189" s="25"/>
      <c r="Q189" s="25"/>
      <c r="R189" s="25"/>
      <c r="S189" s="25"/>
      <c r="T189" s="25"/>
      <c r="U189" s="25"/>
      <c r="V189" s="66">
        <v>4.08</v>
      </c>
      <c r="W189" s="25" t="s">
        <v>120</v>
      </c>
      <c r="X189" s="5"/>
    </row>
    <row r="190" spans="1:24" ht="15.6" x14ac:dyDescent="0.3">
      <c r="A190" s="24"/>
      <c r="B190" s="25" t="s">
        <v>204</v>
      </c>
      <c r="C190" s="25"/>
      <c r="D190" s="25"/>
      <c r="E190" s="25"/>
      <c r="F190" s="25"/>
      <c r="G190" s="25"/>
      <c r="H190" s="25"/>
      <c r="I190" s="25"/>
      <c r="J190" s="25"/>
      <c r="K190" s="25"/>
      <c r="L190" s="25"/>
      <c r="M190" s="25"/>
      <c r="N190" s="25"/>
      <c r="O190" s="25"/>
      <c r="P190" s="25"/>
      <c r="Q190" s="25"/>
      <c r="R190" s="25"/>
      <c r="S190" s="25"/>
      <c r="T190" s="25"/>
      <c r="U190" s="25"/>
      <c r="V190" s="59">
        <f>(V101+V103+V104+V105+V106+V107+V108+V109+V110)/-(V111+V112)</f>
        <v>5.8040293040293038</v>
      </c>
      <c r="W190" s="25" t="s">
        <v>120</v>
      </c>
      <c r="X190" s="5"/>
    </row>
    <row r="191" spans="1:24" ht="15.6" x14ac:dyDescent="0.3">
      <c r="A191" s="24"/>
      <c r="B191" s="25" t="s">
        <v>205</v>
      </c>
      <c r="C191" s="25"/>
      <c r="D191" s="25"/>
      <c r="E191" s="25"/>
      <c r="F191" s="25"/>
      <c r="G191" s="25"/>
      <c r="H191" s="25"/>
      <c r="I191" s="25"/>
      <c r="J191" s="25"/>
      <c r="K191" s="25"/>
      <c r="L191" s="25"/>
      <c r="M191" s="25"/>
      <c r="N191" s="25"/>
      <c r="O191" s="25"/>
      <c r="P191" s="25"/>
      <c r="Q191" s="25"/>
      <c r="R191" s="25"/>
      <c r="S191" s="25"/>
      <c r="T191" s="25"/>
      <c r="U191" s="25"/>
      <c r="V191" s="66">
        <v>3.67</v>
      </c>
      <c r="W191" s="25" t="s">
        <v>120</v>
      </c>
      <c r="X191" s="5"/>
    </row>
    <row r="192" spans="1:24"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25"/>
      <c r="W192" s="25"/>
      <c r="X192" s="5"/>
    </row>
    <row r="193" spans="1:24" ht="15.6" x14ac:dyDescent="0.3">
      <c r="A193" s="24"/>
      <c r="B193" s="25"/>
      <c r="C193" s="25"/>
      <c r="D193" s="25"/>
      <c r="E193" s="25"/>
      <c r="F193" s="25"/>
      <c r="G193" s="25"/>
      <c r="H193" s="25"/>
      <c r="I193" s="25"/>
      <c r="J193" s="25"/>
      <c r="K193" s="25"/>
      <c r="L193" s="25"/>
      <c r="M193" s="25"/>
      <c r="N193" s="25"/>
      <c r="O193" s="25"/>
      <c r="P193" s="25"/>
      <c r="Q193" s="25"/>
      <c r="R193" s="25"/>
      <c r="S193" s="25"/>
      <c r="T193" s="25"/>
      <c r="U193" s="25"/>
      <c r="V193" s="25"/>
      <c r="W193" s="25"/>
      <c r="X193" s="5"/>
    </row>
    <row r="194" spans="1:24" ht="15.6" x14ac:dyDescent="0.3">
      <c r="A194" s="6"/>
      <c r="B194" s="8"/>
      <c r="C194" s="8"/>
      <c r="D194" s="8"/>
      <c r="E194" s="8"/>
      <c r="F194" s="8"/>
      <c r="G194" s="8"/>
      <c r="H194" s="8"/>
      <c r="I194" s="8"/>
      <c r="J194" s="8"/>
      <c r="K194" s="8"/>
      <c r="L194" s="8"/>
      <c r="M194" s="8"/>
      <c r="N194" s="8"/>
      <c r="O194" s="8"/>
      <c r="P194" s="8"/>
      <c r="Q194" s="8"/>
      <c r="R194" s="8"/>
      <c r="S194" s="8"/>
      <c r="T194" s="8"/>
      <c r="U194" s="8"/>
      <c r="V194" s="8"/>
      <c r="W194" s="8"/>
      <c r="X194" s="5"/>
    </row>
    <row r="195" spans="1:24" ht="18" thickBot="1" x14ac:dyDescent="0.35">
      <c r="A195" s="101"/>
      <c r="B195" s="102" t="str">
        <f>B136</f>
        <v>PM12 INVESTOR REPORT QUARTER ENDING APRIL 2009</v>
      </c>
      <c r="C195" s="165"/>
      <c r="D195" s="165"/>
      <c r="E195" s="165"/>
      <c r="F195" s="165"/>
      <c r="G195" s="165"/>
      <c r="H195" s="165"/>
      <c r="I195" s="165"/>
      <c r="J195" s="165"/>
      <c r="K195" s="165"/>
      <c r="L195" s="165"/>
      <c r="M195" s="165"/>
      <c r="N195" s="165"/>
      <c r="O195" s="165"/>
      <c r="P195" s="165"/>
      <c r="Q195" s="165"/>
      <c r="R195" s="165"/>
      <c r="S195" s="165"/>
      <c r="T195" s="165"/>
      <c r="U195" s="165"/>
      <c r="V195" s="165"/>
      <c r="W195" s="166"/>
      <c r="X195" s="5"/>
    </row>
    <row r="196" spans="1:24" ht="15.6" x14ac:dyDescent="0.3">
      <c r="A196" s="67"/>
      <c r="B196" s="60" t="s">
        <v>71</v>
      </c>
      <c r="C196" s="68"/>
      <c r="D196" s="68"/>
      <c r="E196" s="68"/>
      <c r="F196" s="68"/>
      <c r="G196" s="69"/>
      <c r="H196" s="69"/>
      <c r="I196" s="69"/>
      <c r="J196" s="69"/>
      <c r="K196" s="69"/>
      <c r="L196" s="69"/>
      <c r="M196" s="69"/>
      <c r="N196" s="69"/>
      <c r="O196" s="69"/>
      <c r="P196" s="69"/>
      <c r="Q196" s="69"/>
      <c r="R196" s="69"/>
      <c r="S196" s="69"/>
      <c r="T196" s="70">
        <v>39933</v>
      </c>
      <c r="U196" s="4"/>
      <c r="V196" s="4"/>
      <c r="W196" s="4"/>
      <c r="X196" s="5"/>
    </row>
    <row r="197" spans="1:24" ht="15.6" x14ac:dyDescent="0.3">
      <c r="A197" s="71"/>
      <c r="B197" s="72"/>
      <c r="C197" s="73"/>
      <c r="D197" s="73"/>
      <c r="E197" s="73"/>
      <c r="F197" s="73"/>
      <c r="G197" s="74"/>
      <c r="H197" s="74"/>
      <c r="I197" s="74"/>
      <c r="J197" s="74"/>
      <c r="K197" s="74"/>
      <c r="L197" s="74"/>
      <c r="M197" s="74"/>
      <c r="N197" s="74"/>
      <c r="O197" s="74"/>
      <c r="P197" s="74"/>
      <c r="Q197" s="74"/>
      <c r="R197" s="74"/>
      <c r="S197" s="74"/>
      <c r="T197" s="74"/>
      <c r="U197" s="8"/>
      <c r="V197" s="8"/>
      <c r="W197" s="8"/>
      <c r="X197" s="5"/>
    </row>
    <row r="198" spans="1:24" ht="15.6" x14ac:dyDescent="0.3">
      <c r="A198" s="75"/>
      <c r="B198" s="76" t="s">
        <v>72</v>
      </c>
      <c r="C198" s="77"/>
      <c r="D198" s="77"/>
      <c r="E198" s="77"/>
      <c r="F198" s="77"/>
      <c r="G198" s="64"/>
      <c r="H198" s="64"/>
      <c r="I198" s="64"/>
      <c r="J198" s="64"/>
      <c r="K198" s="64"/>
      <c r="L198" s="64"/>
      <c r="M198" s="64"/>
      <c r="N198" s="64"/>
      <c r="O198" s="64"/>
      <c r="P198" s="64"/>
      <c r="Q198" s="64"/>
      <c r="R198" s="64"/>
      <c r="S198" s="64"/>
      <c r="T198" s="78">
        <v>5.2060000000000002E-2</v>
      </c>
      <c r="U198" s="25"/>
      <c r="V198" s="25"/>
      <c r="W198" s="25"/>
      <c r="X198" s="5"/>
    </row>
    <row r="199" spans="1:24" ht="15.6" x14ac:dyDescent="0.3">
      <c r="A199" s="75"/>
      <c r="B199" s="76" t="s">
        <v>156</v>
      </c>
      <c r="C199" s="77"/>
      <c r="D199" s="77"/>
      <c r="E199" s="77"/>
      <c r="F199" s="77"/>
      <c r="G199" s="64"/>
      <c r="H199" s="64"/>
      <c r="I199" s="64"/>
      <c r="J199" s="64"/>
      <c r="K199" s="64"/>
      <c r="L199" s="64"/>
      <c r="M199" s="64"/>
      <c r="N199" s="64"/>
      <c r="O199" s="64"/>
      <c r="P199" s="64"/>
      <c r="Q199" s="64"/>
      <c r="R199" s="64"/>
      <c r="S199" s="64"/>
      <c r="T199" s="39">
        <f>'Oct 06'!T197</f>
        <v>4.8538814772447772E-2</v>
      </c>
      <c r="U199" s="25"/>
      <c r="V199" s="25"/>
      <c r="W199" s="25"/>
      <c r="X199" s="5"/>
    </row>
    <row r="200" spans="1:24" ht="15.6" x14ac:dyDescent="0.3">
      <c r="A200" s="75"/>
      <c r="B200" s="76" t="s">
        <v>73</v>
      </c>
      <c r="C200" s="77"/>
      <c r="D200" s="77"/>
      <c r="E200" s="77"/>
      <c r="F200" s="77"/>
      <c r="G200" s="64"/>
      <c r="H200" s="64"/>
      <c r="I200" s="64"/>
      <c r="J200" s="64"/>
      <c r="K200" s="64"/>
      <c r="L200" s="64"/>
      <c r="M200" s="64"/>
      <c r="N200" s="64"/>
      <c r="O200" s="64"/>
      <c r="P200" s="64"/>
      <c r="Q200" s="64"/>
      <c r="R200" s="64"/>
      <c r="S200" s="64"/>
      <c r="T200" s="78">
        <f>T198-T199</f>
        <v>3.5211852275522301E-3</v>
      </c>
      <c r="U200" s="25"/>
      <c r="V200" s="25"/>
      <c r="W200" s="25"/>
      <c r="X200" s="5"/>
    </row>
    <row r="201" spans="1:24" ht="15.6" x14ac:dyDescent="0.3">
      <c r="A201" s="75"/>
      <c r="B201" s="76" t="s">
        <v>74</v>
      </c>
      <c r="C201" s="77"/>
      <c r="D201" s="77"/>
      <c r="E201" s="77"/>
      <c r="F201" s="77"/>
      <c r="G201" s="64"/>
      <c r="H201" s="64"/>
      <c r="I201" s="64"/>
      <c r="J201" s="64"/>
      <c r="K201" s="64"/>
      <c r="L201" s="64"/>
      <c r="M201" s="64"/>
      <c r="N201" s="64"/>
      <c r="O201" s="64"/>
      <c r="P201" s="64"/>
      <c r="Q201" s="64"/>
      <c r="R201" s="64"/>
      <c r="S201" s="64"/>
      <c r="T201" s="78">
        <v>3.8760000000000003E-2</v>
      </c>
      <c r="U201" s="25"/>
      <c r="V201" s="25"/>
      <c r="W201" s="25"/>
      <c r="X201" s="5"/>
    </row>
    <row r="202" spans="1:24" ht="15.6" x14ac:dyDescent="0.3">
      <c r="A202" s="75"/>
      <c r="B202" s="76" t="s">
        <v>225</v>
      </c>
      <c r="C202" s="77"/>
      <c r="D202" s="77"/>
      <c r="E202" s="77"/>
      <c r="F202" s="77"/>
      <c r="G202" s="64"/>
      <c r="H202" s="64"/>
      <c r="I202" s="64"/>
      <c r="J202" s="64"/>
      <c r="K202" s="64"/>
      <c r="L202" s="64"/>
      <c r="M202" s="64"/>
      <c r="N202" s="64"/>
      <c r="O202" s="64"/>
      <c r="P202" s="64"/>
      <c r="Q202" s="64"/>
      <c r="R202" s="64"/>
      <c r="S202" s="64"/>
      <c r="T202" s="78">
        <f>V43</f>
        <v>2.2365913155174472E-2</v>
      </c>
      <c r="U202" s="25"/>
      <c r="V202" s="25"/>
      <c r="W202" s="25"/>
      <c r="X202" s="5"/>
    </row>
    <row r="203" spans="1:24" ht="15.6" x14ac:dyDescent="0.3">
      <c r="A203" s="75"/>
      <c r="B203" s="76" t="s">
        <v>75</v>
      </c>
      <c r="C203" s="77"/>
      <c r="D203" s="77"/>
      <c r="E203" s="77"/>
      <c r="F203" s="77"/>
      <c r="G203" s="64"/>
      <c r="H203" s="64"/>
      <c r="I203" s="64"/>
      <c r="J203" s="64"/>
      <c r="K203" s="64"/>
      <c r="L203" s="64"/>
      <c r="M203" s="64"/>
      <c r="N203" s="64"/>
      <c r="O203" s="64"/>
      <c r="P203" s="64"/>
      <c r="Q203" s="64"/>
      <c r="R203" s="64"/>
      <c r="S203" s="64"/>
      <c r="T203" s="78">
        <f>T201-T202</f>
        <v>1.6394086844825531E-2</v>
      </c>
      <c r="U203" s="25"/>
      <c r="V203" s="25"/>
      <c r="W203" s="25"/>
      <c r="X203" s="5"/>
    </row>
    <row r="204" spans="1:24" ht="15.6" x14ac:dyDescent="0.3">
      <c r="A204" s="75"/>
      <c r="B204" s="76" t="s">
        <v>271</v>
      </c>
      <c r="C204" s="77"/>
      <c r="D204" s="77"/>
      <c r="E204" s="77"/>
      <c r="F204" s="77"/>
      <c r="G204" s="64"/>
      <c r="H204" s="64"/>
      <c r="I204" s="64"/>
      <c r="J204" s="64"/>
      <c r="K204" s="64"/>
      <c r="L204" s="64"/>
      <c r="M204" s="64"/>
      <c r="N204" s="64"/>
      <c r="O204" s="64"/>
      <c r="P204" s="64"/>
      <c r="Q204" s="64"/>
      <c r="R204" s="64"/>
      <c r="S204" s="64"/>
      <c r="T204" s="78">
        <f>+V101/N72</f>
        <v>1.2034120467274645E-2</v>
      </c>
      <c r="U204" s="25"/>
      <c r="V204" s="25"/>
      <c r="W204" s="25"/>
      <c r="X204" s="5"/>
    </row>
    <row r="205" spans="1:24" ht="15.6" x14ac:dyDescent="0.3">
      <c r="A205" s="75"/>
      <c r="B205" s="76" t="s">
        <v>214</v>
      </c>
      <c r="C205" s="77"/>
      <c r="D205" s="77"/>
      <c r="E205" s="77"/>
      <c r="F205" s="77"/>
      <c r="G205" s="64"/>
      <c r="H205" s="64"/>
      <c r="I205" s="64"/>
      <c r="J205" s="64"/>
      <c r="K205" s="64"/>
      <c r="L205" s="64"/>
      <c r="M205" s="64"/>
      <c r="N205" s="64"/>
      <c r="O205" s="64"/>
      <c r="P205" s="64"/>
      <c r="Q205" s="64"/>
      <c r="R205" s="64"/>
      <c r="S205" s="64"/>
      <c r="T205" s="129">
        <v>50710</v>
      </c>
      <c r="U205" s="25"/>
      <c r="V205" s="25"/>
      <c r="W205" s="25"/>
      <c r="X205" s="5"/>
    </row>
    <row r="206" spans="1:24" ht="15.6" x14ac:dyDescent="0.3">
      <c r="A206" s="75"/>
      <c r="B206" s="76" t="s">
        <v>215</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216</v>
      </c>
      <c r="C207" s="77"/>
      <c r="D207" s="77"/>
      <c r="E207" s="77"/>
      <c r="F207" s="77"/>
      <c r="G207" s="64"/>
      <c r="H207" s="64"/>
      <c r="I207" s="64"/>
      <c r="J207" s="64"/>
      <c r="K207" s="64"/>
      <c r="L207" s="64"/>
      <c r="M207" s="64"/>
      <c r="N207" s="64"/>
      <c r="O207" s="64"/>
      <c r="P207" s="64"/>
      <c r="Q207" s="64"/>
      <c r="R207" s="64"/>
      <c r="S207" s="64"/>
      <c r="T207" s="129">
        <v>50710</v>
      </c>
      <c r="U207" s="25"/>
      <c r="V207" s="25"/>
      <c r="W207" s="25"/>
      <c r="X207" s="5"/>
    </row>
    <row r="208" spans="1:24" ht="15.6" x14ac:dyDescent="0.3">
      <c r="A208" s="75"/>
      <c r="B208" s="76" t="s">
        <v>76</v>
      </c>
      <c r="C208" s="77"/>
      <c r="D208" s="77"/>
      <c r="E208" s="77"/>
      <c r="F208" s="77"/>
      <c r="G208" s="64"/>
      <c r="H208" s="64"/>
      <c r="I208" s="64"/>
      <c r="J208" s="64"/>
      <c r="K208" s="64"/>
      <c r="L208" s="64"/>
      <c r="M208" s="64"/>
      <c r="N208" s="64"/>
      <c r="O208" s="64"/>
      <c r="P208" s="64"/>
      <c r="Q208" s="64"/>
      <c r="R208" s="64"/>
      <c r="S208" s="64"/>
      <c r="T208" s="133">
        <v>21.06</v>
      </c>
      <c r="U208" s="25" t="s">
        <v>115</v>
      </c>
      <c r="V208" s="25"/>
      <c r="W208" s="25"/>
      <c r="X208" s="5"/>
    </row>
    <row r="209" spans="1:24" ht="15.6" x14ac:dyDescent="0.3">
      <c r="A209" s="75"/>
      <c r="B209" s="76" t="s">
        <v>77</v>
      </c>
      <c r="C209" s="77"/>
      <c r="D209" s="77"/>
      <c r="E209" s="77"/>
      <c r="F209" s="77"/>
      <c r="G209" s="64"/>
      <c r="H209" s="64"/>
      <c r="I209" s="64"/>
      <c r="J209" s="64"/>
      <c r="K209" s="64"/>
      <c r="L209" s="64"/>
      <c r="M209" s="64"/>
      <c r="N209" s="64"/>
      <c r="O209" s="64"/>
      <c r="P209" s="64"/>
      <c r="Q209" s="64"/>
      <c r="R209" s="64"/>
      <c r="S209" s="64"/>
      <c r="T209" s="133">
        <v>18.37</v>
      </c>
      <c r="U209" s="25" t="s">
        <v>115</v>
      </c>
      <c r="V209" s="25"/>
      <c r="W209" s="25"/>
      <c r="X209" s="5"/>
    </row>
    <row r="210" spans="1:24" ht="15.6" x14ac:dyDescent="0.3">
      <c r="A210" s="75"/>
      <c r="B210" s="76" t="s">
        <v>78</v>
      </c>
      <c r="C210" s="77"/>
      <c r="D210" s="77"/>
      <c r="E210" s="77"/>
      <c r="F210" s="77"/>
      <c r="G210" s="64"/>
      <c r="H210" s="64"/>
      <c r="I210" s="64"/>
      <c r="J210" s="64"/>
      <c r="K210" s="64"/>
      <c r="L210" s="64"/>
      <c r="M210" s="64"/>
      <c r="N210" s="64"/>
      <c r="O210" s="64"/>
      <c r="P210" s="64"/>
      <c r="Q210" s="64"/>
      <c r="R210" s="64"/>
      <c r="S210" s="64"/>
      <c r="T210" s="78">
        <f>+P69/N69</f>
        <v>1.0207959835589924E-2</v>
      </c>
      <c r="U210" s="25"/>
      <c r="V210" s="25"/>
      <c r="W210" s="25"/>
      <c r="X210" s="5"/>
    </row>
    <row r="211" spans="1:24" ht="15.6" x14ac:dyDescent="0.3">
      <c r="A211" s="75"/>
      <c r="B211" s="76" t="s">
        <v>79</v>
      </c>
      <c r="C211" s="77"/>
      <c r="D211" s="77"/>
      <c r="E211" s="77"/>
      <c r="F211" s="77"/>
      <c r="G211" s="64"/>
      <c r="H211" s="64"/>
      <c r="I211" s="64"/>
      <c r="J211" s="64"/>
      <c r="K211" s="64"/>
      <c r="L211" s="64"/>
      <c r="M211" s="64"/>
      <c r="N211" s="64"/>
      <c r="O211" s="64"/>
      <c r="P211" s="64"/>
      <c r="Q211" s="64"/>
      <c r="R211" s="64"/>
      <c r="S211" s="64"/>
      <c r="T211" s="78">
        <v>0.1265</v>
      </c>
      <c r="U211" s="25"/>
      <c r="V211" s="25"/>
      <c r="W211" s="25"/>
      <c r="X211" s="5"/>
    </row>
    <row r="212" spans="1:24" ht="15.6" x14ac:dyDescent="0.3">
      <c r="A212" s="75"/>
      <c r="B212" s="76"/>
      <c r="C212" s="76"/>
      <c r="D212" s="76"/>
      <c r="E212" s="76"/>
      <c r="F212" s="76"/>
      <c r="G212" s="25"/>
      <c r="H212" s="25"/>
      <c r="I212" s="25"/>
      <c r="J212" s="25"/>
      <c r="K212" s="25"/>
      <c r="L212" s="25"/>
      <c r="M212" s="25"/>
      <c r="N212" s="25"/>
      <c r="O212" s="25"/>
      <c r="P212" s="25"/>
      <c r="Q212" s="25"/>
      <c r="R212" s="25"/>
      <c r="S212" s="25"/>
      <c r="T212" s="61"/>
      <c r="U212" s="25"/>
      <c r="V212" s="79"/>
      <c r="W212" s="25"/>
      <c r="X212" s="5"/>
    </row>
    <row r="213" spans="1:24" ht="15.6" x14ac:dyDescent="0.3">
      <c r="A213" s="80"/>
      <c r="B213" s="14" t="s">
        <v>80</v>
      </c>
      <c r="C213" s="81"/>
      <c r="D213" s="81"/>
      <c r="E213" s="81"/>
      <c r="F213" s="82"/>
      <c r="G213" s="81"/>
      <c r="H213" s="17"/>
      <c r="I213" s="17"/>
      <c r="J213" s="17"/>
      <c r="K213" s="17"/>
      <c r="L213" s="17"/>
      <c r="M213" s="17"/>
      <c r="N213" s="17"/>
      <c r="O213" s="17"/>
      <c r="P213" s="17"/>
      <c r="Q213" s="17"/>
      <c r="R213" s="17"/>
      <c r="S213" s="17" t="s">
        <v>104</v>
      </c>
      <c r="T213" s="83" t="s">
        <v>111</v>
      </c>
      <c r="U213" s="8"/>
      <c r="V213" s="8"/>
      <c r="W213" s="8"/>
      <c r="X213" s="5"/>
    </row>
    <row r="214" spans="1:24" ht="15.6" x14ac:dyDescent="0.3">
      <c r="A214" s="84"/>
      <c r="B214" s="76" t="s">
        <v>81</v>
      </c>
      <c r="C214" s="54"/>
      <c r="D214" s="54"/>
      <c r="E214" s="54"/>
      <c r="F214" s="25"/>
      <c r="G214" s="25"/>
      <c r="H214" s="30"/>
      <c r="I214" s="30"/>
      <c r="J214" s="30"/>
      <c r="K214" s="30"/>
      <c r="L214" s="30"/>
      <c r="M214" s="30"/>
      <c r="N214" s="30"/>
      <c r="O214" s="30"/>
      <c r="P214" s="30"/>
      <c r="Q214" s="30"/>
      <c r="R214" s="30"/>
      <c r="S214" s="30">
        <v>3</v>
      </c>
      <c r="T214" s="85">
        <v>531</v>
      </c>
      <c r="U214" s="25"/>
      <c r="V214" s="79"/>
      <c r="W214" s="86"/>
      <c r="X214" s="5"/>
    </row>
    <row r="215" spans="1:24" ht="15.6" x14ac:dyDescent="0.3">
      <c r="A215" s="84"/>
      <c r="B215" s="76" t="s">
        <v>150</v>
      </c>
      <c r="C215" s="54"/>
      <c r="D215" s="54"/>
      <c r="E215" s="54"/>
      <c r="F215" s="25"/>
      <c r="G215" s="25"/>
      <c r="H215" s="30"/>
      <c r="I215" s="30"/>
      <c r="J215" s="30"/>
      <c r="K215" s="30"/>
      <c r="L215" s="30"/>
      <c r="M215" s="30"/>
      <c r="N215" s="30"/>
      <c r="O215" s="30"/>
      <c r="P215" s="30"/>
      <c r="Q215" s="30"/>
      <c r="R215" s="30"/>
      <c r="S215" s="152">
        <f>+R255</f>
        <v>190</v>
      </c>
      <c r="T215" s="85">
        <f>+T255</f>
        <v>32695</v>
      </c>
      <c r="U215" s="25"/>
      <c r="V215" s="79"/>
      <c r="W215" s="86"/>
      <c r="X215" s="5"/>
    </row>
    <row r="216" spans="1:24" ht="15.6" x14ac:dyDescent="0.3">
      <c r="A216" s="84"/>
      <c r="B216" s="76" t="s">
        <v>82</v>
      </c>
      <c r="C216" s="54"/>
      <c r="D216" s="54"/>
      <c r="E216" s="54"/>
      <c r="F216" s="25"/>
      <c r="G216" s="25"/>
      <c r="H216" s="30"/>
      <c r="I216" s="30"/>
      <c r="J216" s="30"/>
      <c r="K216" s="30"/>
      <c r="L216" s="30"/>
      <c r="M216" s="30"/>
      <c r="N216" s="30"/>
      <c r="O216" s="30"/>
      <c r="P216" s="30"/>
      <c r="Q216" s="30"/>
      <c r="R216" s="30"/>
      <c r="S216" s="152">
        <f>+R267</f>
        <v>0</v>
      </c>
      <c r="T216" s="85">
        <f>+T267</f>
        <v>0</v>
      </c>
      <c r="U216" s="25"/>
      <c r="V216" s="79"/>
      <c r="W216" s="86"/>
      <c r="X216" s="5"/>
    </row>
    <row r="217" spans="1:24" ht="15.6" x14ac:dyDescent="0.3">
      <c r="A217" s="84"/>
      <c r="B217" s="122" t="s">
        <v>83</v>
      </c>
      <c r="C217" s="54"/>
      <c r="D217" s="54"/>
      <c r="E217" s="54"/>
      <c r="F217" s="25"/>
      <c r="G217" s="25"/>
      <c r="H217" s="25"/>
      <c r="I217" s="25"/>
      <c r="J217" s="25"/>
      <c r="K217" s="25"/>
      <c r="L217" s="25"/>
      <c r="M217" s="25"/>
      <c r="N217" s="25"/>
      <c r="O217" s="25"/>
      <c r="P217" s="25"/>
      <c r="Q217" s="25"/>
      <c r="R217" s="25"/>
      <c r="S217" s="25"/>
      <c r="T217" s="85">
        <v>0</v>
      </c>
      <c r="U217" s="25"/>
      <c r="V217" s="79"/>
      <c r="W217" s="86"/>
      <c r="X217" s="5"/>
    </row>
    <row r="218" spans="1:24" ht="15.6" x14ac:dyDescent="0.3">
      <c r="A218" s="84"/>
      <c r="B218" s="122" t="s">
        <v>84</v>
      </c>
      <c r="C218" s="54"/>
      <c r="D218" s="54"/>
      <c r="E218" s="54"/>
      <c r="F218" s="25"/>
      <c r="G218" s="25"/>
      <c r="H218" s="25"/>
      <c r="I218" s="25"/>
      <c r="J218" s="25"/>
      <c r="K218" s="25"/>
      <c r="L218" s="25"/>
      <c r="M218" s="25"/>
      <c r="N218" s="25"/>
      <c r="O218" s="25"/>
      <c r="P218" s="25"/>
      <c r="Q218" s="25"/>
      <c r="R218" s="25"/>
      <c r="S218" s="25"/>
      <c r="T218" s="62" t="s">
        <v>112</v>
      </c>
      <c r="U218" s="25"/>
      <c r="V218" s="79"/>
      <c r="W218" s="86"/>
      <c r="X218" s="5"/>
    </row>
    <row r="219" spans="1:24" ht="15.6" x14ac:dyDescent="0.3">
      <c r="A219" s="87"/>
      <c r="B219" s="122" t="s">
        <v>85</v>
      </c>
      <c r="C219" s="76"/>
      <c r="D219" s="76"/>
      <c r="E219" s="76"/>
      <c r="F219" s="76"/>
      <c r="G219" s="25"/>
      <c r="H219" s="25"/>
      <c r="I219" s="25"/>
      <c r="J219" s="25"/>
      <c r="K219" s="25"/>
      <c r="L219" s="25"/>
      <c r="M219" s="25"/>
      <c r="N219" s="25"/>
      <c r="O219" s="25"/>
      <c r="P219" s="25"/>
      <c r="Q219" s="25"/>
      <c r="R219" s="25"/>
      <c r="S219" s="25"/>
      <c r="T219" s="85"/>
      <c r="U219" s="25"/>
      <c r="V219" s="79"/>
      <c r="W219" s="88"/>
      <c r="X219" s="5"/>
    </row>
    <row r="220" spans="1:24" ht="15.6" x14ac:dyDescent="0.3">
      <c r="A220" s="87"/>
      <c r="B220" s="131" t="s">
        <v>86</v>
      </c>
      <c r="C220" s="76"/>
      <c r="D220" s="76"/>
      <c r="E220" s="76"/>
      <c r="F220" s="76"/>
      <c r="G220" s="25"/>
      <c r="H220" s="25"/>
      <c r="I220" s="25"/>
      <c r="J220" s="25"/>
      <c r="K220" s="25"/>
      <c r="L220" s="25"/>
      <c r="M220" s="25"/>
      <c r="N220" s="25"/>
      <c r="O220" s="25"/>
      <c r="P220" s="25"/>
      <c r="Q220" s="25"/>
      <c r="R220" s="25"/>
      <c r="S220" s="30"/>
      <c r="T220" s="85">
        <f>+V165</f>
        <v>319</v>
      </c>
      <c r="U220" s="25"/>
      <c r="V220" s="79"/>
      <c r="W220" s="88"/>
      <c r="X220" s="5"/>
    </row>
    <row r="221" spans="1:24" ht="15.6" x14ac:dyDescent="0.3">
      <c r="A221" s="84"/>
      <c r="B221" s="76" t="s">
        <v>87</v>
      </c>
      <c r="C221" s="54"/>
      <c r="D221" s="54"/>
      <c r="E221" s="54"/>
      <c r="F221" s="54"/>
      <c r="G221" s="25"/>
      <c r="H221" s="25"/>
      <c r="I221" s="25"/>
      <c r="J221" s="25"/>
      <c r="K221" s="25"/>
      <c r="L221" s="25"/>
      <c r="M221" s="25"/>
      <c r="N221" s="25"/>
      <c r="O221" s="25"/>
      <c r="P221" s="25"/>
      <c r="Q221" s="25"/>
      <c r="R221" s="25"/>
      <c r="S221" s="30"/>
      <c r="T221" s="85">
        <f>'Jan 09'!T221+'April 09'!T220</f>
        <v>682</v>
      </c>
      <c r="U221" s="25"/>
      <c r="V221" s="79"/>
      <c r="W221" s="88"/>
      <c r="X221" s="5"/>
    </row>
    <row r="222" spans="1:24" ht="15.6" x14ac:dyDescent="0.3">
      <c r="A222" s="87"/>
      <c r="B222" s="122" t="s">
        <v>292</v>
      </c>
      <c r="C222" s="76"/>
      <c r="D222" s="76"/>
      <c r="E222" s="76"/>
      <c r="F222" s="76"/>
      <c r="G222" s="25"/>
      <c r="H222" s="25"/>
      <c r="I222" s="25"/>
      <c r="J222" s="25"/>
      <c r="K222" s="25"/>
      <c r="L222" s="25"/>
      <c r="M222" s="25"/>
      <c r="N222" s="25"/>
      <c r="O222" s="25"/>
      <c r="P222" s="25"/>
      <c r="Q222" s="25"/>
      <c r="R222" s="25"/>
      <c r="S222" s="30"/>
      <c r="T222" s="85"/>
      <c r="U222" s="25"/>
      <c r="V222" s="79"/>
      <c r="W222" s="88"/>
      <c r="X222" s="5"/>
    </row>
    <row r="223" spans="1:24" ht="15.6" x14ac:dyDescent="0.3">
      <c r="A223" s="87"/>
      <c r="B223" s="76" t="s">
        <v>290</v>
      </c>
      <c r="C223" s="76"/>
      <c r="D223" s="76"/>
      <c r="E223" s="76"/>
      <c r="F223" s="76"/>
      <c r="G223" s="25"/>
      <c r="H223" s="25"/>
      <c r="I223" s="25"/>
      <c r="J223" s="25"/>
      <c r="K223" s="25"/>
      <c r="L223" s="25"/>
      <c r="M223" s="25"/>
      <c r="N223" s="25"/>
      <c r="O223" s="25"/>
      <c r="P223" s="25"/>
      <c r="Q223" s="25"/>
      <c r="R223" s="25"/>
      <c r="S223" s="30">
        <v>1</v>
      </c>
      <c r="T223" s="85">
        <v>207</v>
      </c>
      <c r="U223" s="25"/>
      <c r="V223" s="79"/>
      <c r="W223" s="88"/>
      <c r="X223" s="5"/>
    </row>
    <row r="224" spans="1:24" ht="15.6" x14ac:dyDescent="0.3">
      <c r="A224" s="84"/>
      <c r="B224" s="76" t="s">
        <v>88</v>
      </c>
      <c r="C224" s="89"/>
      <c r="D224" s="89"/>
      <c r="E224" s="89"/>
      <c r="F224" s="90"/>
      <c r="G224" s="25"/>
      <c r="H224" s="25"/>
      <c r="I224" s="25"/>
      <c r="J224" s="25"/>
      <c r="K224" s="25"/>
      <c r="L224" s="25"/>
      <c r="M224" s="25"/>
      <c r="N224" s="25"/>
      <c r="O224" s="25"/>
      <c r="P224" s="25"/>
      <c r="Q224" s="25"/>
      <c r="R224" s="25"/>
      <c r="S224" s="25"/>
      <c r="T224" s="62">
        <v>12.39</v>
      </c>
      <c r="U224" s="25"/>
      <c r="V224" s="79"/>
      <c r="W224" s="88"/>
      <c r="X224" s="5"/>
    </row>
    <row r="225" spans="1:25" ht="15.6" x14ac:dyDescent="0.3">
      <c r="A225" s="84"/>
      <c r="B225" s="76" t="s">
        <v>89</v>
      </c>
      <c r="C225" s="89"/>
      <c r="D225" s="89"/>
      <c r="E225" s="89"/>
      <c r="F225" s="90"/>
      <c r="G225" s="25"/>
      <c r="H225" s="25"/>
      <c r="I225" s="25"/>
      <c r="J225" s="25"/>
      <c r="K225" s="25"/>
      <c r="L225" s="25"/>
      <c r="M225" s="25"/>
      <c r="N225" s="25"/>
      <c r="O225" s="25"/>
      <c r="P225" s="25"/>
      <c r="Q225" s="25"/>
      <c r="R225" s="25"/>
      <c r="S225" s="25"/>
      <c r="T225" s="62">
        <v>6.21</v>
      </c>
      <c r="U225" s="25"/>
      <c r="V225" s="79"/>
      <c r="W225" s="88"/>
      <c r="X225" s="5"/>
    </row>
    <row r="226" spans="1:25" ht="15.6" x14ac:dyDescent="0.3">
      <c r="A226" s="84"/>
      <c r="B226" s="122" t="s">
        <v>223</v>
      </c>
      <c r="C226" s="89"/>
      <c r="D226" s="89"/>
      <c r="E226" s="89"/>
      <c r="F226" s="90"/>
      <c r="G226" s="25"/>
      <c r="H226" s="25"/>
      <c r="I226" s="25"/>
      <c r="J226" s="25"/>
      <c r="K226" s="25"/>
      <c r="L226" s="25"/>
      <c r="M226" s="25"/>
      <c r="N226" s="25"/>
      <c r="O226" s="25"/>
      <c r="P226" s="25"/>
      <c r="Q226" s="25"/>
      <c r="R226" s="25"/>
      <c r="S226" s="25"/>
      <c r="T226" s="91"/>
      <c r="U226" s="25"/>
      <c r="V226" s="79"/>
      <c r="W226" s="88"/>
      <c r="X226" s="5"/>
    </row>
    <row r="227" spans="1:25" ht="15.6" x14ac:dyDescent="0.3">
      <c r="A227" s="84"/>
      <c r="B227" s="76" t="s">
        <v>290</v>
      </c>
      <c r="C227" s="89"/>
      <c r="D227" s="89"/>
      <c r="E227" s="89"/>
      <c r="F227" s="90"/>
      <c r="G227" s="25"/>
      <c r="H227" s="25"/>
      <c r="I227" s="25"/>
      <c r="J227" s="25"/>
      <c r="K227" s="25"/>
      <c r="L227" s="25"/>
      <c r="M227" s="25"/>
      <c r="N227" s="25"/>
      <c r="O227" s="25"/>
      <c r="P227" s="25"/>
      <c r="Q227" s="25"/>
      <c r="R227" s="25"/>
      <c r="S227" s="30">
        <v>4</v>
      </c>
      <c r="T227" s="85">
        <v>652</v>
      </c>
      <c r="U227" s="25"/>
      <c r="V227" s="79"/>
      <c r="W227" s="88"/>
      <c r="X227" s="5"/>
    </row>
    <row r="228" spans="1:25" ht="15.6" x14ac:dyDescent="0.3">
      <c r="A228" s="84"/>
      <c r="B228" s="76" t="s">
        <v>224</v>
      </c>
      <c r="C228" s="89"/>
      <c r="D228" s="89"/>
      <c r="E228" s="89"/>
      <c r="F228" s="90"/>
      <c r="G228" s="25"/>
      <c r="H228" s="25"/>
      <c r="I228" s="25"/>
      <c r="J228" s="25"/>
      <c r="K228" s="25"/>
      <c r="L228" s="25"/>
      <c r="M228" s="25"/>
      <c r="N228" s="25"/>
      <c r="O228" s="25"/>
      <c r="P228" s="25"/>
      <c r="Q228" s="25"/>
      <c r="R228" s="25"/>
      <c r="S228" s="25"/>
      <c r="T228" s="62">
        <v>9.81</v>
      </c>
      <c r="U228" s="25"/>
      <c r="V228" s="79"/>
      <c r="W228" s="88"/>
      <c r="X228" s="5"/>
    </row>
    <row r="229" spans="1:25" ht="15.6" x14ac:dyDescent="0.3">
      <c r="A229" s="84"/>
      <c r="B229" s="76"/>
      <c r="C229" s="89"/>
      <c r="D229" s="89"/>
      <c r="E229" s="89"/>
      <c r="F229" s="90"/>
      <c r="G229" s="25"/>
      <c r="H229" s="25"/>
      <c r="I229" s="25"/>
      <c r="J229" s="25"/>
      <c r="K229" s="25"/>
      <c r="L229" s="25"/>
      <c r="M229" s="25"/>
      <c r="N229" s="25"/>
      <c r="O229" s="25"/>
      <c r="P229" s="25"/>
      <c r="Q229" s="25"/>
      <c r="R229" s="25"/>
      <c r="S229" s="25"/>
      <c r="T229" s="91"/>
      <c r="U229" s="25"/>
      <c r="V229" s="79"/>
      <c r="W229" s="88"/>
      <c r="X229" s="5"/>
    </row>
    <row r="230" spans="1:25" ht="15.6" x14ac:dyDescent="0.3">
      <c r="A230" s="84"/>
      <c r="B230" s="76"/>
      <c r="C230" s="89"/>
      <c r="D230" s="89"/>
      <c r="E230" s="89"/>
      <c r="F230" s="90"/>
      <c r="G230" s="25"/>
      <c r="H230" s="25"/>
      <c r="I230" s="25"/>
      <c r="J230" s="25"/>
      <c r="K230" s="25"/>
      <c r="L230" s="25"/>
      <c r="M230" s="25"/>
      <c r="N230" s="25"/>
      <c r="O230" s="25"/>
      <c r="P230" s="25"/>
      <c r="Q230" s="25"/>
      <c r="R230" s="25"/>
      <c r="S230" s="25"/>
      <c r="T230" s="91"/>
      <c r="U230" s="25"/>
      <c r="V230" s="79"/>
      <c r="W230" s="88"/>
      <c r="X230" s="5"/>
    </row>
    <row r="231" spans="1:25" ht="17.399999999999999" x14ac:dyDescent="0.3">
      <c r="A231" s="84"/>
      <c r="B231" s="149" t="s">
        <v>174</v>
      </c>
      <c r="C231" s="89"/>
      <c r="D231" s="89"/>
      <c r="E231" s="89"/>
      <c r="F231" s="90"/>
      <c r="G231" s="25"/>
      <c r="H231" s="25"/>
      <c r="I231" s="25"/>
      <c r="J231" s="25"/>
      <c r="K231" s="25"/>
      <c r="L231" s="25"/>
      <c r="M231" s="25"/>
      <c r="N231" s="25"/>
      <c r="O231" s="25"/>
      <c r="P231" s="150" t="s">
        <v>173</v>
      </c>
      <c r="Q231" s="25"/>
      <c r="R231" s="25"/>
      <c r="S231" s="25"/>
      <c r="T231" s="91"/>
      <c r="U231" s="25"/>
      <c r="V231" s="79"/>
      <c r="W231" s="88"/>
      <c r="X231" s="5"/>
    </row>
    <row r="232" spans="1:25" ht="15.6" x14ac:dyDescent="0.3">
      <c r="A232" s="84"/>
      <c r="B232" s="76"/>
      <c r="C232" s="89"/>
      <c r="D232" s="89"/>
      <c r="E232" s="89"/>
      <c r="F232" s="90"/>
      <c r="G232" s="25"/>
      <c r="H232" s="25"/>
      <c r="I232" s="25"/>
      <c r="J232" s="25"/>
      <c r="K232" s="25"/>
      <c r="L232" s="25"/>
      <c r="M232" s="25"/>
      <c r="N232" s="25"/>
      <c r="O232" s="25"/>
      <c r="P232" s="25"/>
      <c r="Q232" s="25"/>
      <c r="R232" s="25"/>
      <c r="S232" s="25"/>
      <c r="T232" s="91"/>
      <c r="U232" s="25"/>
      <c r="V232" s="79"/>
      <c r="W232" s="88"/>
      <c r="X232" s="5"/>
    </row>
    <row r="233" spans="1:25" ht="15.6" x14ac:dyDescent="0.3">
      <c r="A233" s="6"/>
      <c r="B233" s="14" t="s">
        <v>167</v>
      </c>
      <c r="C233" s="81"/>
      <c r="D233" s="81"/>
      <c r="E233" s="81"/>
      <c r="F233" s="82"/>
      <c r="G233" s="81"/>
      <c r="H233" s="17"/>
      <c r="I233" s="17"/>
      <c r="J233" s="17"/>
      <c r="K233" s="17"/>
      <c r="L233" s="17"/>
      <c r="M233" s="17"/>
      <c r="N233" s="17"/>
      <c r="O233" s="17"/>
      <c r="P233" s="17"/>
      <c r="Q233" s="17"/>
      <c r="R233" s="83" t="s">
        <v>104</v>
      </c>
      <c r="S233" s="17" t="s">
        <v>105</v>
      </c>
      <c r="T233" s="83" t="s">
        <v>113</v>
      </c>
      <c r="U233" s="17" t="s">
        <v>105</v>
      </c>
      <c r="V233" s="8"/>
      <c r="W233" s="92"/>
      <c r="X233" s="5"/>
    </row>
    <row r="234" spans="1:25" ht="15.6" x14ac:dyDescent="0.3">
      <c r="A234" s="24"/>
      <c r="B234" s="54" t="s">
        <v>90</v>
      </c>
      <c r="C234" s="93"/>
      <c r="D234" s="93"/>
      <c r="E234" s="93"/>
      <c r="F234" s="25"/>
      <c r="G234" s="93"/>
      <c r="H234" s="93"/>
      <c r="I234" s="93"/>
      <c r="J234" s="93"/>
      <c r="K234" s="93"/>
      <c r="L234" s="93"/>
      <c r="M234" s="93"/>
      <c r="N234" s="93"/>
      <c r="O234" s="93"/>
      <c r="P234" s="93"/>
      <c r="Q234" s="93"/>
      <c r="R234" s="54">
        <v>7564</v>
      </c>
      <c r="S234" s="94">
        <f t="shared" ref="S234:S241" si="1">R234/$R$243</f>
        <v>0.98157280041526085</v>
      </c>
      <c r="T234" s="53">
        <v>1013017</v>
      </c>
      <c r="U234" s="132">
        <f t="shared" ref="U234:U241" si="2">T234/$T$243</f>
        <v>0.97743541846173743</v>
      </c>
      <c r="V234" s="79"/>
      <c r="W234" s="88"/>
      <c r="X234" s="5"/>
    </row>
    <row r="235" spans="1:25" ht="15.6" x14ac:dyDescent="0.3">
      <c r="A235" s="24"/>
      <c r="B235" s="54" t="s">
        <v>91</v>
      </c>
      <c r="C235" s="93"/>
      <c r="D235" s="93"/>
      <c r="E235" s="93"/>
      <c r="F235" s="25"/>
      <c r="G235" s="94"/>
      <c r="H235" s="93"/>
      <c r="I235" s="93"/>
      <c r="J235" s="93"/>
      <c r="K235" s="93"/>
      <c r="L235" s="93"/>
      <c r="M235" s="93"/>
      <c r="N235" s="93"/>
      <c r="O235" s="93"/>
      <c r="P235" s="93"/>
      <c r="Q235" s="93"/>
      <c r="R235" s="54">
        <v>77</v>
      </c>
      <c r="S235" s="94">
        <f t="shared" si="1"/>
        <v>9.9922138593303914E-3</v>
      </c>
      <c r="T235" s="53">
        <v>12499</v>
      </c>
      <c r="U235" s="132">
        <f t="shared" si="2"/>
        <v>1.2059980528809739E-2</v>
      </c>
      <c r="V235" s="79"/>
      <c r="W235" s="88"/>
      <c r="X235" s="5"/>
      <c r="Y235" s="109"/>
    </row>
    <row r="236" spans="1:25" ht="15.6" x14ac:dyDescent="0.3">
      <c r="A236" s="24"/>
      <c r="B236" s="54" t="s">
        <v>92</v>
      </c>
      <c r="C236" s="93"/>
      <c r="D236" s="93"/>
      <c r="E236" s="93"/>
      <c r="F236" s="25"/>
      <c r="G236" s="94"/>
      <c r="H236" s="93"/>
      <c r="I236" s="93"/>
      <c r="J236" s="93"/>
      <c r="K236" s="93"/>
      <c r="L236" s="93"/>
      <c r="M236" s="93"/>
      <c r="N236" s="93"/>
      <c r="O236" s="93"/>
      <c r="P236" s="93"/>
      <c r="Q236" s="93"/>
      <c r="R236" s="54">
        <v>39</v>
      </c>
      <c r="S236" s="94">
        <f t="shared" si="1"/>
        <v>5.0609914352452634E-3</v>
      </c>
      <c r="T236" s="53">
        <v>7043</v>
      </c>
      <c r="U236" s="132">
        <f t="shared" si="2"/>
        <v>6.7956190786788535E-3</v>
      </c>
      <c r="V236" s="79"/>
      <c r="W236" s="88"/>
      <c r="X236" s="5"/>
    </row>
    <row r="237" spans="1:25" ht="15.6" x14ac:dyDescent="0.3">
      <c r="A237" s="24"/>
      <c r="B237" s="54" t="s">
        <v>161</v>
      </c>
      <c r="C237" s="93"/>
      <c r="D237" s="93"/>
      <c r="E237" s="93"/>
      <c r="F237" s="25"/>
      <c r="G237" s="94"/>
      <c r="H237" s="93"/>
      <c r="I237" s="93"/>
      <c r="J237" s="93"/>
      <c r="K237" s="93"/>
      <c r="L237" s="93"/>
      <c r="M237" s="93"/>
      <c r="N237" s="93"/>
      <c r="O237" s="93"/>
      <c r="P237" s="93"/>
      <c r="Q237" s="93"/>
      <c r="R237" s="54">
        <v>14</v>
      </c>
      <c r="S237" s="94">
        <f t="shared" si="1"/>
        <v>1.8167661562418895E-3</v>
      </c>
      <c r="T237" s="53">
        <v>1601</v>
      </c>
      <c r="U237" s="132">
        <f t="shared" si="2"/>
        <v>1.5447658874009436E-3</v>
      </c>
      <c r="V237" s="79"/>
      <c r="W237" s="88"/>
      <c r="X237" s="5"/>
      <c r="Y237" s="109"/>
    </row>
    <row r="238" spans="1:25" ht="15.6" x14ac:dyDescent="0.3">
      <c r="A238" s="24"/>
      <c r="B238" s="54" t="s">
        <v>162</v>
      </c>
      <c r="C238" s="93"/>
      <c r="D238" s="93"/>
      <c r="E238" s="93"/>
      <c r="F238" s="25"/>
      <c r="G238" s="94"/>
      <c r="H238" s="93"/>
      <c r="I238" s="93"/>
      <c r="J238" s="93"/>
      <c r="K238" s="93"/>
      <c r="L238" s="93"/>
      <c r="M238" s="93"/>
      <c r="N238" s="93"/>
      <c r="O238" s="93"/>
      <c r="P238" s="93"/>
      <c r="Q238" s="93"/>
      <c r="R238" s="54">
        <v>8</v>
      </c>
      <c r="S238" s="94">
        <f t="shared" si="1"/>
        <v>1.0381520892810796E-3</v>
      </c>
      <c r="T238" s="53">
        <v>1223</v>
      </c>
      <c r="U238" s="132">
        <f t="shared" si="2"/>
        <v>1.1800428983706145E-3</v>
      </c>
      <c r="V238" s="79"/>
      <c r="W238" s="88"/>
      <c r="X238" s="5"/>
    </row>
    <row r="239" spans="1:25" ht="15.6" x14ac:dyDescent="0.3">
      <c r="A239" s="24"/>
      <c r="B239" s="54" t="s">
        <v>163</v>
      </c>
      <c r="C239" s="93"/>
      <c r="D239" s="93"/>
      <c r="E239" s="93"/>
      <c r="F239" s="25"/>
      <c r="G239" s="94"/>
      <c r="H239" s="93"/>
      <c r="I239" s="93"/>
      <c r="J239" s="93"/>
      <c r="K239" s="93"/>
      <c r="L239" s="93"/>
      <c r="M239" s="93"/>
      <c r="N239" s="93"/>
      <c r="O239" s="93"/>
      <c r="P239" s="93"/>
      <c r="Q239" s="93"/>
      <c r="R239" s="54">
        <v>2</v>
      </c>
      <c r="S239" s="94">
        <f t="shared" si="1"/>
        <v>2.5953802232026989E-4</v>
      </c>
      <c r="T239" s="53">
        <v>269</v>
      </c>
      <c r="U239" s="132">
        <f t="shared" si="2"/>
        <v>2.5955154510359389E-4</v>
      </c>
      <c r="V239" s="79"/>
      <c r="W239" s="88"/>
      <c r="X239" s="5"/>
      <c r="Y239" s="109"/>
    </row>
    <row r="240" spans="1:25" ht="15.6" x14ac:dyDescent="0.3">
      <c r="A240" s="24"/>
      <c r="B240" s="54" t="s">
        <v>164</v>
      </c>
      <c r="C240" s="93"/>
      <c r="D240" s="93"/>
      <c r="E240" s="93"/>
      <c r="F240" s="25"/>
      <c r="G240" s="94"/>
      <c r="H240" s="93"/>
      <c r="I240" s="93"/>
      <c r="J240" s="93"/>
      <c r="K240" s="93"/>
      <c r="L240" s="93"/>
      <c r="M240" s="93"/>
      <c r="N240" s="93"/>
      <c r="O240" s="93"/>
      <c r="P240" s="93"/>
      <c r="Q240" s="93"/>
      <c r="R240" s="54">
        <v>2</v>
      </c>
      <c r="S240" s="94">
        <f t="shared" si="1"/>
        <v>2.5953802232026989E-4</v>
      </c>
      <c r="T240" s="53">
        <v>751</v>
      </c>
      <c r="U240" s="132">
        <f t="shared" si="2"/>
        <v>7.2462159989888106E-4</v>
      </c>
      <c r="V240" s="79"/>
      <c r="W240" s="88"/>
      <c r="X240" s="5"/>
    </row>
    <row r="241" spans="1:25" ht="15.6" x14ac:dyDescent="0.3">
      <c r="A241" s="24"/>
      <c r="B241" s="54" t="s">
        <v>165</v>
      </c>
      <c r="C241" s="93"/>
      <c r="D241" s="93"/>
      <c r="E241" s="93"/>
      <c r="F241" s="25"/>
      <c r="G241" s="94"/>
      <c r="H241" s="93"/>
      <c r="I241" s="93"/>
      <c r="J241" s="93"/>
      <c r="K241" s="93"/>
      <c r="L241" s="93"/>
      <c r="M241" s="93"/>
      <c r="N241" s="93"/>
      <c r="O241" s="93"/>
      <c r="P241" s="93"/>
      <c r="Q241" s="93"/>
      <c r="R241" s="54">
        <v>0</v>
      </c>
      <c r="S241" s="94">
        <f t="shared" si="1"/>
        <v>0</v>
      </c>
      <c r="T241" s="53">
        <v>0</v>
      </c>
      <c r="U241" s="132">
        <f t="shared" si="2"/>
        <v>0</v>
      </c>
      <c r="V241" s="79"/>
      <c r="W241" s="88"/>
      <c r="X241" s="5"/>
      <c r="Y241" s="109"/>
    </row>
    <row r="242" spans="1:25" ht="15.6" x14ac:dyDescent="0.3">
      <c r="A242" s="24"/>
      <c r="B242" s="54"/>
      <c r="C242" s="93"/>
      <c r="D242" s="93"/>
      <c r="E242" s="93"/>
      <c r="F242" s="25"/>
      <c r="G242" s="94"/>
      <c r="H242" s="93"/>
      <c r="I242" s="93"/>
      <c r="J242" s="93"/>
      <c r="K242" s="93"/>
      <c r="L242" s="93"/>
      <c r="M242" s="93"/>
      <c r="N242" s="93"/>
      <c r="O242" s="93"/>
      <c r="P242" s="93"/>
      <c r="Q242" s="93"/>
      <c r="R242" s="54"/>
      <c r="S242" s="94"/>
      <c r="T242" s="53"/>
      <c r="U242" s="132"/>
      <c r="V242" s="79"/>
      <c r="W242" s="88"/>
      <c r="X242" s="5"/>
    </row>
    <row r="243" spans="1:25" ht="15.6" x14ac:dyDescent="0.3">
      <c r="A243" s="24"/>
      <c r="B243" s="25" t="s">
        <v>119</v>
      </c>
      <c r="C243" s="25"/>
      <c r="D243" s="25"/>
      <c r="E243" s="25"/>
      <c r="F243" s="25"/>
      <c r="G243" s="25"/>
      <c r="H243" s="95"/>
      <c r="I243" s="95"/>
      <c r="J243" s="95"/>
      <c r="K243" s="95"/>
      <c r="L243" s="95"/>
      <c r="M243" s="95"/>
      <c r="N243" s="95"/>
      <c r="O243" s="95"/>
      <c r="P243" s="95"/>
      <c r="Q243" s="95"/>
      <c r="R243" s="34">
        <f>SUM(R234:R242)</f>
        <v>7706</v>
      </c>
      <c r="S243" s="132">
        <f>SUM(S234:S242)</f>
        <v>1</v>
      </c>
      <c r="T243" s="53">
        <f>SUM(T234:T242)</f>
        <v>1036403</v>
      </c>
      <c r="U243" s="132">
        <f>SUM(U234:U242)</f>
        <v>1</v>
      </c>
      <c r="V243" s="25"/>
      <c r="W243" s="25"/>
      <c r="X243" s="5"/>
    </row>
    <row r="244" spans="1:25" ht="15.6" x14ac:dyDescent="0.3">
      <c r="A244" s="24"/>
      <c r="B244" s="25"/>
      <c r="C244" s="25"/>
      <c r="D244" s="25"/>
      <c r="E244" s="25"/>
      <c r="F244" s="25"/>
      <c r="G244" s="25"/>
      <c r="H244" s="95"/>
      <c r="I244" s="95"/>
      <c r="J244" s="95"/>
      <c r="K244" s="95"/>
      <c r="L244" s="95"/>
      <c r="M244" s="95"/>
      <c r="N244" s="95"/>
      <c r="O244" s="95"/>
      <c r="P244" s="95"/>
      <c r="Q244" s="95"/>
      <c r="R244" s="34"/>
      <c r="S244" s="132"/>
      <c r="T244" s="53"/>
      <c r="U244" s="132"/>
      <c r="V244" s="25"/>
      <c r="W244" s="25"/>
      <c r="X244" s="5"/>
    </row>
    <row r="245" spans="1:25" ht="15.6" x14ac:dyDescent="0.3">
      <c r="A245" s="141"/>
      <c r="B245" s="14" t="s">
        <v>283</v>
      </c>
      <c r="C245" s="81"/>
      <c r="D245" s="81"/>
      <c r="E245" s="81"/>
      <c r="F245" s="82"/>
      <c r="G245" s="81"/>
      <c r="H245" s="17"/>
      <c r="I245" s="17"/>
      <c r="J245" s="17"/>
      <c r="K245" s="17"/>
      <c r="L245" s="17"/>
      <c r="M245" s="17"/>
      <c r="N245" s="17"/>
      <c r="O245" s="17"/>
      <c r="P245" s="17"/>
      <c r="Q245" s="17"/>
      <c r="R245" s="83" t="s">
        <v>104</v>
      </c>
      <c r="S245" s="17" t="s">
        <v>105</v>
      </c>
      <c r="T245" s="83" t="s">
        <v>113</v>
      </c>
      <c r="U245" s="17" t="s">
        <v>105</v>
      </c>
      <c r="V245" s="139"/>
      <c r="W245" s="140"/>
      <c r="X245" s="5"/>
    </row>
    <row r="246" spans="1:25" ht="15.6" x14ac:dyDescent="0.3">
      <c r="A246" s="24"/>
      <c r="B246" s="54" t="s">
        <v>90</v>
      </c>
      <c r="C246" s="93"/>
      <c r="D246" s="93"/>
      <c r="E246" s="93"/>
      <c r="F246" s="25"/>
      <c r="G246" s="93"/>
      <c r="H246" s="93"/>
      <c r="I246" s="93"/>
      <c r="J246" s="93"/>
      <c r="K246" s="93"/>
      <c r="L246" s="93"/>
      <c r="M246" s="93"/>
      <c r="N246" s="93"/>
      <c r="O246" s="93"/>
      <c r="P246" s="93"/>
      <c r="Q246" s="93"/>
      <c r="R246" s="54">
        <v>16</v>
      </c>
      <c r="S246" s="94">
        <f t="shared" ref="S246:S253" si="3">R246/$R$255</f>
        <v>8.4210526315789472E-2</v>
      </c>
      <c r="T246" s="53">
        <v>2222</v>
      </c>
      <c r="U246" s="132">
        <f t="shared" ref="U246:U253" si="4">T246/$T$255</f>
        <v>6.7961461997247286E-2</v>
      </c>
      <c r="V246" s="25"/>
      <c r="W246" s="25"/>
      <c r="X246" s="5"/>
    </row>
    <row r="247" spans="1:25" ht="15.6" x14ac:dyDescent="0.3">
      <c r="A247" s="24"/>
      <c r="B247" s="54" t="s">
        <v>91</v>
      </c>
      <c r="C247" s="93"/>
      <c r="D247" s="93"/>
      <c r="E247" s="93"/>
      <c r="F247" s="25"/>
      <c r="G247" s="94"/>
      <c r="H247" s="93"/>
      <c r="I247" s="93"/>
      <c r="J247" s="93"/>
      <c r="K247" s="93"/>
      <c r="L247" s="93"/>
      <c r="M247" s="93"/>
      <c r="N247" s="93"/>
      <c r="O247" s="93"/>
      <c r="P247" s="93"/>
      <c r="Q247" s="93"/>
      <c r="R247" s="54">
        <v>65</v>
      </c>
      <c r="S247" s="94">
        <f t="shared" si="3"/>
        <v>0.34210526315789475</v>
      </c>
      <c r="T247" s="53">
        <v>11202</v>
      </c>
      <c r="U247" s="132">
        <f t="shared" si="4"/>
        <v>0.34262119590151402</v>
      </c>
      <c r="V247" s="25"/>
      <c r="W247" s="25"/>
      <c r="X247" s="5"/>
    </row>
    <row r="248" spans="1:25" ht="15.6" x14ac:dyDescent="0.3">
      <c r="A248" s="24"/>
      <c r="B248" s="54" t="s">
        <v>92</v>
      </c>
      <c r="C248" s="93"/>
      <c r="D248" s="93"/>
      <c r="E248" s="93"/>
      <c r="F248" s="25"/>
      <c r="G248" s="94"/>
      <c r="H248" s="93"/>
      <c r="I248" s="93"/>
      <c r="J248" s="93"/>
      <c r="K248" s="93"/>
      <c r="L248" s="93"/>
      <c r="M248" s="93"/>
      <c r="N248" s="93"/>
      <c r="O248" s="93"/>
      <c r="P248" s="93"/>
      <c r="Q248" s="93"/>
      <c r="R248" s="54">
        <v>18</v>
      </c>
      <c r="S248" s="94">
        <f t="shared" si="3"/>
        <v>9.4736842105263161E-2</v>
      </c>
      <c r="T248" s="53">
        <v>3552</v>
      </c>
      <c r="U248" s="132">
        <f t="shared" si="4"/>
        <v>0.10864046490289035</v>
      </c>
      <c r="V248" s="25"/>
      <c r="W248" s="25"/>
      <c r="X248" s="5"/>
    </row>
    <row r="249" spans="1:25" ht="15.6" x14ac:dyDescent="0.3">
      <c r="A249" s="24"/>
      <c r="B249" s="54" t="s">
        <v>161</v>
      </c>
      <c r="C249" s="93"/>
      <c r="D249" s="93"/>
      <c r="E249" s="93"/>
      <c r="F249" s="25"/>
      <c r="G249" s="94"/>
      <c r="H249" s="93"/>
      <c r="I249" s="93"/>
      <c r="J249" s="93"/>
      <c r="K249" s="93"/>
      <c r="L249" s="93"/>
      <c r="M249" s="93"/>
      <c r="N249" s="93"/>
      <c r="O249" s="93"/>
      <c r="P249" s="93"/>
      <c r="Q249" s="93"/>
      <c r="R249" s="54">
        <v>2</v>
      </c>
      <c r="S249" s="94">
        <f t="shared" si="3"/>
        <v>1.0526315789473684E-2</v>
      </c>
      <c r="T249" s="53">
        <v>207</v>
      </c>
      <c r="U249" s="132">
        <f t="shared" si="4"/>
        <v>6.3312433093745219E-3</v>
      </c>
      <c r="V249" s="25"/>
      <c r="W249" s="25"/>
      <c r="X249" s="5"/>
    </row>
    <row r="250" spans="1:25" ht="15.6" x14ac:dyDescent="0.3">
      <c r="A250" s="24"/>
      <c r="B250" s="54" t="s">
        <v>162</v>
      </c>
      <c r="C250" s="93"/>
      <c r="D250" s="93"/>
      <c r="E250" s="93"/>
      <c r="F250" s="25"/>
      <c r="G250" s="94"/>
      <c r="H250" s="93"/>
      <c r="I250" s="93"/>
      <c r="J250" s="93"/>
      <c r="K250" s="93"/>
      <c r="L250" s="93"/>
      <c r="M250" s="93"/>
      <c r="N250" s="93"/>
      <c r="O250" s="93"/>
      <c r="P250" s="93"/>
      <c r="Q250" s="93"/>
      <c r="R250" s="54">
        <v>9</v>
      </c>
      <c r="S250" s="94">
        <f t="shared" si="3"/>
        <v>4.736842105263158E-2</v>
      </c>
      <c r="T250" s="53">
        <v>2035</v>
      </c>
      <c r="U250" s="132">
        <f t="shared" si="4"/>
        <v>6.2241933017280933E-2</v>
      </c>
      <c r="V250" s="25"/>
      <c r="W250" s="25"/>
      <c r="X250" s="5"/>
    </row>
    <row r="251" spans="1:25" ht="15.6" x14ac:dyDescent="0.3">
      <c r="A251" s="24"/>
      <c r="B251" s="54" t="s">
        <v>163</v>
      </c>
      <c r="C251" s="93"/>
      <c r="D251" s="93"/>
      <c r="E251" s="93"/>
      <c r="F251" s="25"/>
      <c r="G251" s="94"/>
      <c r="H251" s="93"/>
      <c r="I251" s="93"/>
      <c r="J251" s="93"/>
      <c r="K251" s="93"/>
      <c r="L251" s="93"/>
      <c r="M251" s="93"/>
      <c r="N251" s="93"/>
      <c r="O251" s="93"/>
      <c r="P251" s="93"/>
      <c r="Q251" s="93"/>
      <c r="R251" s="54">
        <v>7</v>
      </c>
      <c r="S251" s="94">
        <f t="shared" si="3"/>
        <v>3.6842105263157891E-2</v>
      </c>
      <c r="T251" s="53">
        <v>1009</v>
      </c>
      <c r="U251" s="132">
        <f t="shared" si="4"/>
        <v>3.0860987918641995E-2</v>
      </c>
      <c r="V251" s="25"/>
      <c r="W251" s="25"/>
      <c r="X251" s="5"/>
    </row>
    <row r="252" spans="1:25" ht="15.6" x14ac:dyDescent="0.3">
      <c r="A252" s="24"/>
      <c r="B252" s="54" t="s">
        <v>164</v>
      </c>
      <c r="C252" s="93"/>
      <c r="D252" s="93"/>
      <c r="E252" s="93"/>
      <c r="F252" s="25"/>
      <c r="G252" s="94"/>
      <c r="H252" s="93"/>
      <c r="I252" s="93"/>
      <c r="J252" s="93"/>
      <c r="K252" s="93"/>
      <c r="L252" s="93"/>
      <c r="M252" s="93"/>
      <c r="N252" s="93"/>
      <c r="O252" s="93"/>
      <c r="P252" s="93"/>
      <c r="Q252" s="93"/>
      <c r="R252" s="54">
        <v>32</v>
      </c>
      <c r="S252" s="94">
        <f t="shared" si="3"/>
        <v>0.16842105263157894</v>
      </c>
      <c r="T252" s="53">
        <v>6948</v>
      </c>
      <c r="U252" s="132">
        <f t="shared" si="4"/>
        <v>0.21250955803639701</v>
      </c>
      <c r="V252" s="25"/>
      <c r="W252" s="25"/>
      <c r="X252" s="5"/>
    </row>
    <row r="253" spans="1:25" ht="15.6" x14ac:dyDescent="0.3">
      <c r="A253" s="24"/>
      <c r="B253" s="54" t="s">
        <v>165</v>
      </c>
      <c r="C253" s="93"/>
      <c r="D253" s="93"/>
      <c r="E253" s="93"/>
      <c r="F253" s="25"/>
      <c r="G253" s="94"/>
      <c r="H253" s="93"/>
      <c r="I253" s="93"/>
      <c r="J253" s="93"/>
      <c r="K253" s="93"/>
      <c r="L253" s="93"/>
      <c r="M253" s="93"/>
      <c r="N253" s="93"/>
      <c r="O253" s="93"/>
      <c r="P253" s="93"/>
      <c r="Q253" s="93"/>
      <c r="R253" s="54">
        <v>41</v>
      </c>
      <c r="S253" s="94">
        <f t="shared" si="3"/>
        <v>0.21578947368421053</v>
      </c>
      <c r="T253" s="53">
        <v>5520</v>
      </c>
      <c r="U253" s="132">
        <f t="shared" si="4"/>
        <v>0.16883315491665393</v>
      </c>
      <c r="V253" s="25"/>
      <c r="W253" s="25"/>
      <c r="X253" s="5"/>
    </row>
    <row r="254" spans="1:25" ht="15.6" x14ac:dyDescent="0.3">
      <c r="A254" s="24"/>
      <c r="B254" s="54"/>
      <c r="C254" s="93"/>
      <c r="D254" s="93"/>
      <c r="E254" s="93"/>
      <c r="F254" s="25"/>
      <c r="G254" s="94"/>
      <c r="H254" s="93"/>
      <c r="I254" s="93"/>
      <c r="J254" s="93"/>
      <c r="K254" s="93"/>
      <c r="L254" s="93"/>
      <c r="M254" s="93"/>
      <c r="N254" s="93"/>
      <c r="O254" s="93"/>
      <c r="P254" s="93"/>
      <c r="Q254" s="93"/>
      <c r="R254" s="54"/>
      <c r="S254" s="94"/>
      <c r="T254" s="53"/>
      <c r="U254" s="132"/>
      <c r="V254" s="25"/>
      <c r="W254" s="25"/>
      <c r="X254" s="5"/>
    </row>
    <row r="255" spans="1:25" ht="15.6" x14ac:dyDescent="0.3">
      <c r="A255" s="24"/>
      <c r="B255" s="25" t="s">
        <v>119</v>
      </c>
      <c r="C255" s="25"/>
      <c r="D255" s="25"/>
      <c r="E255" s="25"/>
      <c r="F255" s="25"/>
      <c r="G255" s="25"/>
      <c r="H255" s="95"/>
      <c r="I255" s="95"/>
      <c r="J255" s="95"/>
      <c r="K255" s="95"/>
      <c r="L255" s="95"/>
      <c r="M255" s="95"/>
      <c r="N255" s="95"/>
      <c r="O255" s="95"/>
      <c r="P255" s="95"/>
      <c r="Q255" s="95"/>
      <c r="R255" s="34">
        <f>SUM(R246:R254)</f>
        <v>190</v>
      </c>
      <c r="S255" s="132">
        <f>SUM(S246:S254)</f>
        <v>1</v>
      </c>
      <c r="T255" s="53">
        <f>SUM(T246:T254)</f>
        <v>32695</v>
      </c>
      <c r="U255" s="132">
        <f>SUM(U246:U254)</f>
        <v>1</v>
      </c>
      <c r="V255" s="25"/>
      <c r="W255" s="25"/>
      <c r="X255" s="5"/>
    </row>
    <row r="256" spans="1:25" ht="15.6" x14ac:dyDescent="0.3">
      <c r="A256" s="24"/>
      <c r="B256" s="25"/>
      <c r="C256" s="25"/>
      <c r="D256" s="25"/>
      <c r="E256" s="25"/>
      <c r="F256" s="25"/>
      <c r="G256" s="25"/>
      <c r="H256" s="95"/>
      <c r="I256" s="95"/>
      <c r="J256" s="95"/>
      <c r="K256" s="95"/>
      <c r="L256" s="95"/>
      <c r="M256" s="95"/>
      <c r="N256" s="95"/>
      <c r="O256" s="95"/>
      <c r="P256" s="95"/>
      <c r="Q256" s="95"/>
      <c r="R256" s="34"/>
      <c r="S256" s="132"/>
      <c r="T256" s="53"/>
      <c r="U256" s="132"/>
      <c r="V256" s="25"/>
      <c r="W256" s="25"/>
      <c r="X256" s="5"/>
    </row>
    <row r="257" spans="1:24" ht="15.6" x14ac:dyDescent="0.3">
      <c r="A257" s="141"/>
      <c r="B257" s="14" t="s">
        <v>169</v>
      </c>
      <c r="C257" s="139"/>
      <c r="D257" s="139"/>
      <c r="E257" s="139"/>
      <c r="F257" s="139"/>
      <c r="G257" s="139"/>
      <c r="H257" s="145"/>
      <c r="I257" s="145"/>
      <c r="J257" s="145"/>
      <c r="K257" s="145"/>
      <c r="L257" s="145"/>
      <c r="M257" s="145"/>
      <c r="N257" s="145"/>
      <c r="O257" s="145"/>
      <c r="P257" s="145"/>
      <c r="Q257" s="145"/>
      <c r="R257" s="83" t="s">
        <v>104</v>
      </c>
      <c r="S257" s="17" t="s">
        <v>105</v>
      </c>
      <c r="T257" s="83" t="s">
        <v>113</v>
      </c>
      <c r="U257" s="17" t="s">
        <v>105</v>
      </c>
      <c r="V257" s="139"/>
      <c r="W257" s="140"/>
      <c r="X257" s="5"/>
    </row>
    <row r="258" spans="1:24" ht="15.6" x14ac:dyDescent="0.3">
      <c r="A258" s="24"/>
      <c r="B258" s="54" t="s">
        <v>90</v>
      </c>
      <c r="C258" s="25"/>
      <c r="D258" s="25"/>
      <c r="E258" s="25"/>
      <c r="F258" s="25"/>
      <c r="G258" s="25"/>
      <c r="H258" s="95"/>
      <c r="I258" s="95"/>
      <c r="J258" s="95"/>
      <c r="K258" s="95"/>
      <c r="L258" s="95"/>
      <c r="M258" s="95"/>
      <c r="N258" s="95"/>
      <c r="O258" s="95"/>
      <c r="P258" s="95"/>
      <c r="Q258" s="95"/>
      <c r="R258" s="54">
        <v>0</v>
      </c>
      <c r="S258" s="94">
        <v>0</v>
      </c>
      <c r="T258" s="53">
        <v>0</v>
      </c>
      <c r="U258" s="94">
        <v>0</v>
      </c>
      <c r="V258" s="25"/>
      <c r="W258" s="25"/>
      <c r="X258" s="5"/>
    </row>
    <row r="259" spans="1:24" ht="15.6" x14ac:dyDescent="0.3">
      <c r="A259" s="24"/>
      <c r="B259" s="54" t="s">
        <v>91</v>
      </c>
      <c r="C259" s="25"/>
      <c r="D259" s="25"/>
      <c r="E259" s="25"/>
      <c r="F259" s="25"/>
      <c r="G259" s="25"/>
      <c r="H259" s="95"/>
      <c r="I259" s="95"/>
      <c r="J259" s="95"/>
      <c r="K259" s="95"/>
      <c r="L259" s="95"/>
      <c r="M259" s="95"/>
      <c r="N259" s="95"/>
      <c r="O259" s="95"/>
      <c r="P259" s="95"/>
      <c r="Q259" s="95"/>
      <c r="R259" s="54">
        <v>0</v>
      </c>
      <c r="S259" s="94">
        <v>0</v>
      </c>
      <c r="T259" s="53">
        <v>0</v>
      </c>
      <c r="U259" s="94">
        <v>0</v>
      </c>
      <c r="V259" s="25"/>
      <c r="W259" s="25"/>
      <c r="X259" s="5"/>
    </row>
    <row r="260" spans="1:24" ht="15.6" x14ac:dyDescent="0.3">
      <c r="A260" s="24"/>
      <c r="B260" s="54" t="s">
        <v>92</v>
      </c>
      <c r="C260" s="25"/>
      <c r="D260" s="25"/>
      <c r="E260" s="25"/>
      <c r="F260" s="25"/>
      <c r="G260" s="25"/>
      <c r="H260" s="95"/>
      <c r="I260" s="95"/>
      <c r="J260" s="95"/>
      <c r="K260" s="95"/>
      <c r="L260" s="95"/>
      <c r="M260" s="95"/>
      <c r="N260" s="95"/>
      <c r="O260" s="95"/>
      <c r="P260" s="95"/>
      <c r="Q260" s="95"/>
      <c r="R260" s="54">
        <v>0</v>
      </c>
      <c r="S260" s="94">
        <v>0</v>
      </c>
      <c r="T260" s="53">
        <v>0</v>
      </c>
      <c r="U260" s="94">
        <v>0</v>
      </c>
      <c r="V260" s="25"/>
      <c r="W260" s="25"/>
      <c r="X260" s="5"/>
    </row>
    <row r="261" spans="1:24" ht="15.6" x14ac:dyDescent="0.3">
      <c r="A261" s="24"/>
      <c r="B261" s="54" t="s">
        <v>161</v>
      </c>
      <c r="C261" s="25"/>
      <c r="D261" s="25"/>
      <c r="E261" s="25"/>
      <c r="F261" s="25"/>
      <c r="G261" s="25"/>
      <c r="H261" s="95"/>
      <c r="I261" s="95"/>
      <c r="J261" s="95"/>
      <c r="K261" s="95"/>
      <c r="L261" s="95"/>
      <c r="M261" s="95"/>
      <c r="N261" s="95"/>
      <c r="O261" s="95"/>
      <c r="P261" s="95"/>
      <c r="Q261" s="95"/>
      <c r="R261" s="54">
        <v>0</v>
      </c>
      <c r="S261" s="94">
        <v>0</v>
      </c>
      <c r="T261" s="53">
        <v>0</v>
      </c>
      <c r="U261" s="94">
        <v>0</v>
      </c>
      <c r="V261" s="25"/>
      <c r="W261" s="25"/>
      <c r="X261" s="5"/>
    </row>
    <row r="262" spans="1:24" ht="15.6" x14ac:dyDescent="0.3">
      <c r="A262" s="24"/>
      <c r="B262" s="54" t="s">
        <v>162</v>
      </c>
      <c r="C262" s="25"/>
      <c r="D262" s="25"/>
      <c r="E262" s="25"/>
      <c r="F262" s="25"/>
      <c r="G262" s="25"/>
      <c r="H262" s="95"/>
      <c r="I262" s="95"/>
      <c r="J262" s="95"/>
      <c r="K262" s="95"/>
      <c r="L262" s="95"/>
      <c r="M262" s="95"/>
      <c r="N262" s="95"/>
      <c r="O262" s="95"/>
      <c r="P262" s="95"/>
      <c r="Q262" s="95"/>
      <c r="R262" s="54">
        <v>0</v>
      </c>
      <c r="S262" s="94">
        <v>0</v>
      </c>
      <c r="T262" s="53">
        <v>0</v>
      </c>
      <c r="U262" s="94">
        <v>0</v>
      </c>
      <c r="V262" s="25"/>
      <c r="W262" s="25"/>
      <c r="X262" s="5"/>
    </row>
    <row r="263" spans="1:24" ht="15.6" x14ac:dyDescent="0.3">
      <c r="A263" s="24"/>
      <c r="B263" s="54" t="s">
        <v>163</v>
      </c>
      <c r="C263" s="25"/>
      <c r="D263" s="25"/>
      <c r="E263" s="25"/>
      <c r="F263" s="25"/>
      <c r="G263" s="25"/>
      <c r="H263" s="95"/>
      <c r="I263" s="95"/>
      <c r="J263" s="95"/>
      <c r="K263" s="95"/>
      <c r="L263" s="95"/>
      <c r="M263" s="95"/>
      <c r="N263" s="95"/>
      <c r="O263" s="95"/>
      <c r="P263" s="95"/>
      <c r="Q263" s="95"/>
      <c r="R263" s="54">
        <v>0</v>
      </c>
      <c r="S263" s="94">
        <v>0</v>
      </c>
      <c r="T263" s="53">
        <v>0</v>
      </c>
      <c r="U263" s="94">
        <v>0</v>
      </c>
      <c r="V263" s="25"/>
      <c r="W263" s="25"/>
      <c r="X263" s="5"/>
    </row>
    <row r="264" spans="1:24" ht="15.6" x14ac:dyDescent="0.3">
      <c r="A264" s="24"/>
      <c r="B264" s="54" t="s">
        <v>164</v>
      </c>
      <c r="C264" s="25"/>
      <c r="D264" s="25"/>
      <c r="E264" s="25"/>
      <c r="F264" s="25"/>
      <c r="G264" s="25"/>
      <c r="H264" s="95"/>
      <c r="I264" s="95"/>
      <c r="J264" s="95"/>
      <c r="K264" s="95"/>
      <c r="L264" s="95"/>
      <c r="M264" s="95"/>
      <c r="N264" s="95"/>
      <c r="O264" s="95"/>
      <c r="P264" s="95"/>
      <c r="Q264" s="95"/>
      <c r="R264" s="54">
        <v>0</v>
      </c>
      <c r="S264" s="94">
        <v>0</v>
      </c>
      <c r="T264" s="53">
        <v>0</v>
      </c>
      <c r="U264" s="94">
        <v>0</v>
      </c>
      <c r="V264" s="25"/>
      <c r="W264" s="25"/>
      <c r="X264" s="5"/>
    </row>
    <row r="265" spans="1:24" ht="15.6" x14ac:dyDescent="0.3">
      <c r="A265" s="24"/>
      <c r="B265" s="54" t="s">
        <v>165</v>
      </c>
      <c r="C265" s="25"/>
      <c r="D265" s="25"/>
      <c r="E265" s="25"/>
      <c r="F265" s="25"/>
      <c r="G265" s="25"/>
      <c r="H265" s="95"/>
      <c r="I265" s="95"/>
      <c r="J265" s="95"/>
      <c r="K265" s="95"/>
      <c r="L265" s="95"/>
      <c r="M265" s="95"/>
      <c r="N265" s="95"/>
      <c r="O265" s="95"/>
      <c r="P265" s="95"/>
      <c r="Q265" s="95"/>
      <c r="R265" s="54">
        <v>0</v>
      </c>
      <c r="S265" s="94">
        <v>0</v>
      </c>
      <c r="T265" s="53">
        <v>0</v>
      </c>
      <c r="U265" s="94">
        <v>0</v>
      </c>
      <c r="V265" s="25"/>
      <c r="W265" s="25"/>
      <c r="X265" s="5"/>
    </row>
    <row r="266" spans="1:24" ht="15.6" x14ac:dyDescent="0.3">
      <c r="A266" s="24"/>
      <c r="B266" s="54"/>
      <c r="C266" s="25"/>
      <c r="D266" s="25"/>
      <c r="E266" s="25"/>
      <c r="F266" s="25"/>
      <c r="G266" s="25"/>
      <c r="H266" s="95"/>
      <c r="I266" s="95"/>
      <c r="J266" s="95"/>
      <c r="K266" s="95"/>
      <c r="L266" s="95"/>
      <c r="M266" s="95"/>
      <c r="N266" s="95"/>
      <c r="O266" s="95"/>
      <c r="P266" s="95"/>
      <c r="Q266" s="95"/>
      <c r="R266" s="54"/>
      <c r="S266" s="94"/>
      <c r="T266" s="53"/>
      <c r="U266" s="132"/>
      <c r="V266" s="25"/>
      <c r="W266" s="25"/>
      <c r="X266" s="5"/>
    </row>
    <row r="267" spans="1:24" ht="15.6" x14ac:dyDescent="0.3">
      <c r="A267" s="24"/>
      <c r="B267" s="25" t="s">
        <v>119</v>
      </c>
      <c r="C267" s="25"/>
      <c r="D267" s="25"/>
      <c r="E267" s="25"/>
      <c r="F267" s="25"/>
      <c r="G267" s="25"/>
      <c r="H267" s="95"/>
      <c r="I267" s="95"/>
      <c r="J267" s="95"/>
      <c r="K267" s="95"/>
      <c r="L267" s="95"/>
      <c r="M267" s="95"/>
      <c r="N267" s="95"/>
      <c r="O267" s="95"/>
      <c r="P267" s="95"/>
      <c r="Q267" s="95"/>
      <c r="R267" s="34">
        <f>SUM(R258:R265)</f>
        <v>0</v>
      </c>
      <c r="S267" s="132">
        <f>SUM(S258:S266)</f>
        <v>0</v>
      </c>
      <c r="T267" s="53">
        <f>SUM(T258:T265)</f>
        <v>0</v>
      </c>
      <c r="U267" s="132">
        <f>SUM(U258:U266)</f>
        <v>0</v>
      </c>
      <c r="V267" s="25"/>
      <c r="W267" s="25"/>
      <c r="X267" s="5"/>
    </row>
    <row r="268" spans="1:24" ht="15.6" x14ac:dyDescent="0.3">
      <c r="A268" s="24"/>
      <c r="B268" s="25"/>
      <c r="C268" s="25"/>
      <c r="D268" s="25"/>
      <c r="E268" s="25"/>
      <c r="F268" s="25"/>
      <c r="G268" s="25"/>
      <c r="H268" s="95"/>
      <c r="I268" s="95"/>
      <c r="J268" s="95"/>
      <c r="K268" s="95"/>
      <c r="L268" s="95"/>
      <c r="M268" s="95"/>
      <c r="N268" s="95"/>
      <c r="O268" s="95"/>
      <c r="P268" s="95"/>
      <c r="Q268" s="95"/>
      <c r="R268" s="34"/>
      <c r="S268" s="132"/>
      <c r="T268" s="53"/>
      <c r="U268" s="132"/>
      <c r="V268" s="25"/>
      <c r="W268" s="25"/>
      <c r="X268" s="5"/>
    </row>
    <row r="269" spans="1:24" ht="15.6" x14ac:dyDescent="0.3">
      <c r="A269" s="24"/>
      <c r="B269" s="142" t="s">
        <v>170</v>
      </c>
      <c r="C269" s="25"/>
      <c r="D269" s="25"/>
      <c r="E269" s="25"/>
      <c r="F269" s="25"/>
      <c r="G269" s="25"/>
      <c r="H269" s="95"/>
      <c r="I269" s="95"/>
      <c r="J269" s="95"/>
      <c r="K269" s="95"/>
      <c r="L269" s="95"/>
      <c r="M269" s="95"/>
      <c r="N269" s="95"/>
      <c r="O269" s="95"/>
      <c r="P269" s="95"/>
      <c r="Q269" s="95"/>
      <c r="R269" s="161">
        <f>R267+R255+R243</f>
        <v>7896</v>
      </c>
      <c r="S269" s="143"/>
      <c r="T269" s="144">
        <f>+T267+T255+T243</f>
        <v>1069098</v>
      </c>
      <c r="U269" s="143"/>
      <c r="V269" s="25"/>
      <c r="W269" s="25"/>
      <c r="X269" s="5"/>
    </row>
    <row r="270" spans="1:24" ht="15.6" x14ac:dyDescent="0.3">
      <c r="A270" s="24"/>
      <c r="B270" s="25"/>
      <c r="C270" s="25"/>
      <c r="D270" s="25"/>
      <c r="E270" s="25"/>
      <c r="F270" s="25"/>
      <c r="G270" s="25"/>
      <c r="H270" s="95"/>
      <c r="I270" s="95"/>
      <c r="J270" s="95"/>
      <c r="K270" s="95"/>
      <c r="L270" s="95"/>
      <c r="M270" s="95"/>
      <c r="N270" s="95"/>
      <c r="O270" s="95"/>
      <c r="P270" s="95"/>
      <c r="Q270" s="95"/>
      <c r="R270" s="95"/>
      <c r="S270" s="95"/>
      <c r="T270" s="53"/>
      <c r="U270" s="95"/>
      <c r="V270" s="25"/>
      <c r="W270" s="25"/>
      <c r="X270" s="5"/>
    </row>
    <row r="271" spans="1:24" ht="15.6" x14ac:dyDescent="0.3">
      <c r="A271" s="6"/>
      <c r="B271" s="8"/>
      <c r="C271" s="8"/>
      <c r="D271" s="8"/>
      <c r="E271" s="8"/>
      <c r="F271" s="8"/>
      <c r="G271" s="8"/>
      <c r="H271" s="96"/>
      <c r="I271" s="96"/>
      <c r="J271" s="96"/>
      <c r="K271" s="96"/>
      <c r="L271" s="96"/>
      <c r="M271" s="96"/>
      <c r="N271" s="96"/>
      <c r="O271" s="96"/>
      <c r="P271" s="96"/>
      <c r="Q271" s="96"/>
      <c r="R271" s="96"/>
      <c r="S271" s="96"/>
      <c r="T271" s="97"/>
      <c r="U271" s="96"/>
      <c r="V271" s="8"/>
      <c r="W271" s="8"/>
      <c r="X271" s="5"/>
    </row>
    <row r="272" spans="1:24" ht="15.6" x14ac:dyDescent="0.3">
      <c r="A272" s="167"/>
      <c r="B272" s="14" t="s">
        <v>93</v>
      </c>
      <c r="C272" s="15"/>
      <c r="D272" s="15"/>
      <c r="E272" s="15"/>
      <c r="F272" s="17" t="s">
        <v>99</v>
      </c>
      <c r="G272" s="15"/>
      <c r="H272" s="14" t="s">
        <v>101</v>
      </c>
      <c r="I272" s="162"/>
      <c r="J272" s="162"/>
      <c r="K272" s="162"/>
      <c r="L272" s="162"/>
      <c r="M272" s="162"/>
      <c r="N272" s="162"/>
      <c r="O272" s="162"/>
      <c r="P272" s="162"/>
      <c r="Q272" s="162"/>
      <c r="R272" s="162"/>
      <c r="S272" s="162"/>
      <c r="T272" s="162"/>
      <c r="U272" s="162"/>
      <c r="V272" s="162"/>
      <c r="W272" s="162"/>
      <c r="X272" s="5"/>
    </row>
    <row r="273" spans="1:24" ht="15.6" x14ac:dyDescent="0.3">
      <c r="A273" s="167"/>
      <c r="B273" s="162"/>
      <c r="C273" s="8"/>
      <c r="D273" s="8"/>
      <c r="E273" s="8"/>
      <c r="F273" s="8"/>
      <c r="G273" s="8"/>
      <c r="H273" s="8"/>
      <c r="I273" s="162"/>
      <c r="J273" s="162"/>
      <c r="K273" s="162"/>
      <c r="L273" s="162"/>
      <c r="M273" s="162"/>
      <c r="N273" s="162"/>
      <c r="O273" s="162"/>
      <c r="P273" s="162"/>
      <c r="Q273" s="162"/>
      <c r="R273" s="162"/>
      <c r="S273" s="162"/>
      <c r="T273" s="162"/>
      <c r="U273" s="162"/>
      <c r="V273" s="162"/>
      <c r="W273" s="162"/>
      <c r="X273" s="5"/>
    </row>
    <row r="274" spans="1:24" ht="15.6" x14ac:dyDescent="0.3">
      <c r="A274" s="167"/>
      <c r="B274" s="13" t="s">
        <v>94</v>
      </c>
      <c r="C274" s="13"/>
      <c r="D274" s="13"/>
      <c r="E274" s="13"/>
      <c r="F274" s="130" t="s">
        <v>153</v>
      </c>
      <c r="G274" s="13"/>
      <c r="H274" s="13" t="s">
        <v>157</v>
      </c>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277</v>
      </c>
      <c r="C275" s="13"/>
      <c r="D275" s="13"/>
      <c r="E275" s="13"/>
      <c r="F275" s="130" t="s">
        <v>278</v>
      </c>
      <c r="G275" s="13"/>
      <c r="H275" s="13" t="s">
        <v>279</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t="s">
        <v>95</v>
      </c>
      <c r="C276" s="13"/>
      <c r="D276" s="13"/>
      <c r="E276" s="13"/>
      <c r="F276" s="130" t="s">
        <v>152</v>
      </c>
      <c r="G276" s="13"/>
      <c r="H276" s="13" t="s">
        <v>158</v>
      </c>
      <c r="I276" s="162"/>
      <c r="J276" s="162"/>
      <c r="K276" s="162"/>
      <c r="L276" s="162"/>
      <c r="M276" s="162"/>
      <c r="N276" s="162"/>
      <c r="O276" s="162"/>
      <c r="P276" s="162"/>
      <c r="Q276" s="162"/>
      <c r="R276" s="162"/>
      <c r="S276" s="162"/>
      <c r="T276" s="162"/>
      <c r="U276" s="162"/>
      <c r="V276" s="162"/>
      <c r="W276" s="162"/>
      <c r="X276" s="5"/>
    </row>
    <row r="277" spans="1:24" ht="15.6" x14ac:dyDescent="0.3">
      <c r="A277" s="167"/>
      <c r="B277" s="13"/>
      <c r="C277" s="13"/>
      <c r="D277" s="13"/>
      <c r="E277" s="13"/>
      <c r="F277" s="13"/>
      <c r="G277" s="99"/>
      <c r="H277" s="162"/>
      <c r="I277" s="162"/>
      <c r="J277" s="162"/>
      <c r="K277" s="162"/>
      <c r="L277" s="162"/>
      <c r="M277" s="162"/>
      <c r="N277" s="162"/>
      <c r="O277" s="162"/>
      <c r="P277" s="162"/>
      <c r="Q277" s="162"/>
      <c r="R277" s="162"/>
      <c r="S277" s="162"/>
      <c r="T277" s="162"/>
      <c r="U277" s="162"/>
      <c r="V277" s="162"/>
      <c r="W277" s="162"/>
      <c r="X277" s="5"/>
    </row>
    <row r="278" spans="1:24" ht="18" thickBot="1" x14ac:dyDescent="0.35">
      <c r="A278" s="167"/>
      <c r="B278" s="49" t="str">
        <f>B195</f>
        <v>PM12 INVESTOR REPORT QUARTER ENDING APRIL 2009</v>
      </c>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x14ac:dyDescent="0.25">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row>
  </sheetData>
  <phoneticPr fontId="0" type="noConversion"/>
  <hyperlinks>
    <hyperlink ref="P231" r:id="rId1" xr:uid="{00000000-0004-0000-0A00-000000000000}"/>
    <hyperlink ref="I9" r:id="rId2" xr:uid="{00000000-0004-0000-0A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6" max="14" man="1"/>
    <brk id="195" max="14"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2D2926"/>
  </sheetPr>
  <dimension ref="A1:Y279"/>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0.64300000000000002</v>
      </c>
      <c r="T16" s="17" t="s">
        <v>145</v>
      </c>
      <c r="U16" s="137">
        <v>0.35699999999999998</v>
      </c>
      <c r="V16" s="16"/>
      <c r="W16" s="15"/>
      <c r="X16" s="5"/>
    </row>
    <row r="17" spans="1:25"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5" ht="15.6" x14ac:dyDescent="0.3">
      <c r="A18" s="6"/>
      <c r="B18" s="14" t="s">
        <v>5</v>
      </c>
      <c r="C18" s="15"/>
      <c r="D18" s="15"/>
      <c r="E18" s="15"/>
      <c r="F18" s="15"/>
      <c r="G18" s="15"/>
      <c r="H18" s="15"/>
      <c r="I18" s="15"/>
      <c r="J18" s="15"/>
      <c r="K18" s="15"/>
      <c r="L18" s="15"/>
      <c r="M18" s="15"/>
      <c r="N18" s="15"/>
      <c r="O18" s="15"/>
      <c r="P18" s="15"/>
      <c r="Q18" s="15"/>
      <c r="R18" s="15"/>
      <c r="S18" s="15"/>
      <c r="T18" s="15"/>
      <c r="U18" s="15"/>
      <c r="V18" s="19">
        <v>40049</v>
      </c>
      <c r="W18" s="15"/>
      <c r="X18" s="5"/>
      <c r="Y18" s="170"/>
    </row>
    <row r="19" spans="1:25"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5"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5"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5"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5"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5"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5"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5"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5"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5"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5"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5"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5"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5" ht="15.6" x14ac:dyDescent="0.3">
      <c r="A32" s="24"/>
      <c r="B32" s="25" t="s">
        <v>137</v>
      </c>
      <c r="C32" s="32"/>
      <c r="D32" s="146">
        <f>D31*D38</f>
        <v>1001881.5</v>
      </c>
      <c r="E32" s="32"/>
      <c r="F32" s="31">
        <f>F31*F38</f>
        <v>96848.603000000003</v>
      </c>
      <c r="G32" s="31"/>
      <c r="H32" s="124">
        <f>H31*H38</f>
        <v>163640.74299999999</v>
      </c>
      <c r="I32" s="124"/>
      <c r="J32" s="146">
        <f>J31*J38</f>
        <v>207723.43099999998</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991261.35</v>
      </c>
      <c r="E33" s="36"/>
      <c r="F33" s="35">
        <f>F37*F31</f>
        <v>95822.002999999997</v>
      </c>
      <c r="G33" s="35"/>
      <c r="H33" s="125">
        <f>H31*H37</f>
        <v>161906.14300000001</v>
      </c>
      <c r="I33" s="125"/>
      <c r="J33" s="151">
        <f>J37*J31</f>
        <v>205521.51989999998</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544500.55385699996</v>
      </c>
      <c r="E35" s="32"/>
      <c r="F35" s="31">
        <f>F34*F38</f>
        <v>96848.603000000003</v>
      </c>
      <c r="G35" s="31"/>
      <c r="H35" s="31">
        <f>H34*H38</f>
        <v>112856.00727240001</v>
      </c>
      <c r="I35" s="31"/>
      <c r="J35" s="31">
        <f>J34*J38</f>
        <v>112893.34326199999</v>
      </c>
      <c r="K35" s="31"/>
      <c r="L35" s="31">
        <f>+L34</f>
        <v>25000</v>
      </c>
      <c r="M35" s="31"/>
      <c r="N35" s="31">
        <f>+N34</f>
        <v>86897</v>
      </c>
      <c r="O35" s="31"/>
      <c r="P35" s="31">
        <f>+P34</f>
        <v>17000</v>
      </c>
      <c r="Q35" s="31"/>
      <c r="R35" s="31">
        <f>+R34</f>
        <v>73103</v>
      </c>
      <c r="S35" s="31"/>
      <c r="T35" s="31"/>
      <c r="U35" s="164"/>
      <c r="V35" s="154">
        <f>SUM(C35:R35)-1</f>
        <v>1069097.5073913999</v>
      </c>
      <c r="W35" s="34"/>
      <c r="X35" s="5"/>
    </row>
    <row r="36" spans="1:24" ht="15.6" x14ac:dyDescent="0.3">
      <c r="A36" s="28"/>
      <c r="B36" s="29" t="s">
        <v>295</v>
      </c>
      <c r="C36" s="126"/>
      <c r="D36" s="35">
        <f>D34*D37</f>
        <v>538728.73597529996</v>
      </c>
      <c r="E36" s="36"/>
      <c r="F36" s="35">
        <f>F34*F37</f>
        <v>95822.002999999997</v>
      </c>
      <c r="G36" s="35"/>
      <c r="H36" s="35">
        <f>H34*H37</f>
        <v>111659.7279924</v>
      </c>
      <c r="I36" s="35"/>
      <c r="J36" s="35">
        <f>J34*J37</f>
        <v>111696.65059979999</v>
      </c>
      <c r="K36" s="35"/>
      <c r="L36" s="35">
        <f>+L34</f>
        <v>25000</v>
      </c>
      <c r="M36" s="35"/>
      <c r="N36" s="35">
        <f>+N34</f>
        <v>86897</v>
      </c>
      <c r="O36" s="35"/>
      <c r="P36" s="35">
        <f>+P34</f>
        <v>17000</v>
      </c>
      <c r="Q36" s="35"/>
      <c r="R36" s="35">
        <f>+R34</f>
        <v>73103</v>
      </c>
      <c r="S36" s="128"/>
      <c r="T36" s="128"/>
      <c r="U36" s="164"/>
      <c r="V36" s="155">
        <f>SUM(C36:R36)</f>
        <v>1059907.1175675001</v>
      </c>
      <c r="W36" s="34"/>
      <c r="X36" s="5"/>
    </row>
    <row r="37" spans="1:24" ht="15.6" x14ac:dyDescent="0.3">
      <c r="A37" s="24"/>
      <c r="B37" s="122" t="s">
        <v>135</v>
      </c>
      <c r="C37" s="25"/>
      <c r="D37" s="168">
        <v>0.66084089999999995</v>
      </c>
      <c r="E37" s="169"/>
      <c r="F37" s="168">
        <v>0.66084140000000002</v>
      </c>
      <c r="G37" s="168"/>
      <c r="H37" s="168">
        <v>0.66084140000000002</v>
      </c>
      <c r="I37" s="168"/>
      <c r="J37" s="168">
        <v>0.66084089999999995</v>
      </c>
      <c r="K37" s="168"/>
      <c r="L37" s="168">
        <v>1</v>
      </c>
      <c r="M37" s="168"/>
      <c r="N37" s="168">
        <v>1</v>
      </c>
      <c r="O37" s="168"/>
      <c r="P37" s="168">
        <v>1</v>
      </c>
      <c r="Q37" s="168"/>
      <c r="R37" s="168">
        <v>1</v>
      </c>
      <c r="S37" s="30"/>
      <c r="T37" s="30"/>
      <c r="U37" s="163"/>
      <c r="V37" s="163"/>
      <c r="W37" s="25"/>
      <c r="X37" s="5"/>
    </row>
    <row r="38" spans="1:24" ht="15.6" x14ac:dyDescent="0.3">
      <c r="A38" s="24"/>
      <c r="B38" s="122" t="s">
        <v>136</v>
      </c>
      <c r="C38" s="25"/>
      <c r="D38" s="168">
        <v>0.66792099999999999</v>
      </c>
      <c r="E38" s="169"/>
      <c r="F38" s="168">
        <v>0.6679214</v>
      </c>
      <c r="G38" s="168"/>
      <c r="H38" s="168">
        <v>0.6679214</v>
      </c>
      <c r="I38" s="168"/>
      <c r="J38" s="168">
        <v>0.66792099999999999</v>
      </c>
      <c r="K38" s="168"/>
      <c r="L38" s="168">
        <v>1</v>
      </c>
      <c r="M38" s="168"/>
      <c r="N38" s="168">
        <v>1</v>
      </c>
      <c r="O38" s="168"/>
      <c r="P38" s="168">
        <v>1</v>
      </c>
      <c r="Q38" s="168"/>
      <c r="R38" s="168">
        <v>1</v>
      </c>
      <c r="S38" s="39"/>
      <c r="T38" s="38"/>
      <c r="U38" s="163"/>
      <c r="V38" s="39"/>
      <c r="W38" s="25"/>
      <c r="X38" s="5"/>
    </row>
    <row r="39" spans="1:24" ht="15.6" x14ac:dyDescent="0.3">
      <c r="A39" s="24"/>
      <c r="B39" s="25" t="s">
        <v>11</v>
      </c>
      <c r="C39" s="25"/>
      <c r="D39" s="30" t="s">
        <v>235</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4.0813000000000004E-3</v>
      </c>
      <c r="E40" s="25"/>
      <c r="F40" s="38">
        <v>1.47688E-2</v>
      </c>
      <c r="G40" s="39"/>
      <c r="H40" s="38">
        <v>1.401E-2</v>
      </c>
      <c r="I40" s="38"/>
      <c r="J40" s="38">
        <v>9.9313000000000005E-3</v>
      </c>
      <c r="K40" s="39"/>
      <c r="L40" s="38">
        <v>1.5968799999999998E-2</v>
      </c>
      <c r="M40" s="39"/>
      <c r="N40" s="38">
        <v>1.521E-2</v>
      </c>
      <c r="O40" s="39"/>
      <c r="P40" s="38">
        <v>1.8168799999999999E-2</v>
      </c>
      <c r="Q40" s="39"/>
      <c r="R40" s="38">
        <v>1.7409999999999998E-2</v>
      </c>
      <c r="S40" s="39"/>
      <c r="T40" s="38"/>
      <c r="U40" s="163"/>
      <c r="V40" s="30"/>
      <c r="W40" s="25"/>
      <c r="X40" s="5"/>
    </row>
    <row r="41" spans="1:24" ht="15.6" x14ac:dyDescent="0.3">
      <c r="A41" s="24"/>
      <c r="B41" s="25" t="s">
        <v>13</v>
      </c>
      <c r="C41" s="25"/>
      <c r="D41" s="38">
        <v>5.7124999999999997E-3</v>
      </c>
      <c r="E41" s="25"/>
      <c r="F41" s="38">
        <v>2.1825000000000001E-2</v>
      </c>
      <c r="G41" s="39"/>
      <c r="H41" s="38">
        <v>2.0629999999999999E-2</v>
      </c>
      <c r="I41" s="38"/>
      <c r="J41" s="38">
        <v>1.3475000000000001E-2</v>
      </c>
      <c r="K41" s="39"/>
      <c r="L41" s="38">
        <v>2.3025E-2</v>
      </c>
      <c r="M41" s="39"/>
      <c r="N41" s="38">
        <v>2.1829999999999999E-2</v>
      </c>
      <c r="O41" s="39"/>
      <c r="P41" s="38">
        <v>2.5225000000000001E-2</v>
      </c>
      <c r="Q41" s="39"/>
      <c r="R41" s="38">
        <v>2.4029999999999999E-2</v>
      </c>
      <c r="S41" s="39"/>
      <c r="T41" s="38"/>
      <c r="U41" s="163"/>
      <c r="V41" s="39" t="s">
        <v>199</v>
      </c>
      <c r="W41" s="25"/>
      <c r="X41" s="5"/>
    </row>
    <row r="42" spans="1:24" ht="15.6" x14ac:dyDescent="0.3">
      <c r="A42" s="24"/>
      <c r="B42" s="25" t="s">
        <v>296</v>
      </c>
      <c r="C42" s="25"/>
      <c r="D42" s="30" t="s">
        <v>286</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1.49721E-2</v>
      </c>
      <c r="E43" s="38"/>
      <c r="F43" s="38">
        <f>+F40</f>
        <v>1.47688E-2</v>
      </c>
      <c r="G43" s="38"/>
      <c r="H43" s="38">
        <v>1.4729799999999999E-2</v>
      </c>
      <c r="I43" s="38"/>
      <c r="J43" s="38">
        <v>1.4850800000000001E-2</v>
      </c>
      <c r="K43" s="38"/>
      <c r="L43" s="38">
        <f>+L40</f>
        <v>1.5968799999999998E-2</v>
      </c>
      <c r="M43" s="38"/>
      <c r="N43" s="38">
        <v>1.6069799999999999E-2</v>
      </c>
      <c r="O43" s="38"/>
      <c r="P43" s="38">
        <f>+P40</f>
        <v>1.8168799999999999E-2</v>
      </c>
      <c r="Q43" s="39"/>
      <c r="R43" s="38">
        <v>1.8404799999999999E-2</v>
      </c>
      <c r="S43" s="30"/>
      <c r="T43" s="30"/>
      <c r="U43" s="163"/>
      <c r="V43" s="39">
        <f>SUMPRODUCT(D43:R43,D35:R35)/V35</f>
        <v>1.5313393081770077E-2</v>
      </c>
      <c r="W43" s="25"/>
      <c r="X43" s="5"/>
    </row>
    <row r="44" spans="1:24" ht="15.6" x14ac:dyDescent="0.3">
      <c r="A44" s="24"/>
      <c r="B44" s="25" t="s">
        <v>298</v>
      </c>
      <c r="C44" s="110"/>
      <c r="D44" s="38">
        <v>2.2028300000000001E-2</v>
      </c>
      <c r="E44" s="38"/>
      <c r="F44" s="38">
        <f>+F41</f>
        <v>2.1825000000000001E-2</v>
      </c>
      <c r="G44" s="38"/>
      <c r="H44" s="38">
        <v>2.1786E-2</v>
      </c>
      <c r="I44" s="38"/>
      <c r="J44" s="38">
        <v>2.1906999999999999E-2</v>
      </c>
      <c r="K44" s="38"/>
      <c r="L44" s="38">
        <f>+L41</f>
        <v>2.3025E-2</v>
      </c>
      <c r="M44" s="38"/>
      <c r="N44" s="38">
        <v>2.3126000000000001E-2</v>
      </c>
      <c r="O44" s="38"/>
      <c r="P44" s="38">
        <f>+P41</f>
        <v>2.5225000000000001E-2</v>
      </c>
      <c r="Q44" s="39"/>
      <c r="R44" s="38">
        <v>2.5461000000000001E-2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0.23545672470086093</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40042</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87</v>
      </c>
      <c r="S57" s="25"/>
      <c r="T57" s="45">
        <v>39861</v>
      </c>
      <c r="U57" s="46"/>
      <c r="V57" s="45">
        <v>39947</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94</v>
      </c>
      <c r="S58" s="25"/>
      <c r="T58" s="45">
        <v>39948</v>
      </c>
      <c r="U58" s="46"/>
      <c r="V58" s="45">
        <v>40041</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40028</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291</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1069098</v>
      </c>
      <c r="O69" s="34"/>
      <c r="P69" s="34">
        <f>9192+908+117-1</f>
        <v>10216</v>
      </c>
      <c r="Q69" s="34"/>
      <c r="R69" s="34">
        <f>908+117</f>
        <v>1025</v>
      </c>
      <c r="S69" s="34"/>
      <c r="T69" s="34">
        <v>0</v>
      </c>
      <c r="U69" s="34"/>
      <c r="V69" s="53">
        <f>+N69-P69+R69-T69</f>
        <v>1059907</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1069098</v>
      </c>
      <c r="O72" s="34"/>
      <c r="P72" s="34">
        <f>SUM(P69:P71)</f>
        <v>10216</v>
      </c>
      <c r="Q72" s="34"/>
      <c r="R72" s="34">
        <f>SUM(R69:R71)</f>
        <v>1025</v>
      </c>
      <c r="S72" s="34"/>
      <c r="T72" s="34">
        <f>SUM(T69:T71)</f>
        <v>0</v>
      </c>
      <c r="U72" s="34"/>
      <c r="V72" s="54">
        <f>SUM(V69:V71)</f>
        <v>1059907</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1069098</v>
      </c>
      <c r="O85" s="34"/>
      <c r="P85" s="34"/>
      <c r="Q85" s="34"/>
      <c r="R85" s="34"/>
      <c r="S85" s="34"/>
      <c r="T85" s="54"/>
      <c r="U85" s="34"/>
      <c r="V85" s="54">
        <f>SUM(V72:V84)</f>
        <v>1059907</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+T196</f>
        <v>40025</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10216-220</f>
        <v>9996</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6894+3897-1006-366+87+9</f>
        <v>9515</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72+92</f>
        <v>164</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181</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v>0</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376</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9996</v>
      </c>
      <c r="U97" s="25"/>
      <c r="V97" s="54">
        <f>SUM(V89:V96)</f>
        <v>10236</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-56</v>
      </c>
      <c r="U98" s="25"/>
      <c r="V98" s="54">
        <v>56</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282</v>
      </c>
      <c r="C100" s="25"/>
      <c r="D100" s="25"/>
      <c r="E100" s="25"/>
      <c r="F100" s="25"/>
      <c r="G100" s="25"/>
      <c r="H100" s="25"/>
      <c r="I100" s="25"/>
      <c r="J100" s="25"/>
      <c r="K100" s="25"/>
      <c r="L100" s="25"/>
      <c r="M100" s="25"/>
      <c r="N100" s="25"/>
      <c r="O100" s="25"/>
      <c r="P100" s="25"/>
      <c r="Q100" s="25"/>
      <c r="R100" s="25"/>
      <c r="S100" s="25"/>
      <c r="T100" s="34"/>
      <c r="U100" s="25"/>
      <c r="V100" s="53">
        <v>200</v>
      </c>
      <c r="W100" s="25"/>
      <c r="X100" s="5"/>
    </row>
    <row r="101" spans="1:25"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9940</v>
      </c>
      <c r="U101" s="25"/>
      <c r="V101" s="54">
        <f>V97+V99+V98+V100</f>
        <v>10492</v>
      </c>
      <c r="W101" s="25"/>
      <c r="X101" s="5"/>
    </row>
    <row r="102" spans="1:25"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5"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5" ht="15.6" x14ac:dyDescent="0.3">
      <c r="A104" s="24">
        <f>+A103+1</f>
        <v>2</v>
      </c>
      <c r="B104" s="25" t="s">
        <v>259</v>
      </c>
      <c r="C104" s="25"/>
      <c r="D104" s="25"/>
      <c r="E104" s="25"/>
      <c r="F104" s="25"/>
      <c r="G104" s="25"/>
      <c r="H104" s="25"/>
      <c r="I104" s="25"/>
      <c r="J104" s="25"/>
      <c r="K104" s="25"/>
      <c r="L104" s="25"/>
      <c r="M104" s="25"/>
      <c r="N104" s="25"/>
      <c r="O104" s="25"/>
      <c r="P104" s="25"/>
      <c r="Q104" s="25"/>
      <c r="R104" s="25"/>
      <c r="S104" s="25"/>
      <c r="T104" s="25"/>
      <c r="U104" s="25"/>
      <c r="V104" s="53">
        <v>-2</v>
      </c>
      <c r="W104" s="25"/>
      <c r="X104" s="5"/>
    </row>
    <row r="105" spans="1:25" ht="15.6" x14ac:dyDescent="0.3">
      <c r="A105" s="24">
        <f>+A104+1</f>
        <v>3</v>
      </c>
      <c r="B105" s="25" t="s">
        <v>210</v>
      </c>
      <c r="C105" s="25"/>
      <c r="D105" s="25"/>
      <c r="E105" s="25"/>
      <c r="F105" s="25"/>
      <c r="G105" s="25"/>
      <c r="H105" s="25"/>
      <c r="I105" s="25"/>
      <c r="J105" s="25"/>
      <c r="K105" s="25"/>
      <c r="L105" s="25"/>
      <c r="M105" s="25"/>
      <c r="N105" s="25"/>
      <c r="O105" s="25"/>
      <c r="P105" s="25"/>
      <c r="Q105" s="25"/>
      <c r="R105" s="25"/>
      <c r="S105" s="25"/>
      <c r="T105" s="25"/>
      <c r="U105" s="25"/>
      <c r="V105" s="53">
        <f>-406-272-13</f>
        <v>-691</v>
      </c>
      <c r="W105" s="25"/>
      <c r="X105" s="5"/>
    </row>
    <row r="106" spans="1:25" ht="15.6" x14ac:dyDescent="0.3">
      <c r="A106" s="24" t="s">
        <v>132</v>
      </c>
      <c r="B106" s="25" t="s">
        <v>121</v>
      </c>
      <c r="C106" s="25"/>
      <c r="D106" s="25"/>
      <c r="E106" s="25"/>
      <c r="F106" s="25"/>
      <c r="G106" s="25"/>
      <c r="H106" s="25"/>
      <c r="I106" s="25"/>
      <c r="J106" s="25"/>
      <c r="K106" s="25"/>
      <c r="L106" s="25"/>
      <c r="M106" s="25"/>
      <c r="N106" s="25"/>
      <c r="O106" s="25"/>
      <c r="P106" s="25"/>
      <c r="Q106" s="25"/>
      <c r="R106" s="25"/>
      <c r="S106" s="25"/>
      <c r="T106" s="25"/>
      <c r="U106" s="25"/>
      <c r="V106" s="53">
        <f>-2408-56</f>
        <v>-2464</v>
      </c>
      <c r="W106" s="25"/>
      <c r="X106" s="5"/>
    </row>
    <row r="107" spans="1:25" ht="15.6" x14ac:dyDescent="0.3">
      <c r="A107" s="24" t="s">
        <v>133</v>
      </c>
      <c r="B107" s="25" t="s">
        <v>256</v>
      </c>
      <c r="C107" s="25"/>
      <c r="D107" s="25"/>
      <c r="E107" s="25"/>
      <c r="F107" s="25"/>
      <c r="G107" s="25"/>
      <c r="H107" s="25"/>
      <c r="I107" s="25"/>
      <c r="J107" s="25"/>
      <c r="K107" s="25"/>
      <c r="L107" s="25"/>
      <c r="M107" s="25"/>
      <c r="N107" s="25"/>
      <c r="O107" s="25"/>
      <c r="P107" s="25"/>
      <c r="Q107" s="25"/>
      <c r="R107" s="25"/>
      <c r="S107" s="25"/>
      <c r="T107" s="25"/>
      <c r="U107" s="25"/>
      <c r="V107" s="53">
        <f>-3328+368</f>
        <v>-2960</v>
      </c>
      <c r="W107" s="25"/>
      <c r="X107" s="171"/>
      <c r="Y107" s="109"/>
    </row>
    <row r="108" spans="1:25" ht="15.6" x14ac:dyDescent="0.3">
      <c r="A108" s="24" t="s">
        <v>155</v>
      </c>
      <c r="B108" s="25" t="s">
        <v>190</v>
      </c>
      <c r="C108" s="25"/>
      <c r="D108" s="25"/>
      <c r="E108" s="25"/>
      <c r="F108" s="25"/>
      <c r="G108" s="25"/>
      <c r="H108" s="25"/>
      <c r="I108" s="25"/>
      <c r="J108" s="25"/>
      <c r="K108" s="25"/>
      <c r="L108" s="25"/>
      <c r="M108" s="25"/>
      <c r="N108" s="25"/>
      <c r="O108" s="25"/>
      <c r="P108" s="25"/>
      <c r="Q108" s="25"/>
      <c r="R108" s="25"/>
      <c r="S108" s="25"/>
      <c r="T108" s="25"/>
      <c r="U108" s="25"/>
      <c r="V108" s="53">
        <v>-368</v>
      </c>
      <c r="W108" s="25"/>
      <c r="X108" s="5"/>
      <c r="Y108" s="109"/>
    </row>
    <row r="109" spans="1:25" ht="15.6" x14ac:dyDescent="0.3">
      <c r="A109" s="24" t="s">
        <v>211</v>
      </c>
      <c r="B109" s="25" t="s">
        <v>191</v>
      </c>
      <c r="C109" s="25"/>
      <c r="D109" s="25"/>
      <c r="E109" s="25"/>
      <c r="F109" s="25"/>
      <c r="G109" s="25"/>
      <c r="H109" s="25"/>
      <c r="I109" s="25"/>
      <c r="J109" s="25"/>
      <c r="K109" s="25"/>
      <c r="L109" s="25"/>
      <c r="M109" s="25"/>
      <c r="N109" s="25"/>
      <c r="O109" s="25"/>
      <c r="P109" s="25"/>
      <c r="Q109" s="25"/>
      <c r="R109" s="25"/>
      <c r="S109" s="25"/>
      <c r="T109" s="25"/>
      <c r="U109" s="25"/>
      <c r="V109" s="53">
        <v>-360</v>
      </c>
      <c r="W109" s="25"/>
      <c r="X109" s="5"/>
      <c r="Y109" s="109"/>
    </row>
    <row r="110" spans="1:25" ht="15.6" x14ac:dyDescent="0.3">
      <c r="A110" s="24" t="s">
        <v>212</v>
      </c>
      <c r="B110" s="25" t="s">
        <v>192</v>
      </c>
      <c r="C110" s="25"/>
      <c r="D110" s="25"/>
      <c r="E110" s="25"/>
      <c r="F110" s="25"/>
      <c r="G110" s="25"/>
      <c r="H110" s="25"/>
      <c r="I110" s="25"/>
      <c r="J110" s="25"/>
      <c r="K110" s="25"/>
      <c r="L110" s="25"/>
      <c r="M110" s="25"/>
      <c r="N110" s="25"/>
      <c r="O110" s="25"/>
      <c r="P110" s="25"/>
      <c r="Q110" s="25"/>
      <c r="R110" s="25"/>
      <c r="S110" s="25"/>
      <c r="T110" s="25"/>
      <c r="U110" s="25"/>
      <c r="V110" s="53">
        <v>-102</v>
      </c>
      <c r="W110" s="25"/>
      <c r="X110" s="5"/>
      <c r="Y110" s="109"/>
    </row>
    <row r="111" spans="1:25" ht="15.6" x14ac:dyDescent="0.3">
      <c r="A111" s="24" t="s">
        <v>213</v>
      </c>
      <c r="B111" s="25" t="s">
        <v>202</v>
      </c>
      <c r="C111" s="25"/>
      <c r="D111" s="25"/>
      <c r="E111" s="25"/>
      <c r="F111" s="25"/>
      <c r="G111" s="25"/>
      <c r="H111" s="25"/>
      <c r="I111" s="25"/>
      <c r="J111" s="25"/>
      <c r="K111" s="25"/>
      <c r="L111" s="25"/>
      <c r="M111" s="25"/>
      <c r="N111" s="25"/>
      <c r="O111" s="25"/>
      <c r="P111" s="25"/>
      <c r="Q111" s="25"/>
      <c r="R111" s="25"/>
      <c r="S111" s="25"/>
      <c r="T111" s="25"/>
      <c r="U111" s="25"/>
      <c r="V111" s="53">
        <v>-346</v>
      </c>
      <c r="W111" s="25"/>
      <c r="X111" s="5"/>
      <c r="Y111" s="109"/>
    </row>
    <row r="112" spans="1:25" ht="15.6" x14ac:dyDescent="0.3">
      <c r="A112" s="24" t="s">
        <v>258</v>
      </c>
      <c r="B112" s="25" t="s">
        <v>257</v>
      </c>
      <c r="C112" s="25"/>
      <c r="D112" s="25"/>
      <c r="E112" s="25"/>
      <c r="F112" s="25"/>
      <c r="G112" s="25"/>
      <c r="H112" s="25"/>
      <c r="I112" s="25"/>
      <c r="J112" s="25"/>
      <c r="K112" s="25"/>
      <c r="L112" s="25"/>
      <c r="M112" s="25"/>
      <c r="N112" s="25"/>
      <c r="O112" s="25"/>
      <c r="P112" s="25"/>
      <c r="Q112" s="25"/>
      <c r="R112" s="25"/>
      <c r="S112" s="25"/>
      <c r="T112" s="25"/>
      <c r="U112" s="25"/>
      <c r="V112" s="53">
        <v>-80</v>
      </c>
      <c r="W112" s="25"/>
      <c r="X112" s="5"/>
      <c r="Y112" s="109"/>
    </row>
    <row r="113" spans="1:24" ht="15.6" x14ac:dyDescent="0.3">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-10</v>
      </c>
      <c r="W113" s="25"/>
      <c r="X113" s="5"/>
    </row>
    <row r="114" spans="1:24" ht="15.6" x14ac:dyDescent="0.3">
      <c r="A114" s="24">
        <f t="shared" ref="A114:A119" si="0">+A113+1</f>
        <v>8</v>
      </c>
      <c r="B114" s="25" t="s">
        <v>46</v>
      </c>
      <c r="C114" s="25"/>
      <c r="D114" s="25"/>
      <c r="E114" s="25"/>
      <c r="F114" s="25"/>
      <c r="G114" s="25"/>
      <c r="H114" s="25"/>
      <c r="I114" s="25"/>
      <c r="J114" s="25"/>
      <c r="K114" s="25"/>
      <c r="L114" s="25"/>
      <c r="M114" s="25"/>
      <c r="N114" s="25"/>
      <c r="O114" s="25"/>
      <c r="P114" s="25"/>
      <c r="Q114" s="25"/>
      <c r="R114" s="25"/>
      <c r="S114" s="25"/>
      <c r="T114" s="34">
        <f>-V114</f>
        <v>220</v>
      </c>
      <c r="U114" s="25"/>
      <c r="V114" s="53">
        <v>-220</v>
      </c>
      <c r="W114" s="25"/>
      <c r="X114" s="5"/>
    </row>
    <row r="115" spans="1:24" ht="15.6" x14ac:dyDescent="0.3">
      <c r="A115" s="24">
        <f t="shared" si="0"/>
        <v>9</v>
      </c>
      <c r="B115" s="25" t="s">
        <v>130</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10</v>
      </c>
      <c r="B116" s="25" t="s">
        <v>36</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11</v>
      </c>
      <c r="B117" s="25" t="s">
        <v>37</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6" x14ac:dyDescent="0.3">
      <c r="A118" s="24">
        <f t="shared" si="0"/>
        <v>12</v>
      </c>
      <c r="B118" s="25" t="s">
        <v>154</v>
      </c>
      <c r="C118" s="25"/>
      <c r="D118" s="25"/>
      <c r="E118" s="25"/>
      <c r="F118" s="25"/>
      <c r="G118" s="25"/>
      <c r="H118" s="25"/>
      <c r="I118" s="25"/>
      <c r="J118" s="25"/>
      <c r="K118" s="25"/>
      <c r="L118" s="25"/>
      <c r="M118" s="25"/>
      <c r="N118" s="25"/>
      <c r="O118" s="25"/>
      <c r="P118" s="25"/>
      <c r="Q118" s="25"/>
      <c r="R118" s="25"/>
      <c r="S118" s="25"/>
      <c r="T118" s="25"/>
      <c r="U118" s="25"/>
      <c r="V118" s="53">
        <v>-405</v>
      </c>
      <c r="W118" s="25"/>
      <c r="X118" s="5"/>
    </row>
    <row r="119" spans="1:24" ht="15.6" x14ac:dyDescent="0.3">
      <c r="A119" s="24">
        <f t="shared" si="0"/>
        <v>13</v>
      </c>
      <c r="B119" s="25" t="s">
        <v>131</v>
      </c>
      <c r="C119" s="25"/>
      <c r="D119" s="25"/>
      <c r="E119" s="25"/>
      <c r="F119" s="25"/>
      <c r="G119" s="25"/>
      <c r="H119" s="25"/>
      <c r="I119" s="25"/>
      <c r="J119" s="25"/>
      <c r="K119" s="25"/>
      <c r="L119" s="25"/>
      <c r="M119" s="25"/>
      <c r="N119" s="25"/>
      <c r="O119" s="25"/>
      <c r="P119" s="25"/>
      <c r="Q119" s="25"/>
      <c r="R119" s="25"/>
      <c r="S119" s="25"/>
      <c r="T119" s="25"/>
      <c r="U119" s="25"/>
      <c r="V119" s="53">
        <f>-V101-SUM(V103:V118)</f>
        <v>-2484</v>
      </c>
      <c r="W119" s="25"/>
      <c r="X119" s="5"/>
    </row>
    <row r="120" spans="1:24" ht="15.6" x14ac:dyDescent="0.3">
      <c r="A120" s="24"/>
      <c r="B120" s="118" t="s">
        <v>38</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6" x14ac:dyDescent="0.3">
      <c r="A121" s="24"/>
      <c r="B121" s="25" t="s">
        <v>179</v>
      </c>
      <c r="C121" s="25"/>
      <c r="D121" s="25"/>
      <c r="E121" s="25"/>
      <c r="F121" s="25"/>
      <c r="G121" s="25"/>
      <c r="H121" s="25"/>
      <c r="I121" s="25"/>
      <c r="J121" s="25"/>
      <c r="K121" s="25"/>
      <c r="L121" s="25"/>
      <c r="M121" s="25"/>
      <c r="N121" s="25"/>
      <c r="O121" s="25"/>
      <c r="P121" s="25"/>
      <c r="Q121" s="25"/>
      <c r="R121" s="25"/>
      <c r="S121" s="25"/>
      <c r="T121" s="34">
        <f>-T180</f>
        <v>-79</v>
      </c>
      <c r="U121" s="34"/>
      <c r="V121" s="53"/>
      <c r="W121" s="25"/>
      <c r="X121" s="5"/>
    </row>
    <row r="122" spans="1:24" ht="15.6" x14ac:dyDescent="0.3">
      <c r="A122" s="24"/>
      <c r="B122" s="25" t="s">
        <v>180</v>
      </c>
      <c r="C122" s="25"/>
      <c r="D122" s="25"/>
      <c r="E122" s="25"/>
      <c r="F122" s="25"/>
      <c r="G122" s="25"/>
      <c r="H122" s="25"/>
      <c r="I122" s="25"/>
      <c r="J122" s="25"/>
      <c r="K122" s="25"/>
      <c r="L122" s="25"/>
      <c r="M122" s="25"/>
      <c r="N122" s="25"/>
      <c r="O122" s="25"/>
      <c r="P122" s="25"/>
      <c r="Q122" s="25"/>
      <c r="R122" s="25"/>
      <c r="S122" s="25"/>
      <c r="T122" s="34">
        <v>0</v>
      </c>
      <c r="U122" s="34"/>
      <c r="V122" s="53"/>
      <c r="W122" s="25"/>
      <c r="X122" s="5"/>
    </row>
    <row r="123" spans="1:24" ht="15.6" x14ac:dyDescent="0.3">
      <c r="A123" s="24"/>
      <c r="B123" s="25" t="s">
        <v>39</v>
      </c>
      <c r="C123" s="25"/>
      <c r="D123" s="25"/>
      <c r="E123" s="25"/>
      <c r="F123" s="25"/>
      <c r="G123" s="25"/>
      <c r="H123" s="25"/>
      <c r="I123" s="25"/>
      <c r="J123" s="25"/>
      <c r="K123" s="25"/>
      <c r="L123" s="25"/>
      <c r="M123" s="25"/>
      <c r="N123" s="25"/>
      <c r="O123" s="25"/>
      <c r="P123" s="25"/>
      <c r="Q123" s="25"/>
      <c r="R123" s="25"/>
      <c r="S123" s="25"/>
      <c r="T123" s="34">
        <f>-S180</f>
        <v>-890</v>
      </c>
      <c r="U123" s="34"/>
      <c r="V123" s="53"/>
      <c r="W123" s="25"/>
      <c r="X123" s="5"/>
    </row>
    <row r="124" spans="1:24" ht="15.6" x14ac:dyDescent="0.3">
      <c r="A124" s="24"/>
      <c r="B124" s="25" t="s">
        <v>203</v>
      </c>
      <c r="C124" s="25"/>
      <c r="D124" s="25"/>
      <c r="E124" s="25"/>
      <c r="F124" s="25"/>
      <c r="G124" s="25"/>
      <c r="H124" s="25"/>
      <c r="I124" s="25"/>
      <c r="J124" s="25"/>
      <c r="K124" s="25"/>
      <c r="L124" s="25"/>
      <c r="M124" s="25"/>
      <c r="N124" s="25"/>
      <c r="O124" s="25"/>
      <c r="P124" s="25"/>
      <c r="Q124" s="25"/>
      <c r="R124" s="25"/>
      <c r="S124" s="25"/>
      <c r="T124" s="34">
        <v>-5772</v>
      </c>
      <c r="U124" s="34"/>
      <c r="V124" s="53"/>
      <c r="W124" s="25"/>
      <c r="X124" s="5"/>
    </row>
    <row r="125" spans="1:24" ht="15.6" x14ac:dyDescent="0.3">
      <c r="A125" s="24"/>
      <c r="B125" s="25" t="s">
        <v>201</v>
      </c>
      <c r="C125" s="25"/>
      <c r="D125" s="25"/>
      <c r="E125" s="25"/>
      <c r="F125" s="25"/>
      <c r="G125" s="25"/>
      <c r="H125" s="25"/>
      <c r="I125" s="25"/>
      <c r="J125" s="25"/>
      <c r="K125" s="25"/>
      <c r="L125" s="25"/>
      <c r="M125" s="25"/>
      <c r="N125" s="25"/>
      <c r="O125" s="25"/>
      <c r="P125" s="25"/>
      <c r="Q125" s="25"/>
      <c r="R125" s="25"/>
      <c r="S125" s="25"/>
      <c r="T125" s="34">
        <v>-1026</v>
      </c>
      <c r="U125" s="34"/>
      <c r="V125" s="53"/>
      <c r="W125" s="25"/>
      <c r="X125" s="5"/>
    </row>
    <row r="126" spans="1:24" ht="15.6" x14ac:dyDescent="0.3">
      <c r="A126" s="24"/>
      <c r="B126" s="25" t="s">
        <v>200</v>
      </c>
      <c r="C126" s="25"/>
      <c r="D126" s="25"/>
      <c r="E126" s="25"/>
      <c r="F126" s="25"/>
      <c r="G126" s="25"/>
      <c r="H126" s="25"/>
      <c r="I126" s="25"/>
      <c r="J126" s="25"/>
      <c r="K126" s="25"/>
      <c r="L126" s="25"/>
      <c r="M126" s="25"/>
      <c r="N126" s="25"/>
      <c r="O126" s="25"/>
      <c r="P126" s="25"/>
      <c r="Q126" s="25"/>
      <c r="R126" s="25"/>
      <c r="S126" s="25"/>
      <c r="T126" s="34">
        <v>-1196</v>
      </c>
      <c r="U126" s="34"/>
      <c r="V126" s="53"/>
      <c r="W126" s="25"/>
      <c r="X126" s="5"/>
    </row>
    <row r="127" spans="1:24" ht="15.6" x14ac:dyDescent="0.3">
      <c r="A127" s="24"/>
      <c r="B127" s="25" t="s">
        <v>260</v>
      </c>
      <c r="C127" s="25"/>
      <c r="D127" s="25"/>
      <c r="E127" s="25"/>
      <c r="F127" s="25"/>
      <c r="G127" s="25"/>
      <c r="H127" s="25"/>
      <c r="I127" s="25"/>
      <c r="J127" s="25"/>
      <c r="K127" s="25"/>
      <c r="L127" s="25"/>
      <c r="M127" s="25"/>
      <c r="N127" s="25"/>
      <c r="O127" s="25"/>
      <c r="P127" s="25"/>
      <c r="Q127" s="25"/>
      <c r="R127" s="25"/>
      <c r="S127" s="25"/>
      <c r="T127" s="34">
        <v>-1197</v>
      </c>
      <c r="U127" s="34"/>
      <c r="V127" s="53"/>
      <c r="W127" s="25"/>
      <c r="X127" s="5"/>
    </row>
    <row r="128" spans="1:24" ht="15.6" x14ac:dyDescent="0.3">
      <c r="A128" s="24"/>
      <c r="B128" s="25" t="s">
        <v>195</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261</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193</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40</v>
      </c>
      <c r="C132" s="25"/>
      <c r="D132" s="25"/>
      <c r="E132" s="25"/>
      <c r="F132" s="25"/>
      <c r="G132" s="25"/>
      <c r="H132" s="25"/>
      <c r="I132" s="25"/>
      <c r="J132" s="25"/>
      <c r="K132" s="25"/>
      <c r="L132" s="25"/>
      <c r="M132" s="25"/>
      <c r="N132" s="25"/>
      <c r="O132" s="25"/>
      <c r="P132" s="25"/>
      <c r="Q132" s="25"/>
      <c r="R132" s="25"/>
      <c r="S132" s="25"/>
      <c r="T132" s="34">
        <f>SUM(T121:T131)</f>
        <v>-10160</v>
      </c>
      <c r="U132" s="34"/>
      <c r="V132" s="34">
        <f>SUM(V102:V129)</f>
        <v>-10492</v>
      </c>
      <c r="W132" s="25"/>
      <c r="X132" s="5"/>
    </row>
    <row r="133" spans="1:24" ht="15.6" x14ac:dyDescent="0.3">
      <c r="A133" s="24"/>
      <c r="B133" s="25" t="s">
        <v>41</v>
      </c>
      <c r="C133" s="25"/>
      <c r="D133" s="25"/>
      <c r="E133" s="25"/>
      <c r="F133" s="25"/>
      <c r="G133" s="25"/>
      <c r="H133" s="25"/>
      <c r="I133" s="25"/>
      <c r="J133" s="25"/>
      <c r="K133" s="25"/>
      <c r="L133" s="25"/>
      <c r="M133" s="25"/>
      <c r="N133" s="25"/>
      <c r="O133" s="25"/>
      <c r="P133" s="25"/>
      <c r="Q133" s="25"/>
      <c r="R133" s="25"/>
      <c r="S133" s="25"/>
      <c r="T133" s="34">
        <f>T101+T132+T114</f>
        <v>0</v>
      </c>
      <c r="U133" s="34"/>
      <c r="V133" s="34">
        <f>V101+V132</f>
        <v>0</v>
      </c>
      <c r="W133" s="25"/>
      <c r="X133" s="5"/>
    </row>
    <row r="134" spans="1:24" ht="15.6" x14ac:dyDescent="0.3">
      <c r="A134" s="24"/>
      <c r="B134" s="25"/>
      <c r="C134" s="25"/>
      <c r="D134" s="25"/>
      <c r="E134" s="25"/>
      <c r="F134" s="25"/>
      <c r="G134" s="25"/>
      <c r="H134" s="25"/>
      <c r="I134" s="25"/>
      <c r="J134" s="25"/>
      <c r="K134" s="25"/>
      <c r="L134" s="25"/>
      <c r="M134" s="25"/>
      <c r="N134" s="25"/>
      <c r="O134" s="25"/>
      <c r="P134" s="25"/>
      <c r="Q134" s="25"/>
      <c r="R134" s="25"/>
      <c r="S134" s="25"/>
      <c r="T134" s="34"/>
      <c r="U134" s="34"/>
      <c r="V134" s="34"/>
      <c r="W134" s="25"/>
      <c r="X134" s="5"/>
    </row>
    <row r="135" spans="1:24" ht="15.6" x14ac:dyDescent="0.3">
      <c r="A135" s="6"/>
      <c r="B135" s="8"/>
      <c r="C135" s="8"/>
      <c r="D135" s="8"/>
      <c r="E135" s="8"/>
      <c r="F135" s="8"/>
      <c r="G135" s="8"/>
      <c r="H135" s="8"/>
      <c r="I135" s="8"/>
      <c r="J135" s="8"/>
      <c r="K135" s="8"/>
      <c r="L135" s="8"/>
      <c r="M135" s="8"/>
      <c r="N135" s="8"/>
      <c r="O135" s="8"/>
      <c r="P135" s="8"/>
      <c r="Q135" s="8"/>
      <c r="R135" s="8"/>
      <c r="S135" s="8"/>
      <c r="T135" s="8"/>
      <c r="U135" s="8"/>
      <c r="V135" s="52"/>
      <c r="W135" s="8"/>
      <c r="X135" s="5"/>
    </row>
    <row r="136" spans="1:24" ht="18" thickBot="1" x14ac:dyDescent="0.35">
      <c r="A136" s="101"/>
      <c r="B136" s="102" t="str">
        <f>B64</f>
        <v>PM12 INVESTOR REPORT QUARTER ENDING JULY 2009</v>
      </c>
      <c r="C136" s="103"/>
      <c r="D136" s="103"/>
      <c r="E136" s="103"/>
      <c r="F136" s="103"/>
      <c r="G136" s="103"/>
      <c r="H136" s="103"/>
      <c r="I136" s="103"/>
      <c r="J136" s="103"/>
      <c r="K136" s="103"/>
      <c r="L136" s="103"/>
      <c r="M136" s="103"/>
      <c r="N136" s="103"/>
      <c r="O136" s="103"/>
      <c r="P136" s="103"/>
      <c r="Q136" s="103"/>
      <c r="R136" s="103"/>
      <c r="S136" s="103"/>
      <c r="T136" s="103"/>
      <c r="U136" s="103"/>
      <c r="V136" s="106"/>
      <c r="W136" s="105"/>
      <c r="X136" s="5"/>
    </row>
    <row r="137" spans="1:24" ht="15.6" x14ac:dyDescent="0.3">
      <c r="A137" s="2"/>
      <c r="B137" s="60" t="s">
        <v>42</v>
      </c>
      <c r="C137" s="4"/>
      <c r="D137" s="4"/>
      <c r="E137" s="4"/>
      <c r="F137" s="4"/>
      <c r="G137" s="4"/>
      <c r="H137" s="4"/>
      <c r="I137" s="4"/>
      <c r="J137" s="4"/>
      <c r="K137" s="4"/>
      <c r="L137" s="4"/>
      <c r="M137" s="4"/>
      <c r="N137" s="4"/>
      <c r="O137" s="4"/>
      <c r="P137" s="4"/>
      <c r="Q137" s="4"/>
      <c r="R137" s="4"/>
      <c r="S137" s="4"/>
      <c r="T137" s="4"/>
      <c r="U137" s="4"/>
      <c r="V137" s="50"/>
      <c r="W137" s="4"/>
      <c r="X137" s="5"/>
    </row>
    <row r="138" spans="1:24" ht="15.6" x14ac:dyDescent="0.3">
      <c r="A138" s="6"/>
      <c r="B138" s="21"/>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6"/>
      <c r="B139" s="119" t="s">
        <v>43</v>
      </c>
      <c r="C139" s="8"/>
      <c r="D139" s="8"/>
      <c r="E139" s="8"/>
      <c r="F139" s="8"/>
      <c r="G139" s="8"/>
      <c r="H139" s="8"/>
      <c r="I139" s="8"/>
      <c r="J139" s="8"/>
      <c r="K139" s="8"/>
      <c r="L139" s="8"/>
      <c r="M139" s="8"/>
      <c r="N139" s="8"/>
      <c r="O139" s="8"/>
      <c r="P139" s="8"/>
      <c r="Q139" s="8"/>
      <c r="R139" s="8"/>
      <c r="S139" s="8"/>
      <c r="T139" s="8"/>
      <c r="U139" s="8"/>
      <c r="V139" s="52"/>
      <c r="W139" s="8"/>
      <c r="X139" s="5"/>
    </row>
    <row r="140" spans="1:24" ht="15.6" x14ac:dyDescent="0.3">
      <c r="A140" s="24"/>
      <c r="B140" s="25" t="s">
        <v>44</v>
      </c>
      <c r="C140" s="25"/>
      <c r="D140" s="25"/>
      <c r="E140" s="25"/>
      <c r="F140" s="25"/>
      <c r="G140" s="25"/>
      <c r="H140" s="25"/>
      <c r="I140" s="25"/>
      <c r="J140" s="25"/>
      <c r="K140" s="25"/>
      <c r="L140" s="25"/>
      <c r="M140" s="25"/>
      <c r="N140" s="25"/>
      <c r="O140" s="25"/>
      <c r="P140" s="25"/>
      <c r="Q140" s="25"/>
      <c r="R140" s="25"/>
      <c r="S140" s="25"/>
      <c r="T140" s="25"/>
      <c r="U140" s="25"/>
      <c r="V140" s="53">
        <f>+V34*0.019</f>
        <v>28503.895</v>
      </c>
      <c r="W140" s="25"/>
      <c r="X140" s="5"/>
    </row>
    <row r="141" spans="1:24" ht="15.6" x14ac:dyDescent="0.3">
      <c r="A141" s="24"/>
      <c r="B141" s="25" t="s">
        <v>45</v>
      </c>
      <c r="C141" s="25"/>
      <c r="D141" s="25"/>
      <c r="E141" s="25"/>
      <c r="F141" s="25"/>
      <c r="G141" s="25"/>
      <c r="H141" s="25"/>
      <c r="I141" s="25"/>
      <c r="J141" s="25"/>
      <c r="K141" s="25"/>
      <c r="L141" s="25"/>
      <c r="M141" s="25"/>
      <c r="N141" s="25"/>
      <c r="O141" s="25"/>
      <c r="P141" s="25"/>
      <c r="Q141" s="25"/>
      <c r="R141" s="25"/>
      <c r="S141" s="25"/>
      <c r="T141" s="25"/>
      <c r="U141" s="25"/>
      <c r="V141" s="53">
        <v>28504</v>
      </c>
      <c r="W141" s="25"/>
      <c r="X141" s="5"/>
    </row>
    <row r="142" spans="1:24" ht="15.6" x14ac:dyDescent="0.3">
      <c r="A142" s="24"/>
      <c r="B142" s="25" t="s">
        <v>141</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128</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129</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181</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46</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134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230</v>
      </c>
      <c r="C148" s="25"/>
      <c r="D148" s="25"/>
      <c r="E148" s="25"/>
      <c r="F148" s="25"/>
      <c r="G148" s="25"/>
      <c r="H148" s="25"/>
      <c r="I148" s="25"/>
      <c r="J148" s="25"/>
      <c r="K148" s="25"/>
      <c r="L148" s="25"/>
      <c r="M148" s="25"/>
      <c r="N148" s="25"/>
      <c r="O148" s="25"/>
      <c r="P148" s="25"/>
      <c r="Q148" s="25"/>
      <c r="R148" s="25"/>
      <c r="S148" s="25"/>
      <c r="T148" s="25"/>
      <c r="U148" s="25"/>
      <c r="V148" s="53">
        <v>0</v>
      </c>
      <c r="W148" s="25"/>
      <c r="X148" s="5"/>
      <c r="Y148" s="109"/>
    </row>
    <row r="149" spans="1:25" ht="15.6" x14ac:dyDescent="0.3">
      <c r="A149" s="24"/>
      <c r="B149" s="25" t="s">
        <v>47</v>
      </c>
      <c r="C149" s="25"/>
      <c r="D149" s="25"/>
      <c r="E149" s="25"/>
      <c r="F149" s="25"/>
      <c r="G149" s="25"/>
      <c r="H149" s="25"/>
      <c r="I149" s="25"/>
      <c r="J149" s="25"/>
      <c r="K149" s="25"/>
      <c r="L149" s="25"/>
      <c r="M149" s="25"/>
      <c r="N149" s="25"/>
      <c r="O149" s="25"/>
      <c r="P149" s="25"/>
      <c r="Q149" s="25"/>
      <c r="R149" s="25"/>
      <c r="S149" s="25"/>
      <c r="T149" s="25"/>
      <c r="U149" s="25"/>
      <c r="V149" s="53">
        <f>SUM(V141:V148)</f>
        <v>28504</v>
      </c>
      <c r="W149" s="25"/>
      <c r="X149" s="5"/>
    </row>
    <row r="150" spans="1:25" ht="15.6" x14ac:dyDescent="0.3">
      <c r="A150" s="24"/>
      <c r="B150" s="25"/>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138" t="s">
        <v>269</v>
      </c>
      <c r="C151" s="25"/>
      <c r="D151" s="25"/>
      <c r="E151" s="25"/>
      <c r="F151" s="25"/>
      <c r="G151" s="25"/>
      <c r="H151" s="25"/>
      <c r="I151" s="25"/>
      <c r="J151" s="25"/>
      <c r="K151" s="25"/>
      <c r="L151" s="25"/>
      <c r="M151" s="25"/>
      <c r="N151" s="25"/>
      <c r="O151" s="25"/>
      <c r="P151" s="25"/>
      <c r="Q151" s="25"/>
      <c r="R151" s="25"/>
      <c r="S151" s="25"/>
      <c r="T151" s="25"/>
      <c r="U151" s="25"/>
      <c r="V151" s="53"/>
      <c r="W151" s="25"/>
      <c r="X151" s="5"/>
    </row>
    <row r="152" spans="1:25" ht="15.6" x14ac:dyDescent="0.3">
      <c r="A152" s="24"/>
      <c r="B152" s="25" t="s">
        <v>160</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178</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t="s">
        <v>270</v>
      </c>
      <c r="C154" s="25"/>
      <c r="D154" s="25"/>
      <c r="E154" s="25"/>
      <c r="F154" s="25"/>
      <c r="G154" s="25"/>
      <c r="H154" s="25"/>
      <c r="I154" s="25"/>
      <c r="J154" s="25"/>
      <c r="K154" s="25"/>
      <c r="L154" s="25"/>
      <c r="M154" s="25"/>
      <c r="N154" s="25"/>
      <c r="O154" s="25"/>
      <c r="P154" s="25"/>
      <c r="Q154" s="25"/>
      <c r="R154" s="25"/>
      <c r="S154" s="25"/>
      <c r="T154" s="25"/>
      <c r="U154" s="25"/>
      <c r="V154" s="53">
        <v>0</v>
      </c>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53"/>
      <c r="W155" s="25"/>
      <c r="X155" s="5"/>
    </row>
    <row r="156" spans="1:25" ht="15.6" x14ac:dyDescent="0.3">
      <c r="A156" s="24"/>
      <c r="B156" s="25"/>
      <c r="C156" s="25"/>
      <c r="D156" s="25"/>
      <c r="E156" s="25"/>
      <c r="F156" s="25"/>
      <c r="G156" s="25"/>
      <c r="H156" s="25"/>
      <c r="I156" s="25"/>
      <c r="J156" s="25"/>
      <c r="K156" s="25"/>
      <c r="L156" s="25"/>
      <c r="M156" s="25"/>
      <c r="N156" s="25"/>
      <c r="O156" s="25"/>
      <c r="P156" s="25"/>
      <c r="Q156" s="25"/>
      <c r="R156" s="25"/>
      <c r="S156" s="25"/>
      <c r="T156" s="25"/>
      <c r="U156" s="25"/>
      <c r="V156" s="61"/>
      <c r="W156" s="25"/>
      <c r="X156" s="5"/>
    </row>
    <row r="157" spans="1:25" ht="15.6" x14ac:dyDescent="0.3">
      <c r="A157" s="6"/>
      <c r="B157" s="119" t="s">
        <v>24</v>
      </c>
      <c r="C157" s="8"/>
      <c r="D157" s="8"/>
      <c r="E157" s="8"/>
      <c r="F157" s="8"/>
      <c r="G157" s="8"/>
      <c r="H157" s="8"/>
      <c r="I157" s="8"/>
      <c r="J157" s="8"/>
      <c r="K157" s="8"/>
      <c r="L157" s="8"/>
      <c r="M157" s="8"/>
      <c r="N157" s="8"/>
      <c r="O157" s="8"/>
      <c r="P157" s="8"/>
      <c r="Q157" s="8"/>
      <c r="R157" s="8"/>
      <c r="S157" s="8"/>
      <c r="T157" s="8"/>
      <c r="U157" s="8"/>
      <c r="V157" s="52"/>
      <c r="W157" s="8"/>
      <c r="X157" s="5"/>
    </row>
    <row r="158" spans="1:25" ht="15.6" x14ac:dyDescent="0.3">
      <c r="A158" s="24"/>
      <c r="B158" s="25" t="s">
        <v>48</v>
      </c>
      <c r="C158" s="25"/>
      <c r="D158" s="25"/>
      <c r="E158" s="25"/>
      <c r="F158" s="25"/>
      <c r="G158" s="25"/>
      <c r="H158" s="25"/>
      <c r="I158" s="25"/>
      <c r="J158" s="25"/>
      <c r="K158" s="25"/>
      <c r="L158" s="25"/>
      <c r="M158" s="25"/>
      <c r="N158" s="25"/>
      <c r="O158" s="25"/>
      <c r="P158" s="25"/>
      <c r="Q158" s="25"/>
      <c r="R158" s="25"/>
      <c r="S158" s="25"/>
      <c r="T158" s="25"/>
      <c r="U158" s="25"/>
      <c r="V158" s="59" t="s">
        <v>123</v>
      </c>
      <c r="W158" s="25"/>
      <c r="X158" s="5"/>
    </row>
    <row r="159" spans="1:25" ht="15.6" x14ac:dyDescent="0.3">
      <c r="A159" s="24"/>
      <c r="B159" s="25" t="s">
        <v>49</v>
      </c>
      <c r="C159" s="163"/>
      <c r="D159" s="163"/>
      <c r="E159" s="163"/>
      <c r="F159" s="163"/>
      <c r="G159" s="163"/>
      <c r="H159" s="163"/>
      <c r="I159" s="163"/>
      <c r="J159" s="163"/>
      <c r="K159" s="163"/>
      <c r="L159" s="163"/>
      <c r="M159" s="163"/>
      <c r="N159" s="163"/>
      <c r="O159" s="163"/>
      <c r="P159" s="163"/>
      <c r="Q159" s="163"/>
      <c r="R159" s="163"/>
      <c r="S159" s="163"/>
      <c r="T159" s="163"/>
      <c r="U159" s="163"/>
      <c r="V159" s="59" t="s">
        <v>123</v>
      </c>
      <c r="W159" s="25"/>
      <c r="X159" s="5"/>
    </row>
    <row r="160" spans="1:25" ht="15.6" x14ac:dyDescent="0.3">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t="s">
        <v>51</v>
      </c>
      <c r="C161" s="25"/>
      <c r="D161" s="25"/>
      <c r="E161" s="25"/>
      <c r="F161" s="25"/>
      <c r="G161" s="25"/>
      <c r="H161" s="25"/>
      <c r="I161" s="25"/>
      <c r="J161" s="25"/>
      <c r="K161" s="25"/>
      <c r="L161" s="25"/>
      <c r="M161" s="25"/>
      <c r="N161" s="25"/>
      <c r="O161" s="25"/>
      <c r="P161" s="25"/>
      <c r="Q161" s="25"/>
      <c r="R161" s="25"/>
      <c r="S161" s="25"/>
      <c r="T161" s="25"/>
      <c r="U161" s="25"/>
      <c r="V161" s="59" t="s">
        <v>123</v>
      </c>
      <c r="W161" s="25"/>
      <c r="X161" s="5"/>
    </row>
    <row r="162" spans="1:24" ht="15.6" x14ac:dyDescent="0.3">
      <c r="A162" s="24"/>
      <c r="B162" s="25"/>
      <c r="C162" s="25"/>
      <c r="D162" s="25"/>
      <c r="E162" s="25"/>
      <c r="F162" s="25"/>
      <c r="G162" s="25"/>
      <c r="H162" s="25"/>
      <c r="I162" s="25"/>
      <c r="J162" s="25"/>
      <c r="K162" s="25"/>
      <c r="L162" s="25"/>
      <c r="M162" s="25"/>
      <c r="N162" s="25"/>
      <c r="O162" s="25"/>
      <c r="P162" s="25"/>
      <c r="Q162" s="25"/>
      <c r="R162" s="25"/>
      <c r="S162" s="25"/>
      <c r="T162" s="25"/>
      <c r="U162" s="25"/>
      <c r="V162" s="61"/>
      <c r="W162" s="25"/>
      <c r="X162" s="5"/>
    </row>
    <row r="163" spans="1:24" ht="15.6" x14ac:dyDescent="0.3">
      <c r="A163" s="6"/>
      <c r="B163" s="119" t="s">
        <v>52</v>
      </c>
      <c r="C163" s="8"/>
      <c r="D163" s="8"/>
      <c r="E163" s="8"/>
      <c r="F163" s="8"/>
      <c r="G163" s="8"/>
      <c r="H163" s="8"/>
      <c r="I163" s="8"/>
      <c r="J163" s="8"/>
      <c r="K163" s="8"/>
      <c r="L163" s="8"/>
      <c r="M163" s="8"/>
      <c r="N163" s="8"/>
      <c r="O163" s="8"/>
      <c r="P163" s="8"/>
      <c r="Q163" s="8"/>
      <c r="R163" s="8"/>
      <c r="S163" s="8"/>
      <c r="T163" s="8"/>
      <c r="U163" s="8"/>
      <c r="V163" s="63"/>
      <c r="W163" s="8"/>
      <c r="X163" s="5"/>
    </row>
    <row r="164" spans="1:24" ht="15.6" x14ac:dyDescent="0.3">
      <c r="A164" s="24"/>
      <c r="B164" s="25" t="s">
        <v>53</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4" ht="15.6" x14ac:dyDescent="0.3">
      <c r="A165" s="24"/>
      <c r="B165" s="25" t="s">
        <v>54</v>
      </c>
      <c r="C165" s="25"/>
      <c r="D165" s="25"/>
      <c r="E165" s="25"/>
      <c r="F165" s="25"/>
      <c r="G165" s="25"/>
      <c r="H165" s="25"/>
      <c r="I165" s="25"/>
      <c r="J165" s="25"/>
      <c r="K165" s="25"/>
      <c r="L165" s="25"/>
      <c r="M165" s="25"/>
      <c r="N165" s="25"/>
      <c r="O165" s="25"/>
      <c r="P165" s="25"/>
      <c r="Q165" s="25"/>
      <c r="R165" s="25"/>
      <c r="S165" s="25"/>
      <c r="T165" s="25"/>
      <c r="U165" s="25"/>
      <c r="V165" s="53">
        <f>-V114</f>
        <v>220</v>
      </c>
      <c r="W165" s="25"/>
      <c r="X165" s="5"/>
    </row>
    <row r="166" spans="1:24" ht="15.6" x14ac:dyDescent="0.3">
      <c r="A166" s="24"/>
      <c r="B166" s="25" t="s">
        <v>55</v>
      </c>
      <c r="C166" s="25"/>
      <c r="D166" s="25"/>
      <c r="E166" s="25"/>
      <c r="F166" s="25"/>
      <c r="G166" s="25"/>
      <c r="H166" s="25"/>
      <c r="I166" s="25"/>
      <c r="J166" s="25"/>
      <c r="K166" s="25"/>
      <c r="L166" s="25"/>
      <c r="M166" s="25"/>
      <c r="N166" s="25"/>
      <c r="O166" s="25"/>
      <c r="P166" s="25"/>
      <c r="Q166" s="25"/>
      <c r="R166" s="25"/>
      <c r="S166" s="25"/>
      <c r="T166" s="25"/>
      <c r="U166" s="25"/>
      <c r="V166" s="53">
        <f>V165+V164</f>
        <v>220</v>
      </c>
      <c r="W166" s="25"/>
      <c r="X166" s="5"/>
    </row>
    <row r="167" spans="1:24" ht="15.6" x14ac:dyDescent="0.3">
      <c r="A167" s="24"/>
      <c r="B167" s="25" t="s">
        <v>310</v>
      </c>
      <c r="C167" s="25"/>
      <c r="D167" s="25"/>
      <c r="E167" s="25"/>
      <c r="F167" s="25"/>
      <c r="G167" s="25"/>
      <c r="H167" s="25"/>
      <c r="I167" s="25"/>
      <c r="J167" s="25"/>
      <c r="K167" s="25"/>
      <c r="L167" s="25"/>
      <c r="M167" s="25"/>
      <c r="N167" s="25"/>
      <c r="O167" s="25"/>
      <c r="P167" s="25"/>
      <c r="Q167" s="25"/>
      <c r="R167" s="25"/>
      <c r="S167" s="25"/>
      <c r="T167" s="25"/>
      <c r="U167" s="25"/>
      <c r="V167" s="53">
        <f>V114</f>
        <v>-220</v>
      </c>
      <c r="W167" s="25"/>
      <c r="X167" s="5"/>
    </row>
    <row r="168" spans="1:24" ht="15.6" x14ac:dyDescent="0.3">
      <c r="A168" s="24"/>
      <c r="B168" s="25" t="s">
        <v>56</v>
      </c>
      <c r="C168" s="25"/>
      <c r="D168" s="25"/>
      <c r="E168" s="25"/>
      <c r="F168" s="25"/>
      <c r="G168" s="25"/>
      <c r="H168" s="25"/>
      <c r="I168" s="25"/>
      <c r="J168" s="25"/>
      <c r="K168" s="25"/>
      <c r="L168" s="25"/>
      <c r="M168" s="25"/>
      <c r="N168" s="25"/>
      <c r="O168" s="25"/>
      <c r="P168" s="25"/>
      <c r="Q168" s="25"/>
      <c r="R168" s="25"/>
      <c r="S168" s="25"/>
      <c r="T168" s="25"/>
      <c r="U168" s="25"/>
      <c r="V168" s="53">
        <f>V166+V167</f>
        <v>0</v>
      </c>
      <c r="W168" s="25"/>
      <c r="X168" s="5"/>
    </row>
    <row r="169" spans="1:24" ht="16.2" thickBot="1" x14ac:dyDescent="0.35">
      <c r="A169" s="24"/>
      <c r="B169" s="25"/>
      <c r="C169" s="25"/>
      <c r="D169" s="25"/>
      <c r="E169" s="25"/>
      <c r="F169" s="25"/>
      <c r="G169" s="25"/>
      <c r="H169" s="25"/>
      <c r="I169" s="25"/>
      <c r="J169" s="25"/>
      <c r="K169" s="25"/>
      <c r="L169" s="25"/>
      <c r="M169" s="25"/>
      <c r="N169" s="25"/>
      <c r="O169" s="25"/>
      <c r="P169" s="25"/>
      <c r="Q169" s="25"/>
      <c r="R169" s="25"/>
      <c r="S169" s="25"/>
      <c r="T169" s="25"/>
      <c r="U169" s="25"/>
      <c r="V169" s="61"/>
      <c r="W169" s="25"/>
      <c r="X169" s="5"/>
    </row>
    <row r="170" spans="1:24" ht="15.6" x14ac:dyDescent="0.3">
      <c r="A170" s="2"/>
      <c r="B170" s="4"/>
      <c r="C170" s="4"/>
      <c r="D170" s="4"/>
      <c r="E170" s="4"/>
      <c r="F170" s="4"/>
      <c r="G170" s="4"/>
      <c r="H170" s="4"/>
      <c r="I170" s="4"/>
      <c r="J170" s="4"/>
      <c r="K170" s="4"/>
      <c r="L170" s="4"/>
      <c r="M170" s="4"/>
      <c r="N170" s="4"/>
      <c r="O170" s="4"/>
      <c r="P170" s="4"/>
      <c r="Q170" s="4"/>
      <c r="R170" s="4"/>
      <c r="S170" s="4"/>
      <c r="T170" s="4"/>
      <c r="U170" s="4"/>
      <c r="V170" s="50"/>
      <c r="W170" s="4"/>
      <c r="X170" s="5"/>
    </row>
    <row r="171" spans="1:24" ht="15.6" x14ac:dyDescent="0.3">
      <c r="A171" s="6"/>
      <c r="B171" s="119" t="s">
        <v>57</v>
      </c>
      <c r="C171" s="8"/>
      <c r="D171" s="8"/>
      <c r="E171" s="8"/>
      <c r="F171" s="8"/>
      <c r="G171" s="8"/>
      <c r="H171" s="8"/>
      <c r="I171" s="8"/>
      <c r="J171" s="8"/>
      <c r="K171" s="8"/>
      <c r="L171" s="8"/>
      <c r="M171" s="8"/>
      <c r="N171" s="8"/>
      <c r="O171" s="8"/>
      <c r="P171" s="8"/>
      <c r="Q171" s="8"/>
      <c r="R171" s="8"/>
      <c r="S171" s="8"/>
      <c r="T171" s="8"/>
      <c r="U171" s="8"/>
      <c r="V171" s="52"/>
      <c r="W171" s="8"/>
      <c r="X171" s="5"/>
    </row>
    <row r="172" spans="1:24" ht="15.6" x14ac:dyDescent="0.3">
      <c r="A172" s="6"/>
      <c r="B172" s="21"/>
      <c r="C172" s="8"/>
      <c r="D172" s="8"/>
      <c r="E172" s="8"/>
      <c r="F172" s="8"/>
      <c r="G172" s="8"/>
      <c r="H172" s="8"/>
      <c r="I172" s="8"/>
      <c r="J172" s="8"/>
      <c r="K172" s="8"/>
      <c r="L172" s="8"/>
      <c r="M172" s="8"/>
      <c r="N172" s="8"/>
      <c r="O172" s="8"/>
      <c r="P172" s="8"/>
      <c r="Q172" s="8"/>
      <c r="R172" s="8"/>
      <c r="S172" s="8"/>
      <c r="T172" s="8"/>
      <c r="U172" s="8"/>
      <c r="V172" s="52"/>
      <c r="W172" s="8"/>
      <c r="X172" s="5"/>
    </row>
    <row r="173" spans="1:24" ht="15.6" x14ac:dyDescent="0.3">
      <c r="A173" s="24"/>
      <c r="B173" s="25" t="s">
        <v>58</v>
      </c>
      <c r="C173" s="25"/>
      <c r="D173" s="25"/>
      <c r="E173" s="25"/>
      <c r="F173" s="25"/>
      <c r="G173" s="25"/>
      <c r="H173" s="25"/>
      <c r="I173" s="25"/>
      <c r="J173" s="25"/>
      <c r="K173" s="25"/>
      <c r="L173" s="25"/>
      <c r="M173" s="25"/>
      <c r="N173" s="25"/>
      <c r="O173" s="25"/>
      <c r="P173" s="25"/>
      <c r="Q173" s="25"/>
      <c r="R173" s="25"/>
      <c r="S173" s="25"/>
      <c r="T173" s="25"/>
      <c r="U173" s="25"/>
      <c r="V173" s="53">
        <f>V72</f>
        <v>1059907</v>
      </c>
      <c r="W173" s="25"/>
      <c r="X173" s="5"/>
    </row>
    <row r="174" spans="1:24" ht="15.6" x14ac:dyDescent="0.3">
      <c r="A174" s="24"/>
      <c r="B174" s="25" t="s">
        <v>59</v>
      </c>
      <c r="C174" s="25"/>
      <c r="D174" s="25"/>
      <c r="E174" s="25"/>
      <c r="F174" s="25"/>
      <c r="G174" s="25"/>
      <c r="H174" s="25"/>
      <c r="I174" s="25"/>
      <c r="J174" s="25"/>
      <c r="K174" s="25"/>
      <c r="L174" s="25"/>
      <c r="M174" s="25"/>
      <c r="N174" s="25"/>
      <c r="O174" s="25"/>
      <c r="P174" s="25"/>
      <c r="Q174" s="25"/>
      <c r="R174" s="25"/>
      <c r="S174" s="25"/>
      <c r="T174" s="25"/>
      <c r="U174" s="25"/>
      <c r="V174" s="53">
        <f>V85</f>
        <v>1059907</v>
      </c>
      <c r="W174" s="25"/>
      <c r="X174" s="5"/>
    </row>
    <row r="175" spans="1:24" ht="16.2" thickBot="1" x14ac:dyDescent="0.35">
      <c r="A175" s="24"/>
      <c r="B175" s="25"/>
      <c r="C175" s="25"/>
      <c r="D175" s="25"/>
      <c r="E175" s="25"/>
      <c r="F175" s="25"/>
      <c r="G175" s="25"/>
      <c r="H175" s="25"/>
      <c r="I175" s="25"/>
      <c r="J175" s="25"/>
      <c r="K175" s="25"/>
      <c r="L175" s="25"/>
      <c r="M175" s="25"/>
      <c r="N175" s="25"/>
      <c r="O175" s="25"/>
      <c r="P175" s="25"/>
      <c r="Q175" s="25"/>
      <c r="R175" s="25"/>
      <c r="S175" s="25"/>
      <c r="T175" s="25"/>
      <c r="U175" s="25"/>
      <c r="V175" s="61"/>
      <c r="W175" s="25"/>
      <c r="X175" s="5"/>
    </row>
    <row r="176" spans="1:24" ht="15.6" x14ac:dyDescent="0.3">
      <c r="A176" s="2"/>
      <c r="B176" s="4"/>
      <c r="C176" s="4"/>
      <c r="D176" s="4"/>
      <c r="E176" s="4"/>
      <c r="F176" s="4"/>
      <c r="G176" s="4"/>
      <c r="H176" s="4"/>
      <c r="I176" s="4"/>
      <c r="J176" s="4"/>
      <c r="K176" s="4"/>
      <c r="L176" s="4"/>
      <c r="M176" s="4"/>
      <c r="N176" s="4"/>
      <c r="O176" s="4"/>
      <c r="P176" s="4"/>
      <c r="Q176" s="4"/>
      <c r="R176" s="4"/>
      <c r="S176" s="4"/>
      <c r="T176" s="4"/>
      <c r="U176" s="4"/>
      <c r="V176" s="50"/>
      <c r="W176" s="4"/>
      <c r="X176" s="5"/>
    </row>
    <row r="177" spans="1:24" ht="15.6" x14ac:dyDescent="0.3">
      <c r="A177" s="6"/>
      <c r="B177" s="119" t="s">
        <v>60</v>
      </c>
      <c r="C177" s="117"/>
      <c r="D177" s="117"/>
      <c r="E177" s="117"/>
      <c r="F177" s="117"/>
      <c r="G177" s="117"/>
      <c r="H177" s="120"/>
      <c r="I177" s="120"/>
      <c r="J177" s="120"/>
      <c r="K177" s="120"/>
      <c r="L177" s="120"/>
      <c r="M177" s="120"/>
      <c r="N177" s="120"/>
      <c r="O177" s="120"/>
      <c r="P177" s="120"/>
      <c r="Q177" s="120"/>
      <c r="R177" s="120"/>
      <c r="S177" s="120" t="s">
        <v>103</v>
      </c>
      <c r="T177" s="120" t="s">
        <v>182</v>
      </c>
      <c r="U177" s="111"/>
      <c r="V177" s="121" t="s">
        <v>119</v>
      </c>
      <c r="W177" s="10"/>
      <c r="X177" s="5"/>
    </row>
    <row r="178" spans="1:24" ht="15.6" x14ac:dyDescent="0.3">
      <c r="A178" s="24"/>
      <c r="B178" s="25" t="s">
        <v>61</v>
      </c>
      <c r="C178" s="25"/>
      <c r="D178" s="25"/>
      <c r="E178" s="25"/>
      <c r="F178" s="25"/>
      <c r="G178" s="25"/>
      <c r="H178" s="25"/>
      <c r="I178" s="25"/>
      <c r="J178" s="25"/>
      <c r="K178" s="25"/>
      <c r="L178" s="25"/>
      <c r="M178" s="25"/>
      <c r="N178" s="25"/>
      <c r="O178" s="25"/>
      <c r="P178" s="25"/>
      <c r="Q178" s="25"/>
      <c r="R178" s="25"/>
      <c r="S178" s="53">
        <f>+V34*0.16</f>
        <v>240032.80000000002</v>
      </c>
      <c r="T178" s="40"/>
      <c r="U178" s="25"/>
      <c r="V178" s="53"/>
      <c r="W178" s="25"/>
      <c r="X178" s="5"/>
    </row>
    <row r="179" spans="1:24" ht="15.6" x14ac:dyDescent="0.3">
      <c r="A179" s="24"/>
      <c r="B179" s="25" t="s">
        <v>62</v>
      </c>
      <c r="C179" s="25"/>
      <c r="D179" s="25"/>
      <c r="E179" s="25"/>
      <c r="F179" s="25"/>
      <c r="G179" s="25"/>
      <c r="H179" s="25"/>
      <c r="I179" s="25"/>
      <c r="J179" s="25"/>
      <c r="K179" s="25"/>
      <c r="L179" s="25"/>
      <c r="M179" s="25"/>
      <c r="N179" s="25"/>
      <c r="O179" s="25"/>
      <c r="P179" s="25"/>
      <c r="Q179" s="25"/>
      <c r="R179" s="25"/>
      <c r="S179" s="53">
        <f>+'April 09'!S181</f>
        <v>43910</v>
      </c>
      <c r="T179" s="53">
        <f>+'April 09'!T181</f>
        <v>6092</v>
      </c>
      <c r="U179" s="25"/>
      <c r="V179" s="53">
        <f>S179+T179</f>
        <v>50002</v>
      </c>
      <c r="W179" s="25"/>
      <c r="X179" s="5"/>
    </row>
    <row r="180" spans="1:24" ht="15.6" x14ac:dyDescent="0.3">
      <c r="A180" s="24"/>
      <c r="B180" s="25" t="s">
        <v>63</v>
      </c>
      <c r="C180" s="25"/>
      <c r="D180" s="25"/>
      <c r="E180" s="25"/>
      <c r="F180" s="25"/>
      <c r="G180" s="25"/>
      <c r="H180" s="25"/>
      <c r="I180" s="25"/>
      <c r="J180" s="25"/>
      <c r="K180" s="25"/>
      <c r="L180" s="25"/>
      <c r="M180" s="25"/>
      <c r="N180" s="25"/>
      <c r="O180" s="25"/>
      <c r="P180" s="25"/>
      <c r="Q180" s="25"/>
      <c r="R180" s="25"/>
      <c r="S180" s="34">
        <f>829+61</f>
        <v>890</v>
      </c>
      <c r="T180" s="34">
        <v>79</v>
      </c>
      <c r="U180" s="25"/>
      <c r="V180" s="53">
        <f>S180+T180</f>
        <v>969</v>
      </c>
      <c r="W180" s="25"/>
      <c r="X180" s="5"/>
    </row>
    <row r="181" spans="1:24" ht="15.6" x14ac:dyDescent="0.3">
      <c r="A181" s="24"/>
      <c r="B181" s="25" t="s">
        <v>64</v>
      </c>
      <c r="C181" s="25"/>
      <c r="D181" s="25"/>
      <c r="E181" s="25"/>
      <c r="F181" s="25"/>
      <c r="G181" s="25"/>
      <c r="H181" s="25"/>
      <c r="I181" s="25"/>
      <c r="J181" s="25"/>
      <c r="K181" s="25"/>
      <c r="L181" s="25"/>
      <c r="M181" s="25"/>
      <c r="N181" s="25"/>
      <c r="O181" s="25"/>
      <c r="P181" s="25"/>
      <c r="Q181" s="25"/>
      <c r="R181" s="25"/>
      <c r="S181" s="53">
        <f>S179+S180</f>
        <v>44800</v>
      </c>
      <c r="T181" s="53">
        <f>T180+T179</f>
        <v>6171</v>
      </c>
      <c r="U181" s="25"/>
      <c r="V181" s="53">
        <f>S181+T181</f>
        <v>50971</v>
      </c>
      <c r="W181" s="25"/>
      <c r="X181" s="5"/>
    </row>
    <row r="182" spans="1:24" ht="15.6" x14ac:dyDescent="0.3">
      <c r="A182" s="24"/>
      <c r="B182" s="25" t="s">
        <v>65</v>
      </c>
      <c r="C182" s="25"/>
      <c r="D182" s="25"/>
      <c r="E182" s="25"/>
      <c r="F182" s="25"/>
      <c r="G182" s="25"/>
      <c r="H182" s="25"/>
      <c r="I182" s="25"/>
      <c r="J182" s="25"/>
      <c r="K182" s="25"/>
      <c r="L182" s="25"/>
      <c r="M182" s="25"/>
      <c r="N182" s="25"/>
      <c r="O182" s="25"/>
      <c r="P182" s="25"/>
      <c r="Q182" s="25"/>
      <c r="R182" s="25"/>
      <c r="S182" s="53">
        <f>S178-S181-T181</f>
        <v>189061.80000000002</v>
      </c>
      <c r="T182" s="40"/>
      <c r="U182" s="25"/>
      <c r="V182" s="53"/>
      <c r="W182" s="25"/>
      <c r="X182" s="5"/>
    </row>
    <row r="183" spans="1:24" ht="16.2" thickBot="1" x14ac:dyDescent="0.35">
      <c r="A183" s="24"/>
      <c r="B183" s="25"/>
      <c r="C183" s="25"/>
      <c r="D183" s="25"/>
      <c r="E183" s="25"/>
      <c r="F183" s="25"/>
      <c r="G183" s="25"/>
      <c r="H183" s="25"/>
      <c r="I183" s="25"/>
      <c r="J183" s="25"/>
      <c r="K183" s="25"/>
      <c r="L183" s="25"/>
      <c r="M183" s="25"/>
      <c r="N183" s="25"/>
      <c r="O183" s="25"/>
      <c r="P183" s="25"/>
      <c r="Q183" s="25"/>
      <c r="R183" s="25"/>
      <c r="S183" s="25"/>
      <c r="T183" s="25"/>
      <c r="U183" s="25"/>
      <c r="V183" s="61"/>
      <c r="W183" s="25"/>
      <c r="X183" s="5"/>
    </row>
    <row r="184" spans="1:24" ht="15.6" x14ac:dyDescent="0.3">
      <c r="A184" s="2"/>
      <c r="B184" s="4"/>
      <c r="C184" s="4"/>
      <c r="D184" s="4"/>
      <c r="E184" s="4"/>
      <c r="F184" s="4"/>
      <c r="G184" s="4"/>
      <c r="H184" s="4"/>
      <c r="I184" s="4"/>
      <c r="J184" s="4"/>
      <c r="K184" s="4"/>
      <c r="L184" s="4"/>
      <c r="M184" s="4"/>
      <c r="N184" s="4"/>
      <c r="O184" s="4"/>
      <c r="P184" s="4"/>
      <c r="Q184" s="4"/>
      <c r="R184" s="4"/>
      <c r="S184" s="4"/>
      <c r="T184" s="4"/>
      <c r="U184" s="4"/>
      <c r="V184" s="50"/>
      <c r="W184" s="4"/>
      <c r="X184" s="5"/>
    </row>
    <row r="185" spans="1:24" ht="15.6" x14ac:dyDescent="0.3">
      <c r="A185" s="6"/>
      <c r="B185" s="119" t="s">
        <v>66</v>
      </c>
      <c r="C185" s="8"/>
      <c r="D185" s="8"/>
      <c r="E185" s="8"/>
      <c r="F185" s="8"/>
      <c r="G185" s="8"/>
      <c r="H185" s="8"/>
      <c r="I185" s="8"/>
      <c r="J185" s="8"/>
      <c r="K185" s="8"/>
      <c r="L185" s="8"/>
      <c r="M185" s="8"/>
      <c r="N185" s="8"/>
      <c r="O185" s="8"/>
      <c r="P185" s="8"/>
      <c r="Q185" s="8"/>
      <c r="R185" s="8"/>
      <c r="S185" s="8"/>
      <c r="T185" s="8"/>
      <c r="U185" s="8"/>
      <c r="V185" s="65"/>
      <c r="W185" s="8"/>
      <c r="X185" s="5"/>
    </row>
    <row r="186" spans="1:24" ht="15.6" x14ac:dyDescent="0.3">
      <c r="A186" s="24"/>
      <c r="B186" s="25" t="s">
        <v>67</v>
      </c>
      <c r="C186" s="25"/>
      <c r="D186" s="25"/>
      <c r="E186" s="25"/>
      <c r="F186" s="25"/>
      <c r="G186" s="25"/>
      <c r="H186" s="25"/>
      <c r="I186" s="25"/>
      <c r="J186" s="25"/>
      <c r="K186" s="25"/>
      <c r="L186" s="25"/>
      <c r="M186" s="25"/>
      <c r="N186" s="25"/>
      <c r="O186" s="25"/>
      <c r="P186" s="25"/>
      <c r="Q186" s="25"/>
      <c r="R186" s="25"/>
      <c r="S186" s="25"/>
      <c r="T186" s="25"/>
      <c r="U186" s="25"/>
      <c r="V186" s="59">
        <f>(V101+V103+V104+V105+V106)/-(V107+V108)</f>
        <v>2.2040264423076925</v>
      </c>
      <c r="W186" s="25" t="s">
        <v>120</v>
      </c>
      <c r="X186" s="5"/>
    </row>
    <row r="187" spans="1:24" ht="15.6" x14ac:dyDescent="0.3">
      <c r="A187" s="24"/>
      <c r="B187" s="25" t="s">
        <v>68</v>
      </c>
      <c r="C187" s="25"/>
      <c r="D187" s="25"/>
      <c r="E187" s="25"/>
      <c r="F187" s="25"/>
      <c r="G187" s="25"/>
      <c r="H187" s="25"/>
      <c r="I187" s="25"/>
      <c r="J187" s="25"/>
      <c r="K187" s="25"/>
      <c r="L187" s="25"/>
      <c r="M187" s="25"/>
      <c r="N187" s="25"/>
      <c r="O187" s="25"/>
      <c r="P187" s="25"/>
      <c r="Q187" s="25"/>
      <c r="R187" s="25"/>
      <c r="S187" s="25"/>
      <c r="T187" s="25"/>
      <c r="U187" s="25"/>
      <c r="V187" s="66">
        <v>1.43</v>
      </c>
      <c r="W187" s="25" t="s">
        <v>120</v>
      </c>
      <c r="X187" s="5"/>
    </row>
    <row r="188" spans="1:24" ht="15.6" x14ac:dyDescent="0.3">
      <c r="A188" s="24"/>
      <c r="B188" s="25" t="s">
        <v>69</v>
      </c>
      <c r="C188" s="25"/>
      <c r="D188" s="25"/>
      <c r="E188" s="25"/>
      <c r="F188" s="25"/>
      <c r="G188" s="25"/>
      <c r="H188" s="25"/>
      <c r="I188" s="25"/>
      <c r="J188" s="25"/>
      <c r="K188" s="25"/>
      <c r="L188" s="25"/>
      <c r="M188" s="25"/>
      <c r="N188" s="25"/>
      <c r="O188" s="25"/>
      <c r="P188" s="25"/>
      <c r="Q188" s="25"/>
      <c r="R188" s="25"/>
      <c r="S188" s="25"/>
      <c r="T188" s="25"/>
      <c r="U188" s="25"/>
      <c r="V188" s="59">
        <f>(V101+V103+V104+V105+V106+V107+V108)/-(V109+V110)</f>
        <v>8.6731601731601735</v>
      </c>
      <c r="W188" s="25" t="s">
        <v>120</v>
      </c>
      <c r="X188" s="5"/>
    </row>
    <row r="189" spans="1:24" ht="15.6" x14ac:dyDescent="0.3">
      <c r="A189" s="24"/>
      <c r="B189" s="25" t="s">
        <v>70</v>
      </c>
      <c r="C189" s="25"/>
      <c r="D189" s="25"/>
      <c r="E189" s="25"/>
      <c r="F189" s="25"/>
      <c r="G189" s="25"/>
      <c r="H189" s="25"/>
      <c r="I189" s="25"/>
      <c r="J189" s="25"/>
      <c r="K189" s="25"/>
      <c r="L189" s="25"/>
      <c r="M189" s="25"/>
      <c r="N189" s="25"/>
      <c r="O189" s="25"/>
      <c r="P189" s="25"/>
      <c r="Q189" s="25"/>
      <c r="R189" s="25"/>
      <c r="S189" s="25"/>
      <c r="T189" s="25"/>
      <c r="U189" s="25"/>
      <c r="V189" s="66">
        <v>4.2</v>
      </c>
      <c r="W189" s="25" t="s">
        <v>120</v>
      </c>
      <c r="X189" s="5"/>
    </row>
    <row r="190" spans="1:24" ht="15.6" x14ac:dyDescent="0.3">
      <c r="A190" s="24"/>
      <c r="B190" s="25" t="s">
        <v>204</v>
      </c>
      <c r="C190" s="25"/>
      <c r="D190" s="25"/>
      <c r="E190" s="25"/>
      <c r="F190" s="25"/>
      <c r="G190" s="25"/>
      <c r="H190" s="25"/>
      <c r="I190" s="25"/>
      <c r="J190" s="25"/>
      <c r="K190" s="25"/>
      <c r="L190" s="25"/>
      <c r="M190" s="25"/>
      <c r="N190" s="25"/>
      <c r="O190" s="25"/>
      <c r="P190" s="25"/>
      <c r="Q190" s="25"/>
      <c r="R190" s="25"/>
      <c r="S190" s="25"/>
      <c r="T190" s="25"/>
      <c r="U190" s="25"/>
      <c r="V190" s="59">
        <f>(V101+V103+V104+V105+V106+V107+V108+V109+V110)/-(V111+V112)</f>
        <v>8.3215962441314559</v>
      </c>
      <c r="W190" s="25" t="s">
        <v>120</v>
      </c>
      <c r="X190" s="5"/>
    </row>
    <row r="191" spans="1:24" ht="15.6" x14ac:dyDescent="0.3">
      <c r="A191" s="24"/>
      <c r="B191" s="25" t="s">
        <v>205</v>
      </c>
      <c r="C191" s="25"/>
      <c r="D191" s="25"/>
      <c r="E191" s="25"/>
      <c r="F191" s="25"/>
      <c r="G191" s="25"/>
      <c r="H191" s="25"/>
      <c r="I191" s="25"/>
      <c r="J191" s="25"/>
      <c r="K191" s="25"/>
      <c r="L191" s="25"/>
      <c r="M191" s="25"/>
      <c r="N191" s="25"/>
      <c r="O191" s="25"/>
      <c r="P191" s="25"/>
      <c r="Q191" s="25"/>
      <c r="R191" s="25"/>
      <c r="S191" s="25"/>
      <c r="T191" s="25"/>
      <c r="U191" s="25"/>
      <c r="V191" s="66">
        <v>3.8</v>
      </c>
      <c r="W191" s="25" t="s">
        <v>120</v>
      </c>
      <c r="X191" s="5"/>
    </row>
    <row r="192" spans="1:24"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25"/>
      <c r="W192" s="25"/>
      <c r="X192" s="5"/>
    </row>
    <row r="193" spans="1:24" ht="15.6" x14ac:dyDescent="0.3">
      <c r="A193" s="24"/>
      <c r="B193" s="25"/>
      <c r="C193" s="25"/>
      <c r="D193" s="25"/>
      <c r="E193" s="25"/>
      <c r="F193" s="25"/>
      <c r="G193" s="25"/>
      <c r="H193" s="25"/>
      <c r="I193" s="25"/>
      <c r="J193" s="25"/>
      <c r="K193" s="25"/>
      <c r="L193" s="25"/>
      <c r="M193" s="25"/>
      <c r="N193" s="25"/>
      <c r="O193" s="25"/>
      <c r="P193" s="25"/>
      <c r="Q193" s="25"/>
      <c r="R193" s="25"/>
      <c r="S193" s="25"/>
      <c r="T193" s="25"/>
      <c r="U193" s="25"/>
      <c r="V193" s="25"/>
      <c r="W193" s="25"/>
      <c r="X193" s="5"/>
    </row>
    <row r="194" spans="1:24" ht="15.6" x14ac:dyDescent="0.3">
      <c r="A194" s="6"/>
      <c r="B194" s="8"/>
      <c r="C194" s="8"/>
      <c r="D194" s="8"/>
      <c r="E194" s="8"/>
      <c r="F194" s="8"/>
      <c r="G194" s="8"/>
      <c r="H194" s="8"/>
      <c r="I194" s="8"/>
      <c r="J194" s="8"/>
      <c r="K194" s="8"/>
      <c r="L194" s="8"/>
      <c r="M194" s="8"/>
      <c r="N194" s="8"/>
      <c r="O194" s="8"/>
      <c r="P194" s="8"/>
      <c r="Q194" s="8"/>
      <c r="R194" s="8"/>
      <c r="S194" s="8"/>
      <c r="T194" s="8"/>
      <c r="U194" s="8"/>
      <c r="V194" s="8"/>
      <c r="W194" s="8"/>
      <c r="X194" s="5"/>
    </row>
    <row r="195" spans="1:24" ht="18" thickBot="1" x14ac:dyDescent="0.35">
      <c r="A195" s="101"/>
      <c r="B195" s="102" t="str">
        <f>B136</f>
        <v>PM12 INVESTOR REPORT QUARTER ENDING JULY 2009</v>
      </c>
      <c r="C195" s="165"/>
      <c r="D195" s="165"/>
      <c r="E195" s="165"/>
      <c r="F195" s="165"/>
      <c r="G195" s="165"/>
      <c r="H195" s="165"/>
      <c r="I195" s="165"/>
      <c r="J195" s="165"/>
      <c r="K195" s="165"/>
      <c r="L195" s="165"/>
      <c r="M195" s="165"/>
      <c r="N195" s="165"/>
      <c r="O195" s="165"/>
      <c r="P195" s="165"/>
      <c r="Q195" s="165"/>
      <c r="R195" s="165"/>
      <c r="S195" s="165"/>
      <c r="T195" s="165"/>
      <c r="U195" s="165"/>
      <c r="V195" s="165"/>
      <c r="W195" s="166"/>
      <c r="X195" s="5"/>
    </row>
    <row r="196" spans="1:24" ht="15.6" x14ac:dyDescent="0.3">
      <c r="A196" s="67"/>
      <c r="B196" s="60" t="s">
        <v>71</v>
      </c>
      <c r="C196" s="68"/>
      <c r="D196" s="68"/>
      <c r="E196" s="68"/>
      <c r="F196" s="68"/>
      <c r="G196" s="69"/>
      <c r="H196" s="69"/>
      <c r="I196" s="69"/>
      <c r="J196" s="69"/>
      <c r="K196" s="69"/>
      <c r="L196" s="69"/>
      <c r="M196" s="69"/>
      <c r="N196" s="69"/>
      <c r="O196" s="69"/>
      <c r="P196" s="69"/>
      <c r="Q196" s="69"/>
      <c r="R196" s="69"/>
      <c r="S196" s="69"/>
      <c r="T196" s="70">
        <v>40025</v>
      </c>
      <c r="U196" s="4"/>
      <c r="V196" s="4"/>
      <c r="W196" s="4"/>
      <c r="X196" s="5"/>
    </row>
    <row r="197" spans="1:24" ht="15.6" x14ac:dyDescent="0.3">
      <c r="A197" s="71"/>
      <c r="B197" s="72"/>
      <c r="C197" s="73"/>
      <c r="D197" s="73"/>
      <c r="E197" s="73"/>
      <c r="F197" s="73"/>
      <c r="G197" s="74"/>
      <c r="H197" s="74"/>
      <c r="I197" s="74"/>
      <c r="J197" s="74"/>
      <c r="K197" s="74"/>
      <c r="L197" s="74"/>
      <c r="M197" s="74"/>
      <c r="N197" s="74"/>
      <c r="O197" s="74"/>
      <c r="P197" s="74"/>
      <c r="Q197" s="74"/>
      <c r="R197" s="74"/>
      <c r="S197" s="74"/>
      <c r="T197" s="74"/>
      <c r="U197" s="8"/>
      <c r="V197" s="8"/>
      <c r="W197" s="8"/>
      <c r="X197" s="5"/>
    </row>
    <row r="198" spans="1:24" ht="15.6" x14ac:dyDescent="0.3">
      <c r="A198" s="75"/>
      <c r="B198" s="76" t="s">
        <v>72</v>
      </c>
      <c r="C198" s="77"/>
      <c r="D198" s="77"/>
      <c r="E198" s="77"/>
      <c r="F198" s="77"/>
      <c r="G198" s="64"/>
      <c r="H198" s="64"/>
      <c r="I198" s="64"/>
      <c r="J198" s="64"/>
      <c r="K198" s="64"/>
      <c r="L198" s="64"/>
      <c r="M198" s="64"/>
      <c r="N198" s="64"/>
      <c r="O198" s="64"/>
      <c r="P198" s="64"/>
      <c r="Q198" s="64"/>
      <c r="R198" s="64"/>
      <c r="S198" s="64"/>
      <c r="T198" s="78">
        <v>5.2060000000000002E-2</v>
      </c>
      <c r="U198" s="25"/>
      <c r="V198" s="25"/>
      <c r="W198" s="25"/>
      <c r="X198" s="5"/>
    </row>
    <row r="199" spans="1:24" ht="15.6" x14ac:dyDescent="0.3">
      <c r="A199" s="75"/>
      <c r="B199" s="76" t="s">
        <v>156</v>
      </c>
      <c r="C199" s="77"/>
      <c r="D199" s="77"/>
      <c r="E199" s="77"/>
      <c r="F199" s="77"/>
      <c r="G199" s="64"/>
      <c r="H199" s="64"/>
      <c r="I199" s="64"/>
      <c r="J199" s="64"/>
      <c r="K199" s="64"/>
      <c r="L199" s="64"/>
      <c r="M199" s="64"/>
      <c r="N199" s="64"/>
      <c r="O199" s="64"/>
      <c r="P199" s="64"/>
      <c r="Q199" s="64"/>
      <c r="R199" s="64"/>
      <c r="S199" s="64"/>
      <c r="T199" s="39">
        <f>'Oct 06'!T197</f>
        <v>4.8538814772447772E-2</v>
      </c>
      <c r="U199" s="25"/>
      <c r="V199" s="25"/>
      <c r="W199" s="25"/>
      <c r="X199" s="5"/>
    </row>
    <row r="200" spans="1:24" ht="15.6" x14ac:dyDescent="0.3">
      <c r="A200" s="75"/>
      <c r="B200" s="76" t="s">
        <v>73</v>
      </c>
      <c r="C200" s="77"/>
      <c r="D200" s="77"/>
      <c r="E200" s="77"/>
      <c r="F200" s="77"/>
      <c r="G200" s="64"/>
      <c r="H200" s="64"/>
      <c r="I200" s="64"/>
      <c r="J200" s="64"/>
      <c r="K200" s="64"/>
      <c r="L200" s="64"/>
      <c r="M200" s="64"/>
      <c r="N200" s="64"/>
      <c r="O200" s="64"/>
      <c r="P200" s="64"/>
      <c r="Q200" s="64"/>
      <c r="R200" s="64"/>
      <c r="S200" s="64"/>
      <c r="T200" s="78">
        <f>T198-T199</f>
        <v>3.5211852275522301E-3</v>
      </c>
      <c r="U200" s="25"/>
      <c r="V200" s="25"/>
      <c r="W200" s="25"/>
      <c r="X200" s="5"/>
    </row>
    <row r="201" spans="1:24" ht="15.6" x14ac:dyDescent="0.3">
      <c r="A201" s="75"/>
      <c r="B201" s="76" t="s">
        <v>74</v>
      </c>
      <c r="C201" s="77"/>
      <c r="D201" s="77"/>
      <c r="E201" s="77"/>
      <c r="F201" s="77"/>
      <c r="G201" s="64"/>
      <c r="H201" s="64"/>
      <c r="I201" s="64"/>
      <c r="J201" s="64"/>
      <c r="K201" s="64"/>
      <c r="L201" s="64"/>
      <c r="M201" s="64"/>
      <c r="N201" s="64"/>
      <c r="O201" s="64"/>
      <c r="P201" s="64"/>
      <c r="Q201" s="64"/>
      <c r="R201" s="64"/>
      <c r="S201" s="64"/>
      <c r="T201" s="78">
        <v>3.3369999999999997E-2</v>
      </c>
      <c r="U201" s="25"/>
      <c r="V201" s="25"/>
      <c r="W201" s="25"/>
      <c r="X201" s="5"/>
    </row>
    <row r="202" spans="1:24" ht="15.6" x14ac:dyDescent="0.3">
      <c r="A202" s="75"/>
      <c r="B202" s="76" t="s">
        <v>225</v>
      </c>
      <c r="C202" s="77"/>
      <c r="D202" s="77"/>
      <c r="E202" s="77"/>
      <c r="F202" s="77"/>
      <c r="G202" s="64"/>
      <c r="H202" s="64"/>
      <c r="I202" s="64"/>
      <c r="J202" s="64"/>
      <c r="K202" s="64"/>
      <c r="L202" s="64"/>
      <c r="M202" s="64"/>
      <c r="N202" s="64"/>
      <c r="O202" s="64"/>
      <c r="P202" s="64"/>
      <c r="Q202" s="64"/>
      <c r="R202" s="64"/>
      <c r="S202" s="64"/>
      <c r="T202" s="78">
        <f>V43</f>
        <v>1.5313393081770077E-2</v>
      </c>
      <c r="U202" s="25"/>
      <c r="V202" s="25"/>
      <c r="W202" s="25"/>
      <c r="X202" s="5"/>
    </row>
    <row r="203" spans="1:24" ht="15.6" x14ac:dyDescent="0.3">
      <c r="A203" s="75"/>
      <c r="B203" s="76" t="s">
        <v>75</v>
      </c>
      <c r="C203" s="77"/>
      <c r="D203" s="77"/>
      <c r="E203" s="77"/>
      <c r="F203" s="77"/>
      <c r="G203" s="64"/>
      <c r="H203" s="64"/>
      <c r="I203" s="64"/>
      <c r="J203" s="64"/>
      <c r="K203" s="64"/>
      <c r="L203" s="64"/>
      <c r="M203" s="64"/>
      <c r="N203" s="64"/>
      <c r="O203" s="64"/>
      <c r="P203" s="64"/>
      <c r="Q203" s="64"/>
      <c r="R203" s="64"/>
      <c r="S203" s="64"/>
      <c r="T203" s="78">
        <f>T201-T202</f>
        <v>1.8056606918229919E-2</v>
      </c>
      <c r="U203" s="25"/>
      <c r="V203" s="25"/>
      <c r="W203" s="25"/>
      <c r="X203" s="5"/>
    </row>
    <row r="204" spans="1:24" ht="15.6" x14ac:dyDescent="0.3">
      <c r="A204" s="75"/>
      <c r="B204" s="76" t="s">
        <v>271</v>
      </c>
      <c r="C204" s="77"/>
      <c r="D204" s="77"/>
      <c r="E204" s="77"/>
      <c r="F204" s="77"/>
      <c r="G204" s="64"/>
      <c r="H204" s="64"/>
      <c r="I204" s="64"/>
      <c r="J204" s="64"/>
      <c r="K204" s="64"/>
      <c r="L204" s="64"/>
      <c r="M204" s="64"/>
      <c r="N204" s="64"/>
      <c r="O204" s="64"/>
      <c r="P204" s="64"/>
      <c r="Q204" s="64"/>
      <c r="R204" s="64"/>
      <c r="S204" s="64"/>
      <c r="T204" s="78">
        <f>+V101/N72</f>
        <v>9.8138804861668434E-3</v>
      </c>
      <c r="U204" s="25"/>
      <c r="V204" s="25"/>
      <c r="W204" s="25"/>
      <c r="X204" s="5"/>
    </row>
    <row r="205" spans="1:24" ht="15.6" x14ac:dyDescent="0.3">
      <c r="A205" s="75"/>
      <c r="B205" s="76" t="s">
        <v>214</v>
      </c>
      <c r="C205" s="77"/>
      <c r="D205" s="77"/>
      <c r="E205" s="77"/>
      <c r="F205" s="77"/>
      <c r="G205" s="64"/>
      <c r="H205" s="64"/>
      <c r="I205" s="64"/>
      <c r="J205" s="64"/>
      <c r="K205" s="64"/>
      <c r="L205" s="64"/>
      <c r="M205" s="64"/>
      <c r="N205" s="64"/>
      <c r="O205" s="64"/>
      <c r="P205" s="64"/>
      <c r="Q205" s="64"/>
      <c r="R205" s="64"/>
      <c r="S205" s="64"/>
      <c r="T205" s="129">
        <v>50710</v>
      </c>
      <c r="U205" s="25"/>
      <c r="V205" s="25"/>
      <c r="W205" s="25"/>
      <c r="X205" s="5"/>
    </row>
    <row r="206" spans="1:24" ht="15.6" x14ac:dyDescent="0.3">
      <c r="A206" s="75"/>
      <c r="B206" s="76" t="s">
        <v>215</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216</v>
      </c>
      <c r="C207" s="77"/>
      <c r="D207" s="77"/>
      <c r="E207" s="77"/>
      <c r="F207" s="77"/>
      <c r="G207" s="64"/>
      <c r="H207" s="64"/>
      <c r="I207" s="64"/>
      <c r="J207" s="64"/>
      <c r="K207" s="64"/>
      <c r="L207" s="64"/>
      <c r="M207" s="64"/>
      <c r="N207" s="64"/>
      <c r="O207" s="64"/>
      <c r="P207" s="64"/>
      <c r="Q207" s="64"/>
      <c r="R207" s="64"/>
      <c r="S207" s="64"/>
      <c r="T207" s="129">
        <v>50710</v>
      </c>
      <c r="U207" s="25"/>
      <c r="V207" s="25"/>
      <c r="W207" s="25"/>
      <c r="X207" s="5"/>
    </row>
    <row r="208" spans="1:24" ht="15.6" x14ac:dyDescent="0.3">
      <c r="A208" s="75"/>
      <c r="B208" s="76" t="s">
        <v>76</v>
      </c>
      <c r="C208" s="77"/>
      <c r="D208" s="77"/>
      <c r="E208" s="77"/>
      <c r="F208" s="77"/>
      <c r="G208" s="64"/>
      <c r="H208" s="64"/>
      <c r="I208" s="64"/>
      <c r="J208" s="64"/>
      <c r="K208" s="64"/>
      <c r="L208" s="64"/>
      <c r="M208" s="64"/>
      <c r="N208" s="64"/>
      <c r="O208" s="64"/>
      <c r="P208" s="64"/>
      <c r="Q208" s="64"/>
      <c r="R208" s="64"/>
      <c r="S208" s="64"/>
      <c r="T208" s="133">
        <v>21.06</v>
      </c>
      <c r="U208" s="25" t="s">
        <v>115</v>
      </c>
      <c r="V208" s="25"/>
      <c r="W208" s="25"/>
      <c r="X208" s="5"/>
    </row>
    <row r="209" spans="1:24" ht="15.6" x14ac:dyDescent="0.3">
      <c r="A209" s="75"/>
      <c r="B209" s="76" t="s">
        <v>77</v>
      </c>
      <c r="C209" s="77"/>
      <c r="D209" s="77"/>
      <c r="E209" s="77"/>
      <c r="F209" s="77"/>
      <c r="G209" s="64"/>
      <c r="H209" s="64"/>
      <c r="I209" s="64"/>
      <c r="J209" s="64"/>
      <c r="K209" s="64"/>
      <c r="L209" s="64"/>
      <c r="M209" s="64"/>
      <c r="N209" s="64"/>
      <c r="O209" s="64"/>
      <c r="P209" s="64"/>
      <c r="Q209" s="64"/>
      <c r="R209" s="64"/>
      <c r="S209" s="64"/>
      <c r="T209" s="133">
        <v>18.13</v>
      </c>
      <c r="U209" s="25" t="s">
        <v>115</v>
      </c>
      <c r="V209" s="25"/>
      <c r="W209" s="25"/>
      <c r="X209" s="5"/>
    </row>
    <row r="210" spans="1:24" ht="15.6" x14ac:dyDescent="0.3">
      <c r="A210" s="75"/>
      <c r="B210" s="76" t="s">
        <v>78</v>
      </c>
      <c r="C210" s="77"/>
      <c r="D210" s="77"/>
      <c r="E210" s="77"/>
      <c r="F210" s="77"/>
      <c r="G210" s="64"/>
      <c r="H210" s="64"/>
      <c r="I210" s="64"/>
      <c r="J210" s="64"/>
      <c r="K210" s="64"/>
      <c r="L210" s="64"/>
      <c r="M210" s="64"/>
      <c r="N210" s="64"/>
      <c r="O210" s="64"/>
      <c r="P210" s="64"/>
      <c r="Q210" s="64"/>
      <c r="R210" s="64"/>
      <c r="S210" s="64"/>
      <c r="T210" s="78">
        <f>+P69/N69</f>
        <v>9.5557189331567354E-3</v>
      </c>
      <c r="U210" s="25"/>
      <c r="V210" s="25"/>
      <c r="W210" s="25"/>
      <c r="X210" s="5"/>
    </row>
    <row r="211" spans="1:24" ht="15.6" x14ac:dyDescent="0.3">
      <c r="A211" s="75"/>
      <c r="B211" s="76" t="s">
        <v>79</v>
      </c>
      <c r="C211" s="77"/>
      <c r="D211" s="77"/>
      <c r="E211" s="77"/>
      <c r="F211" s="77"/>
      <c r="G211" s="64"/>
      <c r="H211" s="64"/>
      <c r="I211" s="64"/>
      <c r="J211" s="64"/>
      <c r="K211" s="64"/>
      <c r="L211" s="64"/>
      <c r="M211" s="64"/>
      <c r="N211" s="64"/>
      <c r="O211" s="64"/>
      <c r="P211" s="64"/>
      <c r="Q211" s="64"/>
      <c r="R211" s="64"/>
      <c r="S211" s="64"/>
      <c r="T211" s="78">
        <v>0.11940000000000001</v>
      </c>
      <c r="U211" s="25"/>
      <c r="V211" s="25"/>
      <c r="W211" s="25"/>
      <c r="X211" s="5"/>
    </row>
    <row r="212" spans="1:24" ht="15.6" x14ac:dyDescent="0.3">
      <c r="A212" s="75"/>
      <c r="B212" s="76"/>
      <c r="C212" s="76"/>
      <c r="D212" s="76"/>
      <c r="E212" s="76"/>
      <c r="F212" s="76"/>
      <c r="G212" s="25"/>
      <c r="H212" s="25"/>
      <c r="I212" s="25"/>
      <c r="J212" s="25"/>
      <c r="K212" s="25"/>
      <c r="L212" s="25"/>
      <c r="M212" s="25"/>
      <c r="N212" s="25"/>
      <c r="O212" s="25"/>
      <c r="P212" s="25"/>
      <c r="Q212" s="25"/>
      <c r="R212" s="25"/>
      <c r="S212" s="25"/>
      <c r="T212" s="61"/>
      <c r="U212" s="25"/>
      <c r="V212" s="79"/>
      <c r="W212" s="25"/>
      <c r="X212" s="5"/>
    </row>
    <row r="213" spans="1:24" ht="15.6" x14ac:dyDescent="0.3">
      <c r="A213" s="80"/>
      <c r="B213" s="14" t="s">
        <v>80</v>
      </c>
      <c r="C213" s="81"/>
      <c r="D213" s="81"/>
      <c r="E213" s="81"/>
      <c r="F213" s="82"/>
      <c r="G213" s="81"/>
      <c r="H213" s="17"/>
      <c r="I213" s="17"/>
      <c r="J213" s="17"/>
      <c r="K213" s="17"/>
      <c r="L213" s="17"/>
      <c r="M213" s="17"/>
      <c r="N213" s="17"/>
      <c r="O213" s="17"/>
      <c r="P213" s="17"/>
      <c r="Q213" s="17"/>
      <c r="R213" s="17"/>
      <c r="S213" s="17" t="s">
        <v>104</v>
      </c>
      <c r="T213" s="83" t="s">
        <v>111</v>
      </c>
      <c r="U213" s="8"/>
      <c r="V213" s="8"/>
      <c r="W213" s="8"/>
      <c r="X213" s="5"/>
    </row>
    <row r="214" spans="1:24" ht="15.6" x14ac:dyDescent="0.3">
      <c r="A214" s="84"/>
      <c r="B214" s="76" t="s">
        <v>81</v>
      </c>
      <c r="C214" s="54"/>
      <c r="D214" s="54"/>
      <c r="E214" s="54"/>
      <c r="F214" s="25"/>
      <c r="G214" s="25"/>
      <c r="H214" s="30"/>
      <c r="I214" s="30"/>
      <c r="J214" s="30"/>
      <c r="K214" s="30"/>
      <c r="L214" s="30"/>
      <c r="M214" s="30"/>
      <c r="N214" s="30"/>
      <c r="O214" s="30"/>
      <c r="P214" s="30"/>
      <c r="Q214" s="30"/>
      <c r="R214" s="30"/>
      <c r="S214" s="30">
        <v>0</v>
      </c>
      <c r="T214" s="85">
        <v>0</v>
      </c>
      <c r="U214" s="25"/>
      <c r="V214" s="79"/>
      <c r="W214" s="86"/>
      <c r="X214" s="5"/>
    </row>
    <row r="215" spans="1:24" ht="15.6" x14ac:dyDescent="0.3">
      <c r="A215" s="84"/>
      <c r="B215" s="76" t="s">
        <v>150</v>
      </c>
      <c r="C215" s="54"/>
      <c r="D215" s="54"/>
      <c r="E215" s="54"/>
      <c r="F215" s="25"/>
      <c r="G215" s="25"/>
      <c r="H215" s="30"/>
      <c r="I215" s="30"/>
      <c r="J215" s="30"/>
      <c r="K215" s="30"/>
      <c r="L215" s="30"/>
      <c r="M215" s="30"/>
      <c r="N215" s="30"/>
      <c r="O215" s="30"/>
      <c r="P215" s="30"/>
      <c r="Q215" s="30"/>
      <c r="R215" s="30"/>
      <c r="S215" s="152">
        <f>+R255</f>
        <v>191</v>
      </c>
      <c r="T215" s="85">
        <f>+T255</f>
        <v>31897</v>
      </c>
      <c r="U215" s="25"/>
      <c r="V215" s="79"/>
      <c r="W215" s="86"/>
      <c r="X215" s="5"/>
    </row>
    <row r="216" spans="1:24" ht="15.6" x14ac:dyDescent="0.3">
      <c r="A216" s="84"/>
      <c r="B216" s="76" t="s">
        <v>82</v>
      </c>
      <c r="C216" s="54"/>
      <c r="D216" s="54"/>
      <c r="E216" s="54"/>
      <c r="F216" s="25"/>
      <c r="G216" s="25"/>
      <c r="H216" s="30"/>
      <c r="I216" s="30"/>
      <c r="J216" s="30"/>
      <c r="K216" s="30"/>
      <c r="L216" s="30"/>
      <c r="M216" s="30"/>
      <c r="N216" s="30"/>
      <c r="O216" s="30"/>
      <c r="P216" s="30"/>
      <c r="Q216" s="30"/>
      <c r="R216" s="30"/>
      <c r="S216" s="152">
        <f>+R267</f>
        <v>0</v>
      </c>
      <c r="T216" s="85">
        <f>+T267</f>
        <v>0</v>
      </c>
      <c r="U216" s="25"/>
      <c r="V216" s="79"/>
      <c r="W216" s="86"/>
      <c r="X216" s="5"/>
    </row>
    <row r="217" spans="1:24" ht="15.6" x14ac:dyDescent="0.3">
      <c r="A217" s="84"/>
      <c r="B217" s="122" t="s">
        <v>83</v>
      </c>
      <c r="C217" s="54"/>
      <c r="D217" s="54"/>
      <c r="E217" s="54"/>
      <c r="F217" s="25"/>
      <c r="G217" s="25"/>
      <c r="H217" s="25"/>
      <c r="I217" s="25"/>
      <c r="J217" s="25"/>
      <c r="K217" s="25"/>
      <c r="L217" s="25"/>
      <c r="M217" s="25"/>
      <c r="N217" s="25"/>
      <c r="O217" s="25"/>
      <c r="P217" s="25"/>
      <c r="Q217" s="25"/>
      <c r="R217" s="25"/>
      <c r="S217" s="25"/>
      <c r="T217" s="85">
        <v>0</v>
      </c>
      <c r="U217" s="25"/>
      <c r="V217" s="79"/>
      <c r="W217" s="86"/>
      <c r="X217" s="5"/>
    </row>
    <row r="218" spans="1:24" ht="15.6" x14ac:dyDescent="0.3">
      <c r="A218" s="84"/>
      <c r="B218" s="122" t="s">
        <v>84</v>
      </c>
      <c r="C218" s="54"/>
      <c r="D218" s="54"/>
      <c r="E218" s="54"/>
      <c r="F218" s="25"/>
      <c r="G218" s="25"/>
      <c r="H218" s="25"/>
      <c r="I218" s="25"/>
      <c r="J218" s="25"/>
      <c r="K218" s="25"/>
      <c r="L218" s="25"/>
      <c r="M218" s="25"/>
      <c r="N218" s="25"/>
      <c r="O218" s="25"/>
      <c r="P218" s="25"/>
      <c r="Q218" s="25"/>
      <c r="R218" s="25"/>
      <c r="S218" s="25"/>
      <c r="T218" s="62" t="s">
        <v>112</v>
      </c>
      <c r="U218" s="25"/>
      <c r="V218" s="79"/>
      <c r="W218" s="86"/>
      <c r="X218" s="5"/>
    </row>
    <row r="219" spans="1:24" ht="15.6" x14ac:dyDescent="0.3">
      <c r="A219" s="87"/>
      <c r="B219" s="122" t="s">
        <v>85</v>
      </c>
      <c r="C219" s="76"/>
      <c r="D219" s="76"/>
      <c r="E219" s="76"/>
      <c r="F219" s="76"/>
      <c r="G219" s="25"/>
      <c r="H219" s="25"/>
      <c r="I219" s="25"/>
      <c r="J219" s="25"/>
      <c r="K219" s="25"/>
      <c r="L219" s="25"/>
      <c r="M219" s="25"/>
      <c r="N219" s="25"/>
      <c r="O219" s="25"/>
      <c r="P219" s="25"/>
      <c r="Q219" s="25"/>
      <c r="R219" s="25"/>
      <c r="S219" s="25"/>
      <c r="T219" s="85"/>
      <c r="U219" s="25"/>
      <c r="V219" s="79"/>
      <c r="W219" s="88"/>
      <c r="X219" s="5"/>
    </row>
    <row r="220" spans="1:24" ht="15.6" x14ac:dyDescent="0.3">
      <c r="A220" s="87"/>
      <c r="B220" s="131" t="s">
        <v>86</v>
      </c>
      <c r="C220" s="76"/>
      <c r="D220" s="76"/>
      <c r="E220" s="76"/>
      <c r="F220" s="76"/>
      <c r="G220" s="25"/>
      <c r="H220" s="25"/>
      <c r="I220" s="25"/>
      <c r="J220" s="25"/>
      <c r="K220" s="25"/>
      <c r="L220" s="25"/>
      <c r="M220" s="25"/>
      <c r="N220" s="25"/>
      <c r="O220" s="25"/>
      <c r="P220" s="25"/>
      <c r="Q220" s="25"/>
      <c r="R220" s="25"/>
      <c r="S220" s="30"/>
      <c r="T220" s="85">
        <f>+V165</f>
        <v>220</v>
      </c>
      <c r="U220" s="25"/>
      <c r="V220" s="79"/>
      <c r="W220" s="88"/>
      <c r="X220" s="5"/>
    </row>
    <row r="221" spans="1:24" ht="15.6" x14ac:dyDescent="0.3">
      <c r="A221" s="84"/>
      <c r="B221" s="76" t="s">
        <v>87</v>
      </c>
      <c r="C221" s="54"/>
      <c r="D221" s="54"/>
      <c r="E221" s="54"/>
      <c r="F221" s="54"/>
      <c r="G221" s="25"/>
      <c r="H221" s="25"/>
      <c r="I221" s="25"/>
      <c r="J221" s="25"/>
      <c r="K221" s="25"/>
      <c r="L221" s="25"/>
      <c r="M221" s="25"/>
      <c r="N221" s="25"/>
      <c r="O221" s="25"/>
      <c r="P221" s="25"/>
      <c r="Q221" s="25"/>
      <c r="R221" s="25"/>
      <c r="S221" s="30"/>
      <c r="T221" s="85">
        <f>'April 09'!T221+'July 09'!T220</f>
        <v>902</v>
      </c>
      <c r="U221" s="25"/>
      <c r="V221" s="79"/>
      <c r="W221" s="88"/>
      <c r="X221" s="5"/>
    </row>
    <row r="222" spans="1:24" ht="15.6" x14ac:dyDescent="0.3">
      <c r="A222" s="87"/>
      <c r="B222" s="122" t="s">
        <v>292</v>
      </c>
      <c r="C222" s="76"/>
      <c r="D222" s="76"/>
      <c r="E222" s="76"/>
      <c r="F222" s="76"/>
      <c r="G222" s="25"/>
      <c r="H222" s="25"/>
      <c r="I222" s="25"/>
      <c r="J222" s="25"/>
      <c r="K222" s="25"/>
      <c r="L222" s="25"/>
      <c r="M222" s="25"/>
      <c r="N222" s="25"/>
      <c r="O222" s="25"/>
      <c r="P222" s="25"/>
      <c r="Q222" s="25"/>
      <c r="R222" s="25"/>
      <c r="S222" s="30"/>
      <c r="T222" s="85"/>
      <c r="U222" s="25"/>
      <c r="V222" s="79"/>
      <c r="W222" s="88"/>
      <c r="X222" s="5"/>
    </row>
    <row r="223" spans="1:24" ht="15.6" x14ac:dyDescent="0.3">
      <c r="A223" s="87"/>
      <c r="B223" s="76" t="s">
        <v>290</v>
      </c>
      <c r="C223" s="76"/>
      <c r="D223" s="76"/>
      <c r="E223" s="76"/>
      <c r="F223" s="76"/>
      <c r="G223" s="25"/>
      <c r="H223" s="25"/>
      <c r="I223" s="25"/>
      <c r="J223" s="25"/>
      <c r="K223" s="25"/>
      <c r="L223" s="25"/>
      <c r="M223" s="25"/>
      <c r="N223" s="25"/>
      <c r="O223" s="25"/>
      <c r="P223" s="25"/>
      <c r="Q223" s="25"/>
      <c r="R223" s="25"/>
      <c r="S223" s="30">
        <v>0</v>
      </c>
      <c r="T223" s="85">
        <v>0</v>
      </c>
      <c r="U223" s="25"/>
      <c r="V223" s="79"/>
      <c r="W223" s="88"/>
      <c r="X223" s="5"/>
    </row>
    <row r="224" spans="1:24" ht="15.6" x14ac:dyDescent="0.3">
      <c r="A224" s="84"/>
      <c r="B224" s="76" t="s">
        <v>88</v>
      </c>
      <c r="C224" s="89"/>
      <c r="D224" s="89"/>
      <c r="E224" s="89"/>
      <c r="F224" s="90"/>
      <c r="G224" s="25"/>
      <c r="H224" s="25"/>
      <c r="I224" s="25"/>
      <c r="J224" s="25"/>
      <c r="K224" s="25"/>
      <c r="L224" s="25"/>
      <c r="M224" s="25"/>
      <c r="N224" s="25"/>
      <c r="O224" s="25"/>
      <c r="P224" s="25"/>
      <c r="Q224" s="25"/>
      <c r="R224" s="25"/>
      <c r="S224" s="25"/>
      <c r="T224" s="62">
        <v>0</v>
      </c>
      <c r="U224" s="25"/>
      <c r="V224" s="79"/>
      <c r="W224" s="88"/>
      <c r="X224" s="5"/>
    </row>
    <row r="225" spans="1:25" ht="15.6" x14ac:dyDescent="0.3">
      <c r="A225" s="84"/>
      <c r="B225" s="76" t="s">
        <v>89</v>
      </c>
      <c r="C225" s="89"/>
      <c r="D225" s="89"/>
      <c r="E225" s="89"/>
      <c r="F225" s="90"/>
      <c r="G225" s="25"/>
      <c r="H225" s="25"/>
      <c r="I225" s="25"/>
      <c r="J225" s="25"/>
      <c r="K225" s="25"/>
      <c r="L225" s="25"/>
      <c r="M225" s="25"/>
      <c r="N225" s="25"/>
      <c r="O225" s="25"/>
      <c r="P225" s="25"/>
      <c r="Q225" s="25"/>
      <c r="R225" s="25"/>
      <c r="S225" s="25"/>
      <c r="T225" s="62">
        <v>0</v>
      </c>
      <c r="U225" s="25"/>
      <c r="V225" s="79"/>
      <c r="W225" s="88"/>
      <c r="X225" s="5"/>
    </row>
    <row r="226" spans="1:25" ht="15.6" x14ac:dyDescent="0.3">
      <c r="A226" s="84"/>
      <c r="B226" s="122" t="s">
        <v>223</v>
      </c>
      <c r="C226" s="89"/>
      <c r="D226" s="89"/>
      <c r="E226" s="89"/>
      <c r="F226" s="90"/>
      <c r="G226" s="25"/>
      <c r="H226" s="25"/>
      <c r="I226" s="25"/>
      <c r="J226" s="25"/>
      <c r="K226" s="25"/>
      <c r="L226" s="25"/>
      <c r="M226" s="25"/>
      <c r="N226" s="25"/>
      <c r="O226" s="25"/>
      <c r="P226" s="25"/>
      <c r="Q226" s="25"/>
      <c r="R226" s="25"/>
      <c r="S226" s="25"/>
      <c r="T226" s="91"/>
      <c r="U226" s="25"/>
      <c r="V226" s="79"/>
      <c r="W226" s="88"/>
      <c r="X226" s="5"/>
    </row>
    <row r="227" spans="1:25" ht="15.6" x14ac:dyDescent="0.3">
      <c r="A227" s="84"/>
      <c r="B227" s="76" t="s">
        <v>290</v>
      </c>
      <c r="C227" s="89"/>
      <c r="D227" s="89"/>
      <c r="E227" s="89"/>
      <c r="F227" s="90"/>
      <c r="G227" s="25"/>
      <c r="H227" s="25"/>
      <c r="I227" s="25"/>
      <c r="J227" s="25"/>
      <c r="K227" s="25"/>
      <c r="L227" s="25"/>
      <c r="M227" s="25"/>
      <c r="N227" s="25"/>
      <c r="O227" s="25"/>
      <c r="P227" s="25"/>
      <c r="Q227" s="25"/>
      <c r="R227" s="25"/>
      <c r="S227" s="30">
        <v>9</v>
      </c>
      <c r="T227" s="85">
        <v>1272</v>
      </c>
      <c r="U227" s="25"/>
      <c r="V227" s="79"/>
      <c r="W227" s="88"/>
      <c r="X227" s="5"/>
    </row>
    <row r="228" spans="1:25" ht="15.6" x14ac:dyDescent="0.3">
      <c r="A228" s="84"/>
      <c r="B228" s="76" t="s">
        <v>224</v>
      </c>
      <c r="C228" s="89"/>
      <c r="D228" s="89"/>
      <c r="E228" s="89"/>
      <c r="F228" s="90"/>
      <c r="G228" s="25"/>
      <c r="H228" s="25"/>
      <c r="I228" s="25"/>
      <c r="J228" s="25"/>
      <c r="K228" s="25"/>
      <c r="L228" s="25"/>
      <c r="M228" s="25"/>
      <c r="N228" s="25"/>
      <c r="O228" s="25"/>
      <c r="P228" s="25"/>
      <c r="Q228" s="25"/>
      <c r="R228" s="25"/>
      <c r="S228" s="25"/>
      <c r="T228" s="62">
        <v>14.29</v>
      </c>
      <c r="U228" s="25"/>
      <c r="V228" s="79"/>
      <c r="W228" s="88"/>
      <c r="X228" s="5"/>
    </row>
    <row r="229" spans="1:25" ht="15.6" x14ac:dyDescent="0.3">
      <c r="A229" s="84"/>
      <c r="B229" s="76"/>
      <c r="C229" s="89"/>
      <c r="D229" s="89"/>
      <c r="E229" s="89"/>
      <c r="F229" s="90"/>
      <c r="G229" s="25"/>
      <c r="H229" s="25"/>
      <c r="I229" s="25"/>
      <c r="J229" s="25"/>
      <c r="K229" s="25"/>
      <c r="L229" s="25"/>
      <c r="M229" s="25"/>
      <c r="N229" s="25"/>
      <c r="O229" s="25"/>
      <c r="P229" s="25"/>
      <c r="Q229" s="25"/>
      <c r="R229" s="25"/>
      <c r="S229" s="25"/>
      <c r="T229" s="91"/>
      <c r="U229" s="25"/>
      <c r="V229" s="79"/>
      <c r="W229" s="88"/>
      <c r="X229" s="5"/>
    </row>
    <row r="230" spans="1:25" ht="15.6" x14ac:dyDescent="0.3">
      <c r="A230" s="84"/>
      <c r="B230" s="76"/>
      <c r="C230" s="89"/>
      <c r="D230" s="89"/>
      <c r="E230" s="89"/>
      <c r="F230" s="90"/>
      <c r="G230" s="25"/>
      <c r="H230" s="25"/>
      <c r="I230" s="25"/>
      <c r="J230" s="25"/>
      <c r="K230" s="25"/>
      <c r="L230" s="25"/>
      <c r="M230" s="25"/>
      <c r="N230" s="25"/>
      <c r="O230" s="25"/>
      <c r="P230" s="25"/>
      <c r="Q230" s="25"/>
      <c r="R230" s="25"/>
      <c r="S230" s="25"/>
      <c r="T230" s="91"/>
      <c r="U230" s="25"/>
      <c r="V230" s="79"/>
      <c r="W230" s="88"/>
      <c r="X230" s="5"/>
    </row>
    <row r="231" spans="1:25" ht="17.399999999999999" x14ac:dyDescent="0.3">
      <c r="A231" s="84"/>
      <c r="B231" s="149" t="s">
        <v>174</v>
      </c>
      <c r="C231" s="89"/>
      <c r="D231" s="89"/>
      <c r="E231" s="89"/>
      <c r="F231" s="90"/>
      <c r="G231" s="25"/>
      <c r="H231" s="25"/>
      <c r="I231" s="25"/>
      <c r="J231" s="25"/>
      <c r="K231" s="25"/>
      <c r="L231" s="25"/>
      <c r="M231" s="25"/>
      <c r="N231" s="25"/>
      <c r="O231" s="25"/>
      <c r="P231" s="150" t="s">
        <v>173</v>
      </c>
      <c r="Q231" s="25"/>
      <c r="R231" s="25"/>
      <c r="S231" s="25"/>
      <c r="T231" s="91"/>
      <c r="U231" s="25"/>
      <c r="V231" s="79"/>
      <c r="W231" s="88"/>
      <c r="X231" s="5"/>
    </row>
    <row r="232" spans="1:25" ht="15.6" x14ac:dyDescent="0.3">
      <c r="A232" s="84"/>
      <c r="B232" s="76"/>
      <c r="C232" s="89"/>
      <c r="D232" s="89"/>
      <c r="E232" s="89"/>
      <c r="F232" s="90"/>
      <c r="G232" s="25"/>
      <c r="H232" s="25"/>
      <c r="I232" s="25"/>
      <c r="J232" s="25"/>
      <c r="K232" s="25"/>
      <c r="L232" s="25"/>
      <c r="M232" s="25"/>
      <c r="N232" s="25"/>
      <c r="O232" s="25"/>
      <c r="P232" s="25"/>
      <c r="Q232" s="25"/>
      <c r="R232" s="25"/>
      <c r="S232" s="25"/>
      <c r="T232" s="91"/>
      <c r="U232" s="25"/>
      <c r="V232" s="79"/>
      <c r="W232" s="88"/>
      <c r="X232" s="5"/>
    </row>
    <row r="233" spans="1:25" ht="15.6" x14ac:dyDescent="0.3">
      <c r="A233" s="6"/>
      <c r="B233" s="14" t="s">
        <v>167</v>
      </c>
      <c r="C233" s="81"/>
      <c r="D233" s="81"/>
      <c r="E233" s="81"/>
      <c r="F233" s="82"/>
      <c r="G233" s="81"/>
      <c r="H233" s="17"/>
      <c r="I233" s="17"/>
      <c r="J233" s="17"/>
      <c r="K233" s="17"/>
      <c r="L233" s="17"/>
      <c r="M233" s="17"/>
      <c r="N233" s="17"/>
      <c r="O233" s="17"/>
      <c r="P233" s="17"/>
      <c r="Q233" s="17"/>
      <c r="R233" s="83" t="s">
        <v>104</v>
      </c>
      <c r="S233" s="17" t="s">
        <v>105</v>
      </c>
      <c r="T233" s="83" t="s">
        <v>113</v>
      </c>
      <c r="U233" s="17" t="s">
        <v>105</v>
      </c>
      <c r="V233" s="8"/>
      <c r="W233" s="92"/>
      <c r="X233" s="5"/>
    </row>
    <row r="234" spans="1:25" ht="15.6" x14ac:dyDescent="0.3">
      <c r="A234" s="24"/>
      <c r="B234" s="54" t="s">
        <v>90</v>
      </c>
      <c r="C234" s="93"/>
      <c r="D234" s="93"/>
      <c r="E234" s="93"/>
      <c r="F234" s="25"/>
      <c r="G234" s="93"/>
      <c r="H234" s="93"/>
      <c r="I234" s="93"/>
      <c r="J234" s="93"/>
      <c r="K234" s="93"/>
      <c r="L234" s="93"/>
      <c r="M234" s="93"/>
      <c r="N234" s="93"/>
      <c r="O234" s="93"/>
      <c r="P234" s="93"/>
      <c r="Q234" s="93"/>
      <c r="R234" s="54">
        <v>7493</v>
      </c>
      <c r="S234" s="94">
        <f t="shared" ref="S234:S241" si="1">R234/$R$243</f>
        <v>0.98088755072653488</v>
      </c>
      <c r="T234" s="53">
        <v>998977</v>
      </c>
      <c r="U234" s="132">
        <f t="shared" ref="U234:U241" si="2">T234/$T$243</f>
        <v>0.97175805682824101</v>
      </c>
      <c r="V234" s="79"/>
      <c r="W234" s="88"/>
      <c r="X234" s="5"/>
    </row>
    <row r="235" spans="1:25" ht="15.6" x14ac:dyDescent="0.3">
      <c r="A235" s="24"/>
      <c r="B235" s="54" t="s">
        <v>91</v>
      </c>
      <c r="C235" s="93"/>
      <c r="D235" s="93"/>
      <c r="E235" s="93"/>
      <c r="F235" s="25"/>
      <c r="G235" s="94"/>
      <c r="H235" s="93"/>
      <c r="I235" s="93"/>
      <c r="J235" s="93"/>
      <c r="K235" s="93"/>
      <c r="L235" s="93"/>
      <c r="M235" s="93"/>
      <c r="N235" s="93"/>
      <c r="O235" s="93"/>
      <c r="P235" s="93"/>
      <c r="Q235" s="93"/>
      <c r="R235" s="54">
        <v>83</v>
      </c>
      <c r="S235" s="94">
        <f t="shared" si="1"/>
        <v>1.0865296504778112E-2</v>
      </c>
      <c r="T235" s="53">
        <v>18029</v>
      </c>
      <c r="U235" s="132">
        <f t="shared" si="2"/>
        <v>1.7537767142342973E-2</v>
      </c>
      <c r="V235" s="79"/>
      <c r="W235" s="88"/>
      <c r="X235" s="5"/>
      <c r="Y235" s="109"/>
    </row>
    <row r="236" spans="1:25" ht="15.6" x14ac:dyDescent="0.3">
      <c r="A236" s="24"/>
      <c r="B236" s="54" t="s">
        <v>92</v>
      </c>
      <c r="C236" s="93"/>
      <c r="D236" s="93"/>
      <c r="E236" s="93"/>
      <c r="F236" s="25"/>
      <c r="G236" s="94"/>
      <c r="H236" s="93"/>
      <c r="I236" s="93"/>
      <c r="J236" s="93"/>
      <c r="K236" s="93"/>
      <c r="L236" s="93"/>
      <c r="M236" s="93"/>
      <c r="N236" s="93"/>
      <c r="O236" s="93"/>
      <c r="P236" s="93"/>
      <c r="Q236" s="93"/>
      <c r="R236" s="54">
        <v>41</v>
      </c>
      <c r="S236" s="94">
        <f t="shared" si="1"/>
        <v>5.367194658986778E-3</v>
      </c>
      <c r="T236" s="53">
        <v>6762</v>
      </c>
      <c r="U236" s="132">
        <f t="shared" si="2"/>
        <v>6.5777570257098666E-3</v>
      </c>
      <c r="V236" s="79"/>
      <c r="W236" s="88"/>
      <c r="X236" s="5"/>
    </row>
    <row r="237" spans="1:25" ht="15.6" x14ac:dyDescent="0.3">
      <c r="A237" s="24"/>
      <c r="B237" s="54" t="s">
        <v>161</v>
      </c>
      <c r="C237" s="93"/>
      <c r="D237" s="93"/>
      <c r="E237" s="93"/>
      <c r="F237" s="25"/>
      <c r="G237" s="94"/>
      <c r="H237" s="93"/>
      <c r="I237" s="93"/>
      <c r="J237" s="93"/>
      <c r="K237" s="93"/>
      <c r="L237" s="93"/>
      <c r="M237" s="93"/>
      <c r="N237" s="93"/>
      <c r="O237" s="93"/>
      <c r="P237" s="93"/>
      <c r="Q237" s="93"/>
      <c r="R237" s="54">
        <v>11</v>
      </c>
      <c r="S237" s="94">
        <f t="shared" si="1"/>
        <v>1.4399790548501113E-3</v>
      </c>
      <c r="T237" s="53">
        <v>1234</v>
      </c>
      <c r="U237" s="132">
        <f t="shared" si="2"/>
        <v>1.2003774282351339E-3</v>
      </c>
      <c r="V237" s="79"/>
      <c r="W237" s="88"/>
      <c r="X237" s="5"/>
      <c r="Y237" s="109"/>
    </row>
    <row r="238" spans="1:25" ht="15.6" x14ac:dyDescent="0.3">
      <c r="A238" s="24"/>
      <c r="B238" s="54" t="s">
        <v>162</v>
      </c>
      <c r="C238" s="93"/>
      <c r="D238" s="93"/>
      <c r="E238" s="93"/>
      <c r="F238" s="25"/>
      <c r="G238" s="94"/>
      <c r="H238" s="93"/>
      <c r="I238" s="93"/>
      <c r="J238" s="93"/>
      <c r="K238" s="93"/>
      <c r="L238" s="93"/>
      <c r="M238" s="93"/>
      <c r="N238" s="93"/>
      <c r="O238" s="93"/>
      <c r="P238" s="93"/>
      <c r="Q238" s="93"/>
      <c r="R238" s="54">
        <v>3</v>
      </c>
      <c r="S238" s="94">
        <f t="shared" si="1"/>
        <v>3.9272156041366671E-4</v>
      </c>
      <c r="T238" s="53">
        <v>443</v>
      </c>
      <c r="U238" s="132">
        <f t="shared" si="2"/>
        <v>4.3092966021731304E-4</v>
      </c>
      <c r="V238" s="79"/>
      <c r="W238" s="88"/>
      <c r="X238" s="5"/>
    </row>
    <row r="239" spans="1:25" ht="15.6" x14ac:dyDescent="0.3">
      <c r="A239" s="24"/>
      <c r="B239" s="54" t="s">
        <v>163</v>
      </c>
      <c r="C239" s="93"/>
      <c r="D239" s="93"/>
      <c r="E239" s="93"/>
      <c r="F239" s="25"/>
      <c r="G239" s="94"/>
      <c r="H239" s="93"/>
      <c r="I239" s="93"/>
      <c r="J239" s="93"/>
      <c r="K239" s="93"/>
      <c r="L239" s="93"/>
      <c r="M239" s="93"/>
      <c r="N239" s="93"/>
      <c r="O239" s="93"/>
      <c r="P239" s="93"/>
      <c r="Q239" s="93"/>
      <c r="R239" s="54">
        <v>4</v>
      </c>
      <c r="S239" s="94">
        <f t="shared" si="1"/>
        <v>5.2362874721822224E-4</v>
      </c>
      <c r="T239" s="53">
        <v>830</v>
      </c>
      <c r="U239" s="132">
        <f t="shared" si="2"/>
        <v>8.0738514216787771E-4</v>
      </c>
      <c r="V239" s="79"/>
      <c r="W239" s="88"/>
      <c r="X239" s="5"/>
      <c r="Y239" s="109"/>
    </row>
    <row r="240" spans="1:25" ht="15.6" x14ac:dyDescent="0.3">
      <c r="A240" s="24"/>
      <c r="B240" s="54" t="s">
        <v>164</v>
      </c>
      <c r="C240" s="93"/>
      <c r="D240" s="93"/>
      <c r="E240" s="93"/>
      <c r="F240" s="25"/>
      <c r="G240" s="94"/>
      <c r="H240" s="93"/>
      <c r="I240" s="93"/>
      <c r="J240" s="93"/>
      <c r="K240" s="93"/>
      <c r="L240" s="93"/>
      <c r="M240" s="93"/>
      <c r="N240" s="93"/>
      <c r="O240" s="93"/>
      <c r="P240" s="93"/>
      <c r="Q240" s="93"/>
      <c r="R240" s="54">
        <v>3</v>
      </c>
      <c r="S240" s="94">
        <f t="shared" si="1"/>
        <v>3.9272156041366671E-4</v>
      </c>
      <c r="T240" s="53">
        <v>948</v>
      </c>
      <c r="U240" s="132">
        <f t="shared" si="2"/>
        <v>9.2217001780138324E-4</v>
      </c>
      <c r="V240" s="79"/>
      <c r="W240" s="88"/>
      <c r="X240" s="5"/>
    </row>
    <row r="241" spans="1:25" ht="15.6" x14ac:dyDescent="0.3">
      <c r="A241" s="24"/>
      <c r="B241" s="54" t="s">
        <v>165</v>
      </c>
      <c r="C241" s="93"/>
      <c r="D241" s="93"/>
      <c r="E241" s="93"/>
      <c r="F241" s="25"/>
      <c r="G241" s="94"/>
      <c r="H241" s="93"/>
      <c r="I241" s="93"/>
      <c r="J241" s="93"/>
      <c r="K241" s="93"/>
      <c r="L241" s="93"/>
      <c r="M241" s="93"/>
      <c r="N241" s="93"/>
      <c r="O241" s="93"/>
      <c r="P241" s="93"/>
      <c r="Q241" s="93"/>
      <c r="R241" s="54">
        <v>1</v>
      </c>
      <c r="S241" s="94">
        <f t="shared" si="1"/>
        <v>1.3090718680455556E-4</v>
      </c>
      <c r="T241" s="53">
        <v>787</v>
      </c>
      <c r="U241" s="132">
        <f t="shared" si="2"/>
        <v>7.6555675528448169E-4</v>
      </c>
      <c r="V241" s="79"/>
      <c r="W241" s="88"/>
      <c r="X241" s="5"/>
      <c r="Y241" s="109"/>
    </row>
    <row r="242" spans="1:25" ht="15.6" x14ac:dyDescent="0.3">
      <c r="A242" s="24"/>
      <c r="B242" s="54"/>
      <c r="C242" s="93"/>
      <c r="D242" s="93"/>
      <c r="E242" s="93"/>
      <c r="F242" s="25"/>
      <c r="G242" s="94"/>
      <c r="H242" s="93"/>
      <c r="I242" s="93"/>
      <c r="J242" s="93"/>
      <c r="K242" s="93"/>
      <c r="L242" s="93"/>
      <c r="M242" s="93"/>
      <c r="N242" s="93"/>
      <c r="O242" s="93"/>
      <c r="P242" s="93"/>
      <c r="Q242" s="93"/>
      <c r="R242" s="54"/>
      <c r="S242" s="94"/>
      <c r="T242" s="53"/>
      <c r="U242" s="132"/>
      <c r="V242" s="79"/>
      <c r="W242" s="88"/>
      <c r="X242" s="5"/>
    </row>
    <row r="243" spans="1:25" ht="15.6" x14ac:dyDescent="0.3">
      <c r="A243" s="24"/>
      <c r="B243" s="25" t="s">
        <v>119</v>
      </c>
      <c r="C243" s="25"/>
      <c r="D243" s="25"/>
      <c r="E243" s="25"/>
      <c r="F243" s="25"/>
      <c r="G243" s="25"/>
      <c r="H243" s="95"/>
      <c r="I243" s="95"/>
      <c r="J243" s="95"/>
      <c r="K243" s="95"/>
      <c r="L243" s="95"/>
      <c r="M243" s="95"/>
      <c r="N243" s="95"/>
      <c r="O243" s="95"/>
      <c r="P243" s="95"/>
      <c r="Q243" s="95"/>
      <c r="R243" s="34">
        <f>SUM(R234:R242)</f>
        <v>7639</v>
      </c>
      <c r="S243" s="132">
        <f>SUM(S234:S242)</f>
        <v>1.0000000000000002</v>
      </c>
      <c r="T243" s="53">
        <f>SUM(T234:T242)</f>
        <v>1028010</v>
      </c>
      <c r="U243" s="132">
        <f>SUM(U234:U242)</f>
        <v>0.99999999999999989</v>
      </c>
      <c r="V243" s="25"/>
      <c r="W243" s="25"/>
      <c r="X243" s="5"/>
    </row>
    <row r="244" spans="1:25" ht="15.6" x14ac:dyDescent="0.3">
      <c r="A244" s="24"/>
      <c r="B244" s="25"/>
      <c r="C244" s="25"/>
      <c r="D244" s="25"/>
      <c r="E244" s="25"/>
      <c r="F244" s="25"/>
      <c r="G244" s="25"/>
      <c r="H244" s="95"/>
      <c r="I244" s="95"/>
      <c r="J244" s="95"/>
      <c r="K244" s="95"/>
      <c r="L244" s="95"/>
      <c r="M244" s="95"/>
      <c r="N244" s="95"/>
      <c r="O244" s="95"/>
      <c r="P244" s="95"/>
      <c r="Q244" s="95"/>
      <c r="R244" s="34"/>
      <c r="S244" s="132"/>
      <c r="T244" s="53"/>
      <c r="U244" s="132"/>
      <c r="V244" s="25"/>
      <c r="W244" s="25"/>
      <c r="X244" s="5"/>
    </row>
    <row r="245" spans="1:25" ht="15.6" x14ac:dyDescent="0.3">
      <c r="A245" s="141"/>
      <c r="B245" s="14" t="s">
        <v>283</v>
      </c>
      <c r="C245" s="81"/>
      <c r="D245" s="81"/>
      <c r="E245" s="81"/>
      <c r="F245" s="82"/>
      <c r="G245" s="81"/>
      <c r="H245" s="17"/>
      <c r="I245" s="17"/>
      <c r="J245" s="17"/>
      <c r="K245" s="17"/>
      <c r="L245" s="17"/>
      <c r="M245" s="17"/>
      <c r="N245" s="17"/>
      <c r="O245" s="17"/>
      <c r="P245" s="17"/>
      <c r="Q245" s="17"/>
      <c r="R245" s="83" t="s">
        <v>104</v>
      </c>
      <c r="S245" s="17" t="s">
        <v>105</v>
      </c>
      <c r="T245" s="83" t="s">
        <v>113</v>
      </c>
      <c r="U245" s="17" t="s">
        <v>105</v>
      </c>
      <c r="V245" s="139"/>
      <c r="W245" s="140"/>
      <c r="X245" s="5"/>
    </row>
    <row r="246" spans="1:25" ht="15.6" x14ac:dyDescent="0.3">
      <c r="A246" s="24"/>
      <c r="B246" s="54" t="s">
        <v>90</v>
      </c>
      <c r="C246" s="93"/>
      <c r="D246" s="93"/>
      <c r="E246" s="93"/>
      <c r="F246" s="25"/>
      <c r="G246" s="93"/>
      <c r="H246" s="93"/>
      <c r="I246" s="93"/>
      <c r="J246" s="93"/>
      <c r="K246" s="93"/>
      <c r="L246" s="93"/>
      <c r="M246" s="93"/>
      <c r="N246" s="93"/>
      <c r="O246" s="93"/>
      <c r="P246" s="93"/>
      <c r="Q246" s="93"/>
      <c r="R246" s="54">
        <v>13</v>
      </c>
      <c r="S246" s="94">
        <f t="shared" ref="S246:S253" si="3">R246/$R$255</f>
        <v>6.8062827225130892E-2</v>
      </c>
      <c r="T246" s="53">
        <v>2139</v>
      </c>
      <c r="U246" s="132">
        <f t="shared" ref="U246:U253" si="4">T246/$T$255</f>
        <v>6.7059598081324265E-2</v>
      </c>
      <c r="V246" s="25"/>
      <c r="W246" s="25"/>
      <c r="X246" s="5"/>
    </row>
    <row r="247" spans="1:25" ht="15.6" x14ac:dyDescent="0.3">
      <c r="A247" s="24"/>
      <c r="B247" s="54" t="s">
        <v>91</v>
      </c>
      <c r="C247" s="93"/>
      <c r="D247" s="93"/>
      <c r="E247" s="93"/>
      <c r="F247" s="25"/>
      <c r="G247" s="94"/>
      <c r="H247" s="93"/>
      <c r="I247" s="93"/>
      <c r="J247" s="93"/>
      <c r="K247" s="93"/>
      <c r="L247" s="93"/>
      <c r="M247" s="93"/>
      <c r="N247" s="93"/>
      <c r="O247" s="93"/>
      <c r="P247" s="93"/>
      <c r="Q247" s="93"/>
      <c r="R247" s="54">
        <v>79</v>
      </c>
      <c r="S247" s="94">
        <f t="shared" si="3"/>
        <v>0.41361256544502617</v>
      </c>
      <c r="T247" s="53">
        <v>13250</v>
      </c>
      <c r="U247" s="132">
        <f t="shared" si="4"/>
        <v>0.41539956735743172</v>
      </c>
      <c r="V247" s="25"/>
      <c r="W247" s="25"/>
      <c r="X247" s="5"/>
    </row>
    <row r="248" spans="1:25" ht="15.6" x14ac:dyDescent="0.3">
      <c r="A248" s="24"/>
      <c r="B248" s="54" t="s">
        <v>92</v>
      </c>
      <c r="C248" s="93"/>
      <c r="D248" s="93"/>
      <c r="E248" s="93"/>
      <c r="F248" s="25"/>
      <c r="G248" s="94"/>
      <c r="H248" s="93"/>
      <c r="I248" s="93"/>
      <c r="J248" s="93"/>
      <c r="K248" s="93"/>
      <c r="L248" s="93"/>
      <c r="M248" s="93"/>
      <c r="N248" s="93"/>
      <c r="O248" s="93"/>
      <c r="P248" s="93"/>
      <c r="Q248" s="93"/>
      <c r="R248" s="54">
        <v>10</v>
      </c>
      <c r="S248" s="94">
        <f t="shared" si="3"/>
        <v>5.2356020942408377E-2</v>
      </c>
      <c r="T248" s="53">
        <v>1849</v>
      </c>
      <c r="U248" s="132">
        <f t="shared" si="4"/>
        <v>5.7967833965576698E-2</v>
      </c>
      <c r="V248" s="25"/>
      <c r="W248" s="25"/>
      <c r="X248" s="5"/>
    </row>
    <row r="249" spans="1:25" ht="15.6" x14ac:dyDescent="0.3">
      <c r="A249" s="24"/>
      <c r="B249" s="54" t="s">
        <v>161</v>
      </c>
      <c r="C249" s="93"/>
      <c r="D249" s="93"/>
      <c r="E249" s="93"/>
      <c r="F249" s="25"/>
      <c r="G249" s="94"/>
      <c r="H249" s="93"/>
      <c r="I249" s="93"/>
      <c r="J249" s="93"/>
      <c r="K249" s="93"/>
      <c r="L249" s="93"/>
      <c r="M249" s="93"/>
      <c r="N249" s="93"/>
      <c r="O249" s="93"/>
      <c r="P249" s="93"/>
      <c r="Q249" s="93"/>
      <c r="R249" s="54">
        <v>6</v>
      </c>
      <c r="S249" s="94">
        <f t="shared" si="3"/>
        <v>3.1413612565445025E-2</v>
      </c>
      <c r="T249" s="53">
        <v>608</v>
      </c>
      <c r="U249" s="132">
        <f t="shared" si="4"/>
        <v>1.9061353732325925E-2</v>
      </c>
      <c r="V249" s="25"/>
      <c r="W249" s="25"/>
      <c r="X249" s="5"/>
    </row>
    <row r="250" spans="1:25" ht="15.6" x14ac:dyDescent="0.3">
      <c r="A250" s="24"/>
      <c r="B250" s="54" t="s">
        <v>162</v>
      </c>
      <c r="C250" s="93"/>
      <c r="D250" s="93"/>
      <c r="E250" s="93"/>
      <c r="F250" s="25"/>
      <c r="G250" s="94"/>
      <c r="H250" s="93"/>
      <c r="I250" s="93"/>
      <c r="J250" s="93"/>
      <c r="K250" s="93"/>
      <c r="L250" s="93"/>
      <c r="M250" s="93"/>
      <c r="N250" s="93"/>
      <c r="O250" s="93"/>
      <c r="P250" s="93"/>
      <c r="Q250" s="93"/>
      <c r="R250" s="54">
        <v>2</v>
      </c>
      <c r="S250" s="94">
        <f t="shared" si="3"/>
        <v>1.0471204188481676E-2</v>
      </c>
      <c r="T250" s="53">
        <v>231</v>
      </c>
      <c r="U250" s="132">
        <f t="shared" si="4"/>
        <v>7.2420603818540924E-3</v>
      </c>
      <c r="V250" s="25"/>
      <c r="W250" s="25"/>
      <c r="X250" s="5"/>
    </row>
    <row r="251" spans="1:25" ht="15.6" x14ac:dyDescent="0.3">
      <c r="A251" s="24"/>
      <c r="B251" s="54" t="s">
        <v>163</v>
      </c>
      <c r="C251" s="93"/>
      <c r="D251" s="93"/>
      <c r="E251" s="93"/>
      <c r="F251" s="25"/>
      <c r="G251" s="94"/>
      <c r="H251" s="93"/>
      <c r="I251" s="93"/>
      <c r="J251" s="93"/>
      <c r="K251" s="93"/>
      <c r="L251" s="93"/>
      <c r="M251" s="93"/>
      <c r="N251" s="93"/>
      <c r="O251" s="93"/>
      <c r="P251" s="93"/>
      <c r="Q251" s="93"/>
      <c r="R251" s="54">
        <v>7</v>
      </c>
      <c r="S251" s="94">
        <f t="shared" si="3"/>
        <v>3.6649214659685861E-2</v>
      </c>
      <c r="T251" s="53">
        <v>1306</v>
      </c>
      <c r="U251" s="132">
        <f t="shared" si="4"/>
        <v>4.0944289431607987E-2</v>
      </c>
      <c r="V251" s="25"/>
      <c r="W251" s="25"/>
      <c r="X251" s="5"/>
    </row>
    <row r="252" spans="1:25" ht="15.6" x14ac:dyDescent="0.3">
      <c r="A252" s="24"/>
      <c r="B252" s="54" t="s">
        <v>164</v>
      </c>
      <c r="C252" s="93"/>
      <c r="D252" s="93"/>
      <c r="E252" s="93"/>
      <c r="F252" s="25"/>
      <c r="G252" s="94"/>
      <c r="H252" s="93"/>
      <c r="I252" s="93"/>
      <c r="J252" s="93"/>
      <c r="K252" s="93"/>
      <c r="L252" s="93"/>
      <c r="M252" s="93"/>
      <c r="N252" s="93"/>
      <c r="O252" s="93"/>
      <c r="P252" s="93"/>
      <c r="Q252" s="93"/>
      <c r="R252" s="54">
        <v>28</v>
      </c>
      <c r="S252" s="94">
        <f t="shared" si="3"/>
        <v>0.14659685863874344</v>
      </c>
      <c r="T252" s="53">
        <v>5668</v>
      </c>
      <c r="U252" s="132">
        <f t="shared" si="4"/>
        <v>0.1776969620967489</v>
      </c>
      <c r="V252" s="25"/>
      <c r="W252" s="25"/>
      <c r="X252" s="5"/>
    </row>
    <row r="253" spans="1:25" ht="15.6" x14ac:dyDescent="0.3">
      <c r="A253" s="24"/>
      <c r="B253" s="54" t="s">
        <v>165</v>
      </c>
      <c r="C253" s="93"/>
      <c r="D253" s="93"/>
      <c r="E253" s="93"/>
      <c r="F253" s="25"/>
      <c r="G253" s="94"/>
      <c r="H253" s="93"/>
      <c r="I253" s="93"/>
      <c r="J253" s="93"/>
      <c r="K253" s="93"/>
      <c r="L253" s="93"/>
      <c r="M253" s="93"/>
      <c r="N253" s="93"/>
      <c r="O253" s="93"/>
      <c r="P253" s="93"/>
      <c r="Q253" s="93"/>
      <c r="R253" s="54">
        <v>46</v>
      </c>
      <c r="S253" s="94">
        <f t="shared" si="3"/>
        <v>0.24083769633507854</v>
      </c>
      <c r="T253" s="53">
        <v>6846</v>
      </c>
      <c r="U253" s="132">
        <f t="shared" si="4"/>
        <v>0.21462833495313038</v>
      </c>
      <c r="V253" s="25"/>
      <c r="W253" s="25"/>
      <c r="X253" s="5"/>
    </row>
    <row r="254" spans="1:25" ht="15.6" x14ac:dyDescent="0.3">
      <c r="A254" s="24"/>
      <c r="B254" s="54"/>
      <c r="C254" s="93"/>
      <c r="D254" s="93"/>
      <c r="E254" s="93"/>
      <c r="F254" s="25"/>
      <c r="G254" s="94"/>
      <c r="H254" s="93"/>
      <c r="I254" s="93"/>
      <c r="J254" s="93"/>
      <c r="K254" s="93"/>
      <c r="L254" s="93"/>
      <c r="M254" s="93"/>
      <c r="N254" s="93"/>
      <c r="O254" s="93"/>
      <c r="P254" s="93"/>
      <c r="Q254" s="93"/>
      <c r="R254" s="54"/>
      <c r="S254" s="94"/>
      <c r="T254" s="53"/>
      <c r="U254" s="132"/>
      <c r="V254" s="25"/>
      <c r="W254" s="25"/>
      <c r="X254" s="5"/>
    </row>
    <row r="255" spans="1:25" ht="15.6" x14ac:dyDescent="0.3">
      <c r="A255" s="24"/>
      <c r="B255" s="25" t="s">
        <v>119</v>
      </c>
      <c r="C255" s="25"/>
      <c r="D255" s="25"/>
      <c r="E255" s="25"/>
      <c r="F255" s="25"/>
      <c r="G255" s="25"/>
      <c r="H255" s="95"/>
      <c r="I255" s="95"/>
      <c r="J255" s="95"/>
      <c r="K255" s="95"/>
      <c r="L255" s="95"/>
      <c r="M255" s="95"/>
      <c r="N255" s="95"/>
      <c r="O255" s="95"/>
      <c r="P255" s="95"/>
      <c r="Q255" s="95"/>
      <c r="R255" s="34">
        <f>SUM(R246:R254)</f>
        <v>191</v>
      </c>
      <c r="S255" s="132">
        <f>SUM(S246:S254)</f>
        <v>1</v>
      </c>
      <c r="T255" s="53">
        <f>SUM(T246:T254)</f>
        <v>31897</v>
      </c>
      <c r="U255" s="132">
        <f>SUM(U246:U254)</f>
        <v>0.99999999999999989</v>
      </c>
      <c r="V255" s="25"/>
      <c r="W255" s="25"/>
      <c r="X255" s="5"/>
    </row>
    <row r="256" spans="1:25" ht="15.6" x14ac:dyDescent="0.3">
      <c r="A256" s="24"/>
      <c r="B256" s="25"/>
      <c r="C256" s="25"/>
      <c r="D256" s="25"/>
      <c r="E256" s="25"/>
      <c r="F256" s="25"/>
      <c r="G256" s="25"/>
      <c r="H256" s="95"/>
      <c r="I256" s="95"/>
      <c r="J256" s="95"/>
      <c r="K256" s="95"/>
      <c r="L256" s="95"/>
      <c r="M256" s="95"/>
      <c r="N256" s="95"/>
      <c r="O256" s="95"/>
      <c r="P256" s="95"/>
      <c r="Q256" s="95"/>
      <c r="R256" s="34"/>
      <c r="S256" s="132"/>
      <c r="T256" s="53"/>
      <c r="U256" s="132"/>
      <c r="V256" s="25"/>
      <c r="W256" s="25"/>
      <c r="X256" s="5"/>
    </row>
    <row r="257" spans="1:24" ht="15.6" x14ac:dyDescent="0.3">
      <c r="A257" s="141"/>
      <c r="B257" s="14" t="s">
        <v>169</v>
      </c>
      <c r="C257" s="139"/>
      <c r="D257" s="139"/>
      <c r="E257" s="139"/>
      <c r="F257" s="139"/>
      <c r="G257" s="139"/>
      <c r="H257" s="145"/>
      <c r="I257" s="145"/>
      <c r="J257" s="145"/>
      <c r="K257" s="145"/>
      <c r="L257" s="145"/>
      <c r="M257" s="145"/>
      <c r="N257" s="145"/>
      <c r="O257" s="145"/>
      <c r="P257" s="145"/>
      <c r="Q257" s="145"/>
      <c r="R257" s="83" t="s">
        <v>104</v>
      </c>
      <c r="S257" s="17" t="s">
        <v>105</v>
      </c>
      <c r="T257" s="83" t="s">
        <v>113</v>
      </c>
      <c r="U257" s="17" t="s">
        <v>105</v>
      </c>
      <c r="V257" s="139"/>
      <c r="W257" s="140"/>
      <c r="X257" s="5"/>
    </row>
    <row r="258" spans="1:24" ht="15.6" x14ac:dyDescent="0.3">
      <c r="A258" s="24"/>
      <c r="B258" s="54" t="s">
        <v>90</v>
      </c>
      <c r="C258" s="25"/>
      <c r="D258" s="25"/>
      <c r="E258" s="25"/>
      <c r="F258" s="25"/>
      <c r="G258" s="25"/>
      <c r="H258" s="95"/>
      <c r="I258" s="95"/>
      <c r="J258" s="95"/>
      <c r="K258" s="95"/>
      <c r="L258" s="95"/>
      <c r="M258" s="95"/>
      <c r="N258" s="95"/>
      <c r="O258" s="95"/>
      <c r="P258" s="95"/>
      <c r="Q258" s="95"/>
      <c r="R258" s="54">
        <v>0</v>
      </c>
      <c r="S258" s="94">
        <v>0</v>
      </c>
      <c r="T258" s="53">
        <v>0</v>
      </c>
      <c r="U258" s="94">
        <v>0</v>
      </c>
      <c r="V258" s="25"/>
      <c r="W258" s="25"/>
      <c r="X258" s="5"/>
    </row>
    <row r="259" spans="1:24" ht="15.6" x14ac:dyDescent="0.3">
      <c r="A259" s="24"/>
      <c r="B259" s="54" t="s">
        <v>91</v>
      </c>
      <c r="C259" s="25"/>
      <c r="D259" s="25"/>
      <c r="E259" s="25"/>
      <c r="F259" s="25"/>
      <c r="G259" s="25"/>
      <c r="H259" s="95"/>
      <c r="I259" s="95"/>
      <c r="J259" s="95"/>
      <c r="K259" s="95"/>
      <c r="L259" s="95"/>
      <c r="M259" s="95"/>
      <c r="N259" s="95"/>
      <c r="O259" s="95"/>
      <c r="P259" s="95"/>
      <c r="Q259" s="95"/>
      <c r="R259" s="54">
        <v>0</v>
      </c>
      <c r="S259" s="94">
        <v>0</v>
      </c>
      <c r="T259" s="53">
        <v>0</v>
      </c>
      <c r="U259" s="94">
        <v>0</v>
      </c>
      <c r="V259" s="25"/>
      <c r="W259" s="25"/>
      <c r="X259" s="5"/>
    </row>
    <row r="260" spans="1:24" ht="15.6" x14ac:dyDescent="0.3">
      <c r="A260" s="24"/>
      <c r="B260" s="54" t="s">
        <v>92</v>
      </c>
      <c r="C260" s="25"/>
      <c r="D260" s="25"/>
      <c r="E260" s="25"/>
      <c r="F260" s="25"/>
      <c r="G260" s="25"/>
      <c r="H260" s="95"/>
      <c r="I260" s="95"/>
      <c r="J260" s="95"/>
      <c r="K260" s="95"/>
      <c r="L260" s="95"/>
      <c r="M260" s="95"/>
      <c r="N260" s="95"/>
      <c r="O260" s="95"/>
      <c r="P260" s="95"/>
      <c r="Q260" s="95"/>
      <c r="R260" s="54">
        <v>0</v>
      </c>
      <c r="S260" s="94">
        <v>0</v>
      </c>
      <c r="T260" s="53">
        <v>0</v>
      </c>
      <c r="U260" s="94">
        <v>0</v>
      </c>
      <c r="V260" s="25"/>
      <c r="W260" s="25"/>
      <c r="X260" s="5"/>
    </row>
    <row r="261" spans="1:24" ht="15.6" x14ac:dyDescent="0.3">
      <c r="A261" s="24"/>
      <c r="B261" s="54" t="s">
        <v>161</v>
      </c>
      <c r="C261" s="25"/>
      <c r="D261" s="25"/>
      <c r="E261" s="25"/>
      <c r="F261" s="25"/>
      <c r="G261" s="25"/>
      <c r="H261" s="95"/>
      <c r="I261" s="95"/>
      <c r="J261" s="95"/>
      <c r="K261" s="95"/>
      <c r="L261" s="95"/>
      <c r="M261" s="95"/>
      <c r="N261" s="95"/>
      <c r="O261" s="95"/>
      <c r="P261" s="95"/>
      <c r="Q261" s="95"/>
      <c r="R261" s="54">
        <v>0</v>
      </c>
      <c r="S261" s="94">
        <v>0</v>
      </c>
      <c r="T261" s="53">
        <v>0</v>
      </c>
      <c r="U261" s="94">
        <v>0</v>
      </c>
      <c r="V261" s="25"/>
      <c r="W261" s="25"/>
      <c r="X261" s="5"/>
    </row>
    <row r="262" spans="1:24" ht="15.6" x14ac:dyDescent="0.3">
      <c r="A262" s="24"/>
      <c r="B262" s="54" t="s">
        <v>162</v>
      </c>
      <c r="C262" s="25"/>
      <c r="D262" s="25"/>
      <c r="E262" s="25"/>
      <c r="F262" s="25"/>
      <c r="G262" s="25"/>
      <c r="H262" s="95"/>
      <c r="I262" s="95"/>
      <c r="J262" s="95"/>
      <c r="K262" s="95"/>
      <c r="L262" s="95"/>
      <c r="M262" s="95"/>
      <c r="N262" s="95"/>
      <c r="O262" s="95"/>
      <c r="P262" s="95"/>
      <c r="Q262" s="95"/>
      <c r="R262" s="54">
        <v>0</v>
      </c>
      <c r="S262" s="94">
        <v>0</v>
      </c>
      <c r="T262" s="53">
        <v>0</v>
      </c>
      <c r="U262" s="94">
        <v>0</v>
      </c>
      <c r="V262" s="25"/>
      <c r="W262" s="25"/>
      <c r="X262" s="5"/>
    </row>
    <row r="263" spans="1:24" ht="15.6" x14ac:dyDescent="0.3">
      <c r="A263" s="24"/>
      <c r="B263" s="54" t="s">
        <v>163</v>
      </c>
      <c r="C263" s="25"/>
      <c r="D263" s="25"/>
      <c r="E263" s="25"/>
      <c r="F263" s="25"/>
      <c r="G263" s="25"/>
      <c r="H263" s="95"/>
      <c r="I263" s="95"/>
      <c r="J263" s="95"/>
      <c r="K263" s="95"/>
      <c r="L263" s="95"/>
      <c r="M263" s="95"/>
      <c r="N263" s="95"/>
      <c r="O263" s="95"/>
      <c r="P263" s="95"/>
      <c r="Q263" s="95"/>
      <c r="R263" s="54">
        <v>0</v>
      </c>
      <c r="S263" s="94">
        <v>0</v>
      </c>
      <c r="T263" s="53">
        <v>0</v>
      </c>
      <c r="U263" s="94">
        <v>0</v>
      </c>
      <c r="V263" s="25"/>
      <c r="W263" s="25"/>
      <c r="X263" s="5"/>
    </row>
    <row r="264" spans="1:24" ht="15.6" x14ac:dyDescent="0.3">
      <c r="A264" s="24"/>
      <c r="B264" s="54" t="s">
        <v>164</v>
      </c>
      <c r="C264" s="25"/>
      <c r="D264" s="25"/>
      <c r="E264" s="25"/>
      <c r="F264" s="25"/>
      <c r="G264" s="25"/>
      <c r="H264" s="95"/>
      <c r="I264" s="95"/>
      <c r="J264" s="95"/>
      <c r="K264" s="95"/>
      <c r="L264" s="95"/>
      <c r="M264" s="95"/>
      <c r="N264" s="95"/>
      <c r="O264" s="95"/>
      <c r="P264" s="95"/>
      <c r="Q264" s="95"/>
      <c r="R264" s="54">
        <v>0</v>
      </c>
      <c r="S264" s="94">
        <v>0</v>
      </c>
      <c r="T264" s="53">
        <v>0</v>
      </c>
      <c r="U264" s="94">
        <v>0</v>
      </c>
      <c r="V264" s="25"/>
      <c r="W264" s="25"/>
      <c r="X264" s="5"/>
    </row>
    <row r="265" spans="1:24" ht="15.6" x14ac:dyDescent="0.3">
      <c r="A265" s="24"/>
      <c r="B265" s="54" t="s">
        <v>165</v>
      </c>
      <c r="C265" s="25"/>
      <c r="D265" s="25"/>
      <c r="E265" s="25"/>
      <c r="F265" s="25"/>
      <c r="G265" s="25"/>
      <c r="H265" s="95"/>
      <c r="I265" s="95"/>
      <c r="J265" s="95"/>
      <c r="K265" s="95"/>
      <c r="L265" s="95"/>
      <c r="M265" s="95"/>
      <c r="N265" s="95"/>
      <c r="O265" s="95"/>
      <c r="P265" s="95"/>
      <c r="Q265" s="95"/>
      <c r="R265" s="54">
        <v>0</v>
      </c>
      <c r="S265" s="94">
        <v>0</v>
      </c>
      <c r="T265" s="53">
        <v>0</v>
      </c>
      <c r="U265" s="94">
        <v>0</v>
      </c>
      <c r="V265" s="25"/>
      <c r="W265" s="25"/>
      <c r="X265" s="5"/>
    </row>
    <row r="266" spans="1:24" ht="15.6" x14ac:dyDescent="0.3">
      <c r="A266" s="24"/>
      <c r="B266" s="54"/>
      <c r="C266" s="25"/>
      <c r="D266" s="25"/>
      <c r="E266" s="25"/>
      <c r="F266" s="25"/>
      <c r="G266" s="25"/>
      <c r="H266" s="95"/>
      <c r="I266" s="95"/>
      <c r="J266" s="95"/>
      <c r="K266" s="95"/>
      <c r="L266" s="95"/>
      <c r="M266" s="95"/>
      <c r="N266" s="95"/>
      <c r="O266" s="95"/>
      <c r="P266" s="95"/>
      <c r="Q266" s="95"/>
      <c r="R266" s="54"/>
      <c r="S266" s="94"/>
      <c r="T266" s="53"/>
      <c r="U266" s="132"/>
      <c r="V266" s="25"/>
      <c r="W266" s="25"/>
      <c r="X266" s="5"/>
    </row>
    <row r="267" spans="1:24" ht="15.6" x14ac:dyDescent="0.3">
      <c r="A267" s="24"/>
      <c r="B267" s="25" t="s">
        <v>119</v>
      </c>
      <c r="C267" s="25"/>
      <c r="D267" s="25"/>
      <c r="E267" s="25"/>
      <c r="F267" s="25"/>
      <c r="G267" s="25"/>
      <c r="H267" s="95"/>
      <c r="I267" s="95"/>
      <c r="J267" s="95"/>
      <c r="K267" s="95"/>
      <c r="L267" s="95"/>
      <c r="M267" s="95"/>
      <c r="N267" s="95"/>
      <c r="O267" s="95"/>
      <c r="P267" s="95"/>
      <c r="Q267" s="95"/>
      <c r="R267" s="34">
        <f>SUM(R258:R265)</f>
        <v>0</v>
      </c>
      <c r="S267" s="132">
        <f>SUM(S258:S266)</f>
        <v>0</v>
      </c>
      <c r="T267" s="53">
        <f>SUM(T258:T265)</f>
        <v>0</v>
      </c>
      <c r="U267" s="132">
        <f>SUM(U258:U266)</f>
        <v>0</v>
      </c>
      <c r="V267" s="25"/>
      <c r="W267" s="25"/>
      <c r="X267" s="5"/>
    </row>
    <row r="268" spans="1:24" ht="15.6" x14ac:dyDescent="0.3">
      <c r="A268" s="24"/>
      <c r="B268" s="25"/>
      <c r="C268" s="25"/>
      <c r="D268" s="25"/>
      <c r="E268" s="25"/>
      <c r="F268" s="25"/>
      <c r="G268" s="25"/>
      <c r="H268" s="95"/>
      <c r="I268" s="95"/>
      <c r="J268" s="95"/>
      <c r="K268" s="95"/>
      <c r="L268" s="95"/>
      <c r="M268" s="95"/>
      <c r="N268" s="95"/>
      <c r="O268" s="95"/>
      <c r="P268" s="95"/>
      <c r="Q268" s="95"/>
      <c r="R268" s="34"/>
      <c r="S268" s="132"/>
      <c r="T268" s="53"/>
      <c r="U268" s="132"/>
      <c r="V268" s="25"/>
      <c r="W268" s="25"/>
      <c r="X268" s="5"/>
    </row>
    <row r="269" spans="1:24" ht="15.6" x14ac:dyDescent="0.3">
      <c r="A269" s="24"/>
      <c r="B269" s="142" t="s">
        <v>170</v>
      </c>
      <c r="C269" s="25"/>
      <c r="D269" s="25"/>
      <c r="E269" s="25"/>
      <c r="F269" s="25"/>
      <c r="G269" s="25"/>
      <c r="H269" s="95"/>
      <c r="I269" s="95"/>
      <c r="J269" s="95"/>
      <c r="K269" s="95"/>
      <c r="L269" s="95"/>
      <c r="M269" s="95"/>
      <c r="N269" s="95"/>
      <c r="O269" s="95"/>
      <c r="P269" s="95"/>
      <c r="Q269" s="95"/>
      <c r="R269" s="161">
        <f>R267+R255+R243</f>
        <v>7830</v>
      </c>
      <c r="S269" s="143"/>
      <c r="T269" s="144">
        <f>+T267+T255+T243</f>
        <v>1059907</v>
      </c>
      <c r="U269" s="143"/>
      <c r="V269" s="25"/>
      <c r="W269" s="25"/>
      <c r="X269" s="5"/>
    </row>
    <row r="270" spans="1:24" ht="15.6" x14ac:dyDescent="0.3">
      <c r="A270" s="24"/>
      <c r="B270" s="25"/>
      <c r="C270" s="25"/>
      <c r="D270" s="25"/>
      <c r="E270" s="25"/>
      <c r="F270" s="25"/>
      <c r="G270" s="25"/>
      <c r="H270" s="95"/>
      <c r="I270" s="95"/>
      <c r="J270" s="95"/>
      <c r="K270" s="95"/>
      <c r="L270" s="95"/>
      <c r="M270" s="95"/>
      <c r="N270" s="95"/>
      <c r="O270" s="95"/>
      <c r="P270" s="95"/>
      <c r="Q270" s="95"/>
      <c r="R270" s="95"/>
      <c r="S270" s="95"/>
      <c r="T270" s="53"/>
      <c r="U270" s="95"/>
      <c r="V270" s="25"/>
      <c r="W270" s="25"/>
      <c r="X270" s="5"/>
    </row>
    <row r="271" spans="1:24" ht="15.6" x14ac:dyDescent="0.3">
      <c r="A271" s="6"/>
      <c r="B271" s="8"/>
      <c r="C271" s="8"/>
      <c r="D271" s="8"/>
      <c r="E271" s="8"/>
      <c r="F271" s="8"/>
      <c r="G271" s="8"/>
      <c r="H271" s="96"/>
      <c r="I271" s="96"/>
      <c r="J271" s="96"/>
      <c r="K271" s="96"/>
      <c r="L271" s="96"/>
      <c r="M271" s="96"/>
      <c r="N271" s="96"/>
      <c r="O271" s="96"/>
      <c r="P271" s="96"/>
      <c r="Q271" s="96"/>
      <c r="R271" s="96"/>
      <c r="S271" s="96"/>
      <c r="T271" s="97"/>
      <c r="U271" s="96"/>
      <c r="V271" s="8"/>
      <c r="W271" s="8"/>
      <c r="X271" s="5"/>
    </row>
    <row r="272" spans="1:24" ht="15.6" x14ac:dyDescent="0.3">
      <c r="A272" s="167"/>
      <c r="B272" s="14" t="s">
        <v>93</v>
      </c>
      <c r="C272" s="15"/>
      <c r="D272" s="15"/>
      <c r="E272" s="15"/>
      <c r="F272" s="17" t="s">
        <v>99</v>
      </c>
      <c r="G272" s="15"/>
      <c r="H272" s="14" t="s">
        <v>101</v>
      </c>
      <c r="I272" s="162"/>
      <c r="J272" s="162"/>
      <c r="K272" s="162"/>
      <c r="L272" s="162"/>
      <c r="M272" s="162"/>
      <c r="N272" s="162"/>
      <c r="O272" s="162"/>
      <c r="P272" s="162"/>
      <c r="Q272" s="162"/>
      <c r="R272" s="162"/>
      <c r="S272" s="162"/>
      <c r="T272" s="162"/>
      <c r="U272" s="162"/>
      <c r="V272" s="162"/>
      <c r="W272" s="162"/>
      <c r="X272" s="5"/>
    </row>
    <row r="273" spans="1:24" ht="15.6" x14ac:dyDescent="0.3">
      <c r="A273" s="167"/>
      <c r="B273" s="162"/>
      <c r="C273" s="8"/>
      <c r="D273" s="8"/>
      <c r="E273" s="8"/>
      <c r="F273" s="8"/>
      <c r="G273" s="8"/>
      <c r="H273" s="8"/>
      <c r="I273" s="162"/>
      <c r="J273" s="162"/>
      <c r="K273" s="162"/>
      <c r="L273" s="162"/>
      <c r="M273" s="162"/>
      <c r="N273" s="162"/>
      <c r="O273" s="162"/>
      <c r="P273" s="162"/>
      <c r="Q273" s="162"/>
      <c r="R273" s="162"/>
      <c r="S273" s="162"/>
      <c r="T273" s="162"/>
      <c r="U273" s="162"/>
      <c r="V273" s="162"/>
      <c r="W273" s="162"/>
      <c r="X273" s="5"/>
    </row>
    <row r="274" spans="1:24" ht="15.6" x14ac:dyDescent="0.3">
      <c r="A274" s="167"/>
      <c r="B274" s="13" t="s">
        <v>94</v>
      </c>
      <c r="C274" s="13"/>
      <c r="D274" s="13"/>
      <c r="E274" s="13"/>
      <c r="F274" s="130" t="s">
        <v>153</v>
      </c>
      <c r="G274" s="13"/>
      <c r="H274" s="13" t="s">
        <v>157</v>
      </c>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277</v>
      </c>
      <c r="C275" s="13"/>
      <c r="D275" s="13"/>
      <c r="E275" s="13"/>
      <c r="F275" s="130" t="s">
        <v>278</v>
      </c>
      <c r="G275" s="13"/>
      <c r="H275" s="13" t="s">
        <v>279</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t="s">
        <v>95</v>
      </c>
      <c r="C276" s="13"/>
      <c r="D276" s="13"/>
      <c r="E276" s="13"/>
      <c r="F276" s="130" t="s">
        <v>152</v>
      </c>
      <c r="G276" s="13"/>
      <c r="H276" s="13" t="s">
        <v>158</v>
      </c>
      <c r="I276" s="162"/>
      <c r="J276" s="162"/>
      <c r="K276" s="162"/>
      <c r="L276" s="162"/>
      <c r="M276" s="162"/>
      <c r="N276" s="162"/>
      <c r="O276" s="162"/>
      <c r="P276" s="162"/>
      <c r="Q276" s="162"/>
      <c r="R276" s="162"/>
      <c r="S276" s="162"/>
      <c r="T276" s="162"/>
      <c r="U276" s="162"/>
      <c r="V276" s="162"/>
      <c r="W276" s="162"/>
      <c r="X276" s="5"/>
    </row>
    <row r="277" spans="1:24" ht="15.6" x14ac:dyDescent="0.3">
      <c r="A277" s="167"/>
      <c r="B277" s="13"/>
      <c r="C277" s="13"/>
      <c r="D277" s="13"/>
      <c r="E277" s="13"/>
      <c r="F277" s="13"/>
      <c r="G277" s="99"/>
      <c r="H277" s="162"/>
      <c r="I277" s="162"/>
      <c r="J277" s="162"/>
      <c r="K277" s="162"/>
      <c r="L277" s="162"/>
      <c r="M277" s="162"/>
      <c r="N277" s="162"/>
      <c r="O277" s="162"/>
      <c r="P277" s="162"/>
      <c r="Q277" s="162"/>
      <c r="R277" s="162"/>
      <c r="S277" s="162"/>
      <c r="T277" s="162"/>
      <c r="U277" s="162"/>
      <c r="V277" s="162"/>
      <c r="W277" s="162"/>
      <c r="X277" s="5"/>
    </row>
    <row r="278" spans="1:24" ht="18" thickBot="1" x14ac:dyDescent="0.35">
      <c r="A278" s="167"/>
      <c r="B278" s="49" t="str">
        <f>B195</f>
        <v>PM12 INVESTOR REPORT QUARTER ENDING JULY 2009</v>
      </c>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x14ac:dyDescent="0.25">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row>
  </sheetData>
  <phoneticPr fontId="0" type="noConversion"/>
  <hyperlinks>
    <hyperlink ref="P231" r:id="rId1" xr:uid="{00000000-0004-0000-0B00-000000000000}"/>
    <hyperlink ref="I9" r:id="rId2" xr:uid="{00000000-0004-0000-0B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6" max="14" man="1"/>
    <brk id="195" max="14"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9CB31"/>
  </sheetPr>
  <dimension ref="A1:Y280"/>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0.64459999999999995</v>
      </c>
      <c r="T16" s="17" t="s">
        <v>145</v>
      </c>
      <c r="U16" s="137">
        <v>0.35539999999999999</v>
      </c>
      <c r="V16" s="16"/>
      <c r="W16" s="15"/>
      <c r="X16" s="5"/>
    </row>
    <row r="17" spans="1:25"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5" ht="15.6" x14ac:dyDescent="0.3">
      <c r="A18" s="6"/>
      <c r="B18" s="14" t="s">
        <v>5</v>
      </c>
      <c r="C18" s="15"/>
      <c r="D18" s="15"/>
      <c r="E18" s="15"/>
      <c r="F18" s="15"/>
      <c r="G18" s="15"/>
      <c r="H18" s="15"/>
      <c r="I18" s="15"/>
      <c r="J18" s="15"/>
      <c r="K18" s="15"/>
      <c r="L18" s="15"/>
      <c r="M18" s="15"/>
      <c r="N18" s="15"/>
      <c r="O18" s="15"/>
      <c r="P18" s="15"/>
      <c r="Q18" s="15"/>
      <c r="R18" s="15"/>
      <c r="S18" s="15"/>
      <c r="T18" s="15"/>
      <c r="U18" s="15"/>
      <c r="V18" s="19">
        <v>40140</v>
      </c>
      <c r="W18" s="15"/>
      <c r="X18" s="5"/>
      <c r="Y18" s="170"/>
    </row>
    <row r="19" spans="1:25"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5"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5"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5"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5"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5"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5"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5"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5"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5"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5"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5"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5"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5" ht="15.6" x14ac:dyDescent="0.3">
      <c r="A32" s="24"/>
      <c r="B32" s="25" t="s">
        <v>137</v>
      </c>
      <c r="C32" s="32"/>
      <c r="D32" s="146">
        <f>D31*D38</f>
        <v>991261.35</v>
      </c>
      <c r="E32" s="32"/>
      <c r="F32" s="31">
        <f>F31*F38</f>
        <v>95822.002999999997</v>
      </c>
      <c r="G32" s="31"/>
      <c r="H32" s="124">
        <f>H31*H38</f>
        <v>161906.14300000001</v>
      </c>
      <c r="I32" s="124"/>
      <c r="J32" s="146">
        <f>J31*J38</f>
        <v>205521.51989999998</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985102.49999999988</v>
      </c>
      <c r="E33" s="36"/>
      <c r="F33" s="35">
        <f>F37*F31</f>
        <v>95226.661999999997</v>
      </c>
      <c r="G33" s="35"/>
      <c r="H33" s="125">
        <f>H31*H37</f>
        <v>160900.22199999998</v>
      </c>
      <c r="I33" s="125"/>
      <c r="J33" s="151">
        <f>J37*J31</f>
        <v>204244.58499999999</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538728.73597529996</v>
      </c>
      <c r="E35" s="32"/>
      <c r="F35" s="31">
        <f>F34*F38</f>
        <v>95822.002999999997</v>
      </c>
      <c r="G35" s="31"/>
      <c r="H35" s="31">
        <f>H34*H38</f>
        <v>111659.7279924</v>
      </c>
      <c r="I35" s="31"/>
      <c r="J35" s="31">
        <f>J34*J38</f>
        <v>111696.65059979999</v>
      </c>
      <c r="K35" s="31"/>
      <c r="L35" s="31">
        <f>+L34</f>
        <v>25000</v>
      </c>
      <c r="M35" s="31"/>
      <c r="N35" s="31">
        <f>+N34</f>
        <v>86897</v>
      </c>
      <c r="O35" s="31"/>
      <c r="P35" s="31">
        <f>+P34</f>
        <v>17000</v>
      </c>
      <c r="Q35" s="31"/>
      <c r="R35" s="31">
        <f>+R34</f>
        <v>73103</v>
      </c>
      <c r="S35" s="31"/>
      <c r="T35" s="31"/>
      <c r="U35" s="164"/>
      <c r="V35" s="154">
        <f>SUM(C35:R35)</f>
        <v>1059907.1175675001</v>
      </c>
      <c r="W35" s="34"/>
      <c r="X35" s="5"/>
    </row>
    <row r="36" spans="1:24" ht="15.6" x14ac:dyDescent="0.3">
      <c r="A36" s="28"/>
      <c r="B36" s="29" t="s">
        <v>295</v>
      </c>
      <c r="C36" s="126"/>
      <c r="D36" s="35">
        <f>D34*D37</f>
        <v>535381.53649500001</v>
      </c>
      <c r="E36" s="36"/>
      <c r="F36" s="35">
        <f>F34*F37</f>
        <v>95226.661999999997</v>
      </c>
      <c r="G36" s="35"/>
      <c r="H36" s="35">
        <f>H34*H37</f>
        <v>110965.98738959999</v>
      </c>
      <c r="I36" s="35"/>
      <c r="J36" s="35">
        <f>J34*J37</f>
        <v>111002.66317</v>
      </c>
      <c r="K36" s="35"/>
      <c r="L36" s="35">
        <f>+L34</f>
        <v>25000</v>
      </c>
      <c r="M36" s="35"/>
      <c r="N36" s="35">
        <f>+N34</f>
        <v>86897</v>
      </c>
      <c r="O36" s="35"/>
      <c r="P36" s="35">
        <f>+P34</f>
        <v>17000</v>
      </c>
      <c r="Q36" s="35"/>
      <c r="R36" s="35">
        <f>+R34</f>
        <v>73103</v>
      </c>
      <c r="S36" s="128"/>
      <c r="T36" s="128"/>
      <c r="U36" s="164"/>
      <c r="V36" s="155">
        <f>SUM(C36:R36)</f>
        <v>1054576.8490546001</v>
      </c>
      <c r="W36" s="34"/>
      <c r="X36" s="5"/>
    </row>
    <row r="37" spans="1:24" ht="15.6" x14ac:dyDescent="0.3">
      <c r="A37" s="24"/>
      <c r="B37" s="122" t="s">
        <v>135</v>
      </c>
      <c r="C37" s="25"/>
      <c r="D37" s="168">
        <v>0.65673499999999996</v>
      </c>
      <c r="E37" s="169"/>
      <c r="F37" s="168">
        <v>0.65673559999999997</v>
      </c>
      <c r="G37" s="168"/>
      <c r="H37" s="168">
        <v>0.65673559999999997</v>
      </c>
      <c r="I37" s="168"/>
      <c r="J37" s="168">
        <v>0.65673499999999996</v>
      </c>
      <c r="K37" s="168"/>
      <c r="L37" s="168">
        <v>1</v>
      </c>
      <c r="M37" s="168"/>
      <c r="N37" s="168">
        <v>1</v>
      </c>
      <c r="O37" s="168"/>
      <c r="P37" s="168">
        <v>1</v>
      </c>
      <c r="Q37" s="168"/>
      <c r="R37" s="168">
        <v>1</v>
      </c>
      <c r="S37" s="30"/>
      <c r="T37" s="30"/>
      <c r="U37" s="163"/>
      <c r="V37" s="163"/>
      <c r="W37" s="25"/>
      <c r="X37" s="5"/>
    </row>
    <row r="38" spans="1:24" ht="15.6" x14ac:dyDescent="0.3">
      <c r="A38" s="24"/>
      <c r="B38" s="122" t="s">
        <v>136</v>
      </c>
      <c r="C38" s="25"/>
      <c r="D38" s="168">
        <v>0.66084089999999995</v>
      </c>
      <c r="E38" s="169"/>
      <c r="F38" s="168">
        <v>0.66084140000000002</v>
      </c>
      <c r="G38" s="168"/>
      <c r="H38" s="168">
        <v>0.66084140000000002</v>
      </c>
      <c r="I38" s="168"/>
      <c r="J38" s="168">
        <v>0.66084089999999995</v>
      </c>
      <c r="K38" s="168"/>
      <c r="L38" s="168">
        <v>1</v>
      </c>
      <c r="M38" s="168"/>
      <c r="N38" s="168">
        <v>1</v>
      </c>
      <c r="O38" s="168"/>
      <c r="P38" s="168">
        <v>1</v>
      </c>
      <c r="Q38" s="168"/>
      <c r="R38" s="168">
        <v>1</v>
      </c>
      <c r="S38" s="39"/>
      <c r="T38" s="38"/>
      <c r="U38" s="163"/>
      <c r="V38" s="39"/>
      <c r="W38" s="25"/>
      <c r="X38" s="5"/>
    </row>
    <row r="39" spans="1:24" ht="15.6" x14ac:dyDescent="0.3">
      <c r="A39" s="24"/>
      <c r="B39" s="25" t="s">
        <v>11</v>
      </c>
      <c r="C39" s="25"/>
      <c r="D39" s="30" t="s">
        <v>235</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3.65E-3</v>
      </c>
      <c r="E40" s="25"/>
      <c r="F40" s="38">
        <v>8.7749999999999998E-3</v>
      </c>
      <c r="G40" s="39"/>
      <c r="H40" s="38">
        <v>9.9299999999999996E-3</v>
      </c>
      <c r="I40" s="38"/>
      <c r="J40" s="38">
        <v>5.4999999999999997E-3</v>
      </c>
      <c r="K40" s="39"/>
      <c r="L40" s="38">
        <v>9.9749999999999995E-3</v>
      </c>
      <c r="M40" s="39"/>
      <c r="N40" s="38">
        <v>1.1129999999999999E-2</v>
      </c>
      <c r="O40" s="39"/>
      <c r="P40" s="38">
        <v>1.2175E-2</v>
      </c>
      <c r="Q40" s="39"/>
      <c r="R40" s="38">
        <v>1.333E-2</v>
      </c>
      <c r="S40" s="39"/>
      <c r="T40" s="38"/>
      <c r="U40" s="163"/>
      <c r="V40" s="30"/>
      <c r="W40" s="25"/>
      <c r="X40" s="5"/>
    </row>
    <row r="41" spans="1:24" ht="15.6" x14ac:dyDescent="0.3">
      <c r="A41" s="24"/>
      <c r="B41" s="25" t="s">
        <v>13</v>
      </c>
      <c r="C41" s="25"/>
      <c r="D41" s="38">
        <v>4.0813000000000004E-3</v>
      </c>
      <c r="E41" s="25"/>
      <c r="F41" s="38">
        <v>1.47688E-2</v>
      </c>
      <c r="G41" s="39"/>
      <c r="H41" s="38">
        <v>1.401E-2</v>
      </c>
      <c r="I41" s="38"/>
      <c r="J41" s="38">
        <v>9.9313000000000005E-3</v>
      </c>
      <c r="K41" s="39"/>
      <c r="L41" s="38">
        <v>1.5968799999999998E-2</v>
      </c>
      <c r="M41" s="39"/>
      <c r="N41" s="38">
        <v>1.521E-2</v>
      </c>
      <c r="O41" s="39"/>
      <c r="P41" s="38">
        <v>1.8168799999999999E-2</v>
      </c>
      <c r="Q41" s="39"/>
      <c r="R41" s="38">
        <v>1.7409999999999998E-2</v>
      </c>
      <c r="S41" s="39"/>
      <c r="T41" s="38"/>
      <c r="U41" s="163"/>
      <c r="V41" s="39" t="s">
        <v>199</v>
      </c>
      <c r="W41" s="25"/>
      <c r="X41" s="5"/>
    </row>
    <row r="42" spans="1:24" ht="15.6" x14ac:dyDescent="0.3">
      <c r="A42" s="24"/>
      <c r="B42" s="25" t="s">
        <v>296</v>
      </c>
      <c r="C42" s="25"/>
      <c r="D42" s="30" t="s">
        <v>286</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8.9782999999999998E-3</v>
      </c>
      <c r="E43" s="38"/>
      <c r="F43" s="38">
        <f>+F40</f>
        <v>8.7749999999999998E-3</v>
      </c>
      <c r="G43" s="38"/>
      <c r="H43" s="38">
        <v>8.7360000000000007E-3</v>
      </c>
      <c r="I43" s="38"/>
      <c r="J43" s="38">
        <v>8.8570000000000003E-3</v>
      </c>
      <c r="K43" s="38"/>
      <c r="L43" s="38">
        <f>+L40</f>
        <v>9.9749999999999995E-3</v>
      </c>
      <c r="M43" s="38"/>
      <c r="N43" s="38">
        <v>1.0076E-2</v>
      </c>
      <c r="O43" s="38"/>
      <c r="P43" s="38">
        <f>+P40</f>
        <v>1.2175E-2</v>
      </c>
      <c r="Q43" s="39"/>
      <c r="R43" s="38">
        <v>1.2411E-2</v>
      </c>
      <c r="S43" s="30"/>
      <c r="T43" s="30"/>
      <c r="U43" s="163"/>
      <c r="V43" s="39">
        <f>SUMPRODUCT(D43:R43,D35:R35)/V35</f>
        <v>9.3231456283779119E-3</v>
      </c>
      <c r="W43" s="25"/>
      <c r="X43" s="5"/>
    </row>
    <row r="44" spans="1:24" ht="15.6" x14ac:dyDescent="0.3">
      <c r="A44" s="24"/>
      <c r="B44" s="25" t="s">
        <v>298</v>
      </c>
      <c r="C44" s="110"/>
      <c r="D44" s="38">
        <v>1.49721E-2</v>
      </c>
      <c r="E44" s="38"/>
      <c r="F44" s="38">
        <f>+F41</f>
        <v>1.47688E-2</v>
      </c>
      <c r="G44" s="38"/>
      <c r="H44" s="38">
        <v>1.4729799999999999E-2</v>
      </c>
      <c r="I44" s="38"/>
      <c r="J44" s="38">
        <v>1.4850800000000001E-2</v>
      </c>
      <c r="K44" s="38"/>
      <c r="L44" s="38">
        <f>+L41</f>
        <v>1.5968799999999998E-2</v>
      </c>
      <c r="M44" s="38"/>
      <c r="N44" s="38">
        <v>1.6069799999999999E-2</v>
      </c>
      <c r="O44" s="38"/>
      <c r="P44" s="38">
        <f>+P41</f>
        <v>1.8168799999999999E-2</v>
      </c>
      <c r="Q44" s="39"/>
      <c r="R44" s="38">
        <v>1.8404799999999999E-2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0.23692878855905186</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40133</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94</v>
      </c>
      <c r="S57" s="25"/>
      <c r="T57" s="45">
        <v>39948</v>
      </c>
      <c r="U57" s="46"/>
      <c r="V57" s="45">
        <v>40041</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91</v>
      </c>
      <c r="S58" s="25"/>
      <c r="T58" s="45">
        <v>40042</v>
      </c>
      <c r="U58" s="46"/>
      <c r="V58" s="45">
        <v>40132</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40119</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300</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1059907</v>
      </c>
      <c r="O69" s="34"/>
      <c r="P69" s="34">
        <f>5330+1589+98</f>
        <v>7017</v>
      </c>
      <c r="Q69" s="34"/>
      <c r="R69" s="34">
        <f>1589+98</f>
        <v>1687</v>
      </c>
      <c r="S69" s="34"/>
      <c r="T69" s="34">
        <v>0</v>
      </c>
      <c r="U69" s="34"/>
      <c r="V69" s="53">
        <f>+N69-P69+R69-T69</f>
        <v>1054577</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1059907</v>
      </c>
      <c r="O72" s="34"/>
      <c r="P72" s="34">
        <f>SUM(P69:P71)</f>
        <v>7017</v>
      </c>
      <c r="Q72" s="34"/>
      <c r="R72" s="34">
        <f>SUM(R69:R71)</f>
        <v>1687</v>
      </c>
      <c r="S72" s="34"/>
      <c r="T72" s="34">
        <f>SUM(T69:T71)</f>
        <v>0</v>
      </c>
      <c r="U72" s="34"/>
      <c r="V72" s="54">
        <f>SUM(V69:V71)</f>
        <v>1054577</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1059907</v>
      </c>
      <c r="O85" s="34"/>
      <c r="P85" s="34"/>
      <c r="Q85" s="34"/>
      <c r="R85" s="34"/>
      <c r="S85" s="34"/>
      <c r="T85" s="54"/>
      <c r="U85" s="34"/>
      <c r="V85" s="54">
        <f>SUM(V72:V84)</f>
        <v>1054577</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+T197</f>
        <v>40116</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7017-258</f>
        <v>6759</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5795+3355-679-323+24+4</f>
        <v>8176</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34+84</f>
        <v>118</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106</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v>0</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0</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6759</v>
      </c>
      <c r="U97" s="25"/>
      <c r="V97" s="54">
        <f>SUM(V89:V96)</f>
        <v>8400</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-17</v>
      </c>
      <c r="U98" s="25"/>
      <c r="V98" s="54">
        <v>17</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282</v>
      </c>
      <c r="C100" s="25"/>
      <c r="D100" s="25"/>
      <c r="E100" s="25"/>
      <c r="F100" s="25"/>
      <c r="G100" s="25"/>
      <c r="H100" s="25"/>
      <c r="I100" s="25"/>
      <c r="J100" s="25"/>
      <c r="K100" s="25"/>
      <c r="L100" s="25"/>
      <c r="M100" s="25"/>
      <c r="N100" s="25"/>
      <c r="O100" s="25"/>
      <c r="P100" s="25"/>
      <c r="Q100" s="25"/>
      <c r="R100" s="25"/>
      <c r="S100" s="25"/>
      <c r="T100" s="34"/>
      <c r="U100" s="25"/>
      <c r="V100" s="53">
        <v>24</v>
      </c>
      <c r="W100" s="25"/>
      <c r="X100" s="5"/>
    </row>
    <row r="101" spans="1:25"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6742</v>
      </c>
      <c r="U101" s="25"/>
      <c r="V101" s="54">
        <f>V97+V99+V98+V100</f>
        <v>8441</v>
      </c>
      <c r="W101" s="25"/>
      <c r="X101" s="5"/>
    </row>
    <row r="102" spans="1:25"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5"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5" ht="15.6" x14ac:dyDescent="0.3">
      <c r="A104" s="24">
        <f>+A103+1</f>
        <v>2</v>
      </c>
      <c r="B104" s="25" t="s">
        <v>259</v>
      </c>
      <c r="C104" s="25"/>
      <c r="D104" s="25"/>
      <c r="E104" s="25"/>
      <c r="F104" s="25"/>
      <c r="G104" s="25"/>
      <c r="H104" s="25"/>
      <c r="I104" s="25"/>
      <c r="J104" s="25"/>
      <c r="K104" s="25"/>
      <c r="L104" s="25"/>
      <c r="M104" s="25"/>
      <c r="N104" s="25"/>
      <c r="O104" s="25"/>
      <c r="P104" s="25"/>
      <c r="Q104" s="25"/>
      <c r="R104" s="25"/>
      <c r="S104" s="25"/>
      <c r="T104" s="25"/>
      <c r="U104" s="25"/>
      <c r="V104" s="53">
        <v>-2</v>
      </c>
      <c r="W104" s="25"/>
      <c r="X104" s="5"/>
    </row>
    <row r="105" spans="1:25" ht="15.6" x14ac:dyDescent="0.3">
      <c r="A105" s="24">
        <f>+A104+1</f>
        <v>3</v>
      </c>
      <c r="B105" s="25" t="s">
        <v>210</v>
      </c>
      <c r="C105" s="25"/>
      <c r="D105" s="25"/>
      <c r="E105" s="25"/>
      <c r="F105" s="25"/>
      <c r="G105" s="25"/>
      <c r="H105" s="25"/>
      <c r="I105" s="25"/>
      <c r="J105" s="25"/>
      <c r="K105" s="25"/>
      <c r="L105" s="25"/>
      <c r="M105" s="25"/>
      <c r="N105" s="25"/>
      <c r="O105" s="25"/>
      <c r="P105" s="25"/>
      <c r="Q105" s="25"/>
      <c r="R105" s="25"/>
      <c r="S105" s="25"/>
      <c r="T105" s="25"/>
      <c r="U105" s="25"/>
      <c r="V105" s="53">
        <f>-402-265-13</f>
        <v>-680</v>
      </c>
      <c r="W105" s="25"/>
      <c r="X105" s="5"/>
    </row>
    <row r="106" spans="1:25" ht="15.6" x14ac:dyDescent="0.3">
      <c r="A106" s="24" t="s">
        <v>132</v>
      </c>
      <c r="B106" s="25" t="s">
        <v>121</v>
      </c>
      <c r="C106" s="25"/>
      <c r="D106" s="25"/>
      <c r="E106" s="25"/>
      <c r="F106" s="25"/>
      <c r="G106" s="25"/>
      <c r="H106" s="25"/>
      <c r="I106" s="25"/>
      <c r="J106" s="25"/>
      <c r="K106" s="25"/>
      <c r="L106" s="25"/>
      <c r="M106" s="25"/>
      <c r="N106" s="25"/>
      <c r="O106" s="25"/>
      <c r="P106" s="25"/>
      <c r="Q106" s="25"/>
      <c r="R106" s="25"/>
      <c r="S106" s="25"/>
      <c r="T106" s="25"/>
      <c r="U106" s="25"/>
      <c r="V106" s="53">
        <f>-1805-7</f>
        <v>-1812</v>
      </c>
      <c r="W106" s="25"/>
      <c r="X106" s="5"/>
    </row>
    <row r="107" spans="1:25" ht="15.6" x14ac:dyDescent="0.3">
      <c r="A107" s="24" t="s">
        <v>133</v>
      </c>
      <c r="B107" s="25" t="s">
        <v>256</v>
      </c>
      <c r="C107" s="25"/>
      <c r="D107" s="25"/>
      <c r="E107" s="25"/>
      <c r="F107" s="25"/>
      <c r="G107" s="25"/>
      <c r="H107" s="25"/>
      <c r="I107" s="25"/>
      <c r="J107" s="25"/>
      <c r="K107" s="25"/>
      <c r="L107" s="25"/>
      <c r="M107" s="25"/>
      <c r="N107" s="25"/>
      <c r="O107" s="25"/>
      <c r="P107" s="25"/>
      <c r="Q107" s="25"/>
      <c r="R107" s="25"/>
      <c r="S107" s="25"/>
      <c r="T107" s="25"/>
      <c r="U107" s="25"/>
      <c r="V107" s="53">
        <f>-1905+210</f>
        <v>-1695</v>
      </c>
      <c r="W107" s="25"/>
      <c r="X107" s="171"/>
      <c r="Y107" s="109"/>
    </row>
    <row r="108" spans="1:25" ht="15.6" x14ac:dyDescent="0.3">
      <c r="A108" s="24" t="s">
        <v>155</v>
      </c>
      <c r="B108" s="25" t="s">
        <v>190</v>
      </c>
      <c r="C108" s="25"/>
      <c r="D108" s="25"/>
      <c r="E108" s="25"/>
      <c r="F108" s="25"/>
      <c r="G108" s="25"/>
      <c r="H108" s="25"/>
      <c r="I108" s="25"/>
      <c r="J108" s="25"/>
      <c r="K108" s="25"/>
      <c r="L108" s="25"/>
      <c r="M108" s="25"/>
      <c r="N108" s="25"/>
      <c r="O108" s="25"/>
      <c r="P108" s="25"/>
      <c r="Q108" s="25"/>
      <c r="R108" s="25"/>
      <c r="S108" s="25"/>
      <c r="T108" s="25"/>
      <c r="U108" s="25"/>
      <c r="V108" s="53">
        <v>-210</v>
      </c>
      <c r="W108" s="25"/>
      <c r="X108" s="5"/>
      <c r="Y108" s="109"/>
    </row>
    <row r="109" spans="1:25" ht="15.6" x14ac:dyDescent="0.3">
      <c r="A109" s="24" t="s">
        <v>211</v>
      </c>
      <c r="B109" s="25" t="s">
        <v>191</v>
      </c>
      <c r="C109" s="25"/>
      <c r="D109" s="25"/>
      <c r="E109" s="25"/>
      <c r="F109" s="25"/>
      <c r="G109" s="25"/>
      <c r="H109" s="25"/>
      <c r="I109" s="25"/>
      <c r="J109" s="25"/>
      <c r="K109" s="25"/>
      <c r="L109" s="25"/>
      <c r="M109" s="25"/>
      <c r="N109" s="25"/>
      <c r="O109" s="25"/>
      <c r="P109" s="25"/>
      <c r="Q109" s="25"/>
      <c r="R109" s="25"/>
      <c r="S109" s="25"/>
      <c r="T109" s="25"/>
      <c r="U109" s="25"/>
      <c r="V109" s="53">
        <v>-218</v>
      </c>
      <c r="W109" s="25"/>
      <c r="X109" s="5"/>
      <c r="Y109" s="109"/>
    </row>
    <row r="110" spans="1:25" ht="15.6" x14ac:dyDescent="0.3">
      <c r="A110" s="24" t="s">
        <v>212</v>
      </c>
      <c r="B110" s="25" t="s">
        <v>192</v>
      </c>
      <c r="C110" s="25"/>
      <c r="D110" s="25"/>
      <c r="E110" s="25"/>
      <c r="F110" s="25"/>
      <c r="G110" s="25"/>
      <c r="H110" s="25"/>
      <c r="I110" s="25"/>
      <c r="J110" s="25"/>
      <c r="K110" s="25"/>
      <c r="L110" s="25"/>
      <c r="M110" s="25"/>
      <c r="N110" s="25"/>
      <c r="O110" s="25"/>
      <c r="P110" s="25"/>
      <c r="Q110" s="25"/>
      <c r="R110" s="25"/>
      <c r="S110" s="25"/>
      <c r="T110" s="25"/>
      <c r="U110" s="25"/>
      <c r="V110" s="53">
        <v>-62</v>
      </c>
      <c r="W110" s="25"/>
      <c r="X110" s="5"/>
      <c r="Y110" s="109"/>
    </row>
    <row r="111" spans="1:25" ht="15.6" x14ac:dyDescent="0.3">
      <c r="A111" s="24" t="s">
        <v>213</v>
      </c>
      <c r="B111" s="25" t="s">
        <v>202</v>
      </c>
      <c r="C111" s="25"/>
      <c r="D111" s="25"/>
      <c r="E111" s="25"/>
      <c r="F111" s="25"/>
      <c r="G111" s="25"/>
      <c r="H111" s="25"/>
      <c r="I111" s="25"/>
      <c r="J111" s="25"/>
      <c r="K111" s="25"/>
      <c r="L111" s="25"/>
      <c r="M111" s="25"/>
      <c r="N111" s="25"/>
      <c r="O111" s="25"/>
      <c r="P111" s="25"/>
      <c r="Q111" s="25"/>
      <c r="R111" s="25"/>
      <c r="S111" s="25"/>
      <c r="T111" s="25"/>
      <c r="U111" s="25"/>
      <c r="V111" s="53">
        <v>-226</v>
      </c>
      <c r="W111" s="25"/>
      <c r="X111" s="5"/>
      <c r="Y111" s="109"/>
    </row>
    <row r="112" spans="1:25" ht="15.6" x14ac:dyDescent="0.3">
      <c r="A112" s="24" t="s">
        <v>258</v>
      </c>
      <c r="B112" s="25" t="s">
        <v>257</v>
      </c>
      <c r="C112" s="25"/>
      <c r="D112" s="25"/>
      <c r="E112" s="25"/>
      <c r="F112" s="25"/>
      <c r="G112" s="25"/>
      <c r="H112" s="25"/>
      <c r="I112" s="25"/>
      <c r="J112" s="25"/>
      <c r="K112" s="25"/>
      <c r="L112" s="25"/>
      <c r="M112" s="25"/>
      <c r="N112" s="25"/>
      <c r="O112" s="25"/>
      <c r="P112" s="25"/>
      <c r="Q112" s="25"/>
      <c r="R112" s="25"/>
      <c r="S112" s="25"/>
      <c r="T112" s="25"/>
      <c r="U112" s="25"/>
      <c r="V112" s="53">
        <v>-52</v>
      </c>
      <c r="W112" s="25"/>
      <c r="X112" s="5"/>
      <c r="Y112" s="109"/>
    </row>
    <row r="113" spans="1:24" ht="15.6" x14ac:dyDescent="0.3">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-10</v>
      </c>
      <c r="W113" s="25"/>
      <c r="X113" s="5"/>
    </row>
    <row r="114" spans="1:24" ht="15.6" x14ac:dyDescent="0.3">
      <c r="A114" s="24">
        <f t="shared" ref="A114:A119" si="0">+A113+1</f>
        <v>8</v>
      </c>
      <c r="B114" s="25" t="s">
        <v>46</v>
      </c>
      <c r="C114" s="25"/>
      <c r="D114" s="25"/>
      <c r="E114" s="25"/>
      <c r="F114" s="25"/>
      <c r="G114" s="25"/>
      <c r="H114" s="25"/>
      <c r="I114" s="25"/>
      <c r="J114" s="25"/>
      <c r="K114" s="25"/>
      <c r="L114" s="25"/>
      <c r="M114" s="25"/>
      <c r="N114" s="25"/>
      <c r="O114" s="25"/>
      <c r="P114" s="25"/>
      <c r="Q114" s="25"/>
      <c r="R114" s="25"/>
      <c r="S114" s="25"/>
      <c r="T114" s="34">
        <f>-V114</f>
        <v>258</v>
      </c>
      <c r="U114" s="25"/>
      <c r="V114" s="53">
        <v>-258</v>
      </c>
      <c r="W114" s="25"/>
      <c r="X114" s="5"/>
    </row>
    <row r="115" spans="1:24" ht="15.6" x14ac:dyDescent="0.3">
      <c r="A115" s="24">
        <f t="shared" si="0"/>
        <v>9</v>
      </c>
      <c r="B115" s="25" t="s">
        <v>130</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10</v>
      </c>
      <c r="B116" s="25" t="s">
        <v>36</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11</v>
      </c>
      <c r="B117" s="25" t="s">
        <v>37</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6" x14ac:dyDescent="0.3">
      <c r="A118" s="24">
        <f t="shared" si="0"/>
        <v>12</v>
      </c>
      <c r="B118" s="25" t="s">
        <v>154</v>
      </c>
      <c r="C118" s="25"/>
      <c r="D118" s="25"/>
      <c r="E118" s="25"/>
      <c r="F118" s="25"/>
      <c r="G118" s="25"/>
      <c r="H118" s="25"/>
      <c r="I118" s="25"/>
      <c r="J118" s="25"/>
      <c r="K118" s="25"/>
      <c r="L118" s="25"/>
      <c r="M118" s="25"/>
      <c r="N118" s="25"/>
      <c r="O118" s="25"/>
      <c r="P118" s="25"/>
      <c r="Q118" s="25"/>
      <c r="R118" s="25"/>
      <c r="S118" s="25"/>
      <c r="T118" s="25"/>
      <c r="U118" s="25"/>
      <c r="V118" s="53">
        <v>-402</v>
      </c>
      <c r="W118" s="25"/>
      <c r="X118" s="5"/>
    </row>
    <row r="119" spans="1:24" ht="15.6" x14ac:dyDescent="0.3">
      <c r="A119" s="24">
        <f t="shared" si="0"/>
        <v>13</v>
      </c>
      <c r="B119" s="25" t="s">
        <v>131</v>
      </c>
      <c r="C119" s="25"/>
      <c r="D119" s="25"/>
      <c r="E119" s="25"/>
      <c r="F119" s="25"/>
      <c r="G119" s="25"/>
      <c r="H119" s="25"/>
      <c r="I119" s="25"/>
      <c r="J119" s="25"/>
      <c r="K119" s="25"/>
      <c r="L119" s="25"/>
      <c r="M119" s="25"/>
      <c r="N119" s="25"/>
      <c r="O119" s="25"/>
      <c r="P119" s="25"/>
      <c r="Q119" s="25"/>
      <c r="R119" s="25"/>
      <c r="S119" s="25"/>
      <c r="T119" s="25"/>
      <c r="U119" s="25"/>
      <c r="V119" s="53">
        <f>-V101-SUM(V103:V118)</f>
        <v>-2814</v>
      </c>
      <c r="W119" s="25"/>
      <c r="X119" s="5"/>
    </row>
    <row r="120" spans="1:24" ht="15.6" x14ac:dyDescent="0.3">
      <c r="A120" s="24"/>
      <c r="B120" s="118" t="s">
        <v>38</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6" x14ac:dyDescent="0.3">
      <c r="A121" s="24"/>
      <c r="B121" s="25" t="s">
        <v>179</v>
      </c>
      <c r="C121" s="25"/>
      <c r="D121" s="25"/>
      <c r="E121" s="25"/>
      <c r="F121" s="25"/>
      <c r="G121" s="25"/>
      <c r="H121" s="25"/>
      <c r="I121" s="25"/>
      <c r="J121" s="25"/>
      <c r="K121" s="25"/>
      <c r="L121" s="25"/>
      <c r="M121" s="25"/>
      <c r="N121" s="25"/>
      <c r="O121" s="25"/>
      <c r="P121" s="25"/>
      <c r="Q121" s="25"/>
      <c r="R121" s="25"/>
      <c r="S121" s="25"/>
      <c r="T121" s="34">
        <f>-T181</f>
        <v>-82</v>
      </c>
      <c r="U121" s="34"/>
      <c r="V121" s="53"/>
      <c r="W121" s="25"/>
      <c r="X121" s="5"/>
    </row>
    <row r="122" spans="1:24" ht="15.6" x14ac:dyDescent="0.3">
      <c r="A122" s="24"/>
      <c r="B122" s="25" t="s">
        <v>180</v>
      </c>
      <c r="C122" s="25"/>
      <c r="D122" s="25"/>
      <c r="E122" s="25"/>
      <c r="F122" s="25"/>
      <c r="G122" s="25"/>
      <c r="H122" s="25"/>
      <c r="I122" s="25"/>
      <c r="J122" s="25"/>
      <c r="K122" s="25"/>
      <c r="L122" s="25"/>
      <c r="M122" s="25"/>
      <c r="N122" s="25"/>
      <c r="O122" s="25"/>
      <c r="P122" s="25"/>
      <c r="Q122" s="25"/>
      <c r="R122" s="25"/>
      <c r="S122" s="25"/>
      <c r="T122" s="34">
        <v>0</v>
      </c>
      <c r="U122" s="34"/>
      <c r="V122" s="53"/>
      <c r="W122" s="25"/>
      <c r="X122" s="5"/>
    </row>
    <row r="123" spans="1:24" ht="15.6" x14ac:dyDescent="0.3">
      <c r="A123" s="24"/>
      <c r="B123" s="25" t="s">
        <v>39</v>
      </c>
      <c r="C123" s="25"/>
      <c r="D123" s="25"/>
      <c r="E123" s="25"/>
      <c r="F123" s="25"/>
      <c r="G123" s="25"/>
      <c r="H123" s="25"/>
      <c r="I123" s="25"/>
      <c r="J123" s="25"/>
      <c r="K123" s="25"/>
      <c r="L123" s="25"/>
      <c r="M123" s="25"/>
      <c r="N123" s="25"/>
      <c r="O123" s="25"/>
      <c r="P123" s="25"/>
      <c r="Q123" s="25"/>
      <c r="R123" s="25"/>
      <c r="S123" s="25"/>
      <c r="T123" s="34">
        <f>-S181</f>
        <v>-1588</v>
      </c>
      <c r="U123" s="34"/>
      <c r="V123" s="53"/>
      <c r="W123" s="25"/>
      <c r="X123" s="5"/>
    </row>
    <row r="124" spans="1:24" ht="15.6" x14ac:dyDescent="0.3">
      <c r="A124" s="24"/>
      <c r="B124" s="25" t="s">
        <v>203</v>
      </c>
      <c r="C124" s="25"/>
      <c r="D124" s="25"/>
      <c r="E124" s="25"/>
      <c r="F124" s="25"/>
      <c r="G124" s="25"/>
      <c r="H124" s="25"/>
      <c r="I124" s="25"/>
      <c r="J124" s="25"/>
      <c r="K124" s="25"/>
      <c r="L124" s="25"/>
      <c r="M124" s="25"/>
      <c r="N124" s="25"/>
      <c r="O124" s="25"/>
      <c r="P124" s="25"/>
      <c r="Q124" s="25"/>
      <c r="R124" s="25"/>
      <c r="S124" s="25"/>
      <c r="T124" s="34">
        <v>-3347</v>
      </c>
      <c r="U124" s="34"/>
      <c r="V124" s="53"/>
      <c r="W124" s="25"/>
      <c r="X124" s="5"/>
    </row>
    <row r="125" spans="1:24" ht="15.6" x14ac:dyDescent="0.3">
      <c r="A125" s="24"/>
      <c r="B125" s="25" t="s">
        <v>201</v>
      </c>
      <c r="C125" s="25"/>
      <c r="D125" s="25"/>
      <c r="E125" s="25"/>
      <c r="F125" s="25"/>
      <c r="G125" s="25"/>
      <c r="H125" s="25"/>
      <c r="I125" s="25"/>
      <c r="J125" s="25"/>
      <c r="K125" s="25"/>
      <c r="L125" s="25"/>
      <c r="M125" s="25"/>
      <c r="N125" s="25"/>
      <c r="O125" s="25"/>
      <c r="P125" s="25"/>
      <c r="Q125" s="25"/>
      <c r="R125" s="25"/>
      <c r="S125" s="25"/>
      <c r="T125" s="34">
        <v>-595</v>
      </c>
      <c r="U125" s="34"/>
      <c r="V125" s="53"/>
      <c r="W125" s="25"/>
      <c r="X125" s="5"/>
    </row>
    <row r="126" spans="1:24" ht="15.6" x14ac:dyDescent="0.3">
      <c r="A126" s="24"/>
      <c r="B126" s="25" t="s">
        <v>200</v>
      </c>
      <c r="C126" s="25"/>
      <c r="D126" s="25"/>
      <c r="E126" s="25"/>
      <c r="F126" s="25"/>
      <c r="G126" s="25"/>
      <c r="H126" s="25"/>
      <c r="I126" s="25"/>
      <c r="J126" s="25"/>
      <c r="K126" s="25"/>
      <c r="L126" s="25"/>
      <c r="M126" s="25"/>
      <c r="N126" s="25"/>
      <c r="O126" s="25"/>
      <c r="P126" s="25"/>
      <c r="Q126" s="25"/>
      <c r="R126" s="25"/>
      <c r="S126" s="25"/>
      <c r="T126" s="34">
        <v>-694</v>
      </c>
      <c r="U126" s="34"/>
      <c r="V126" s="53"/>
      <c r="W126" s="25"/>
      <c r="X126" s="5"/>
    </row>
    <row r="127" spans="1:24" ht="15.6" x14ac:dyDescent="0.3">
      <c r="A127" s="24"/>
      <c r="B127" s="25" t="s">
        <v>260</v>
      </c>
      <c r="C127" s="25"/>
      <c r="D127" s="25"/>
      <c r="E127" s="25"/>
      <c r="F127" s="25"/>
      <c r="G127" s="25"/>
      <c r="H127" s="25"/>
      <c r="I127" s="25"/>
      <c r="J127" s="25"/>
      <c r="K127" s="25"/>
      <c r="L127" s="25"/>
      <c r="M127" s="25"/>
      <c r="N127" s="25"/>
      <c r="O127" s="25"/>
      <c r="P127" s="25"/>
      <c r="Q127" s="25"/>
      <c r="R127" s="25"/>
      <c r="S127" s="25"/>
      <c r="T127" s="34">
        <v>-694</v>
      </c>
      <c r="U127" s="34"/>
      <c r="V127" s="53"/>
      <c r="W127" s="25"/>
      <c r="X127" s="5"/>
    </row>
    <row r="128" spans="1:24" ht="15.6" x14ac:dyDescent="0.3">
      <c r="A128" s="24"/>
      <c r="B128" s="25" t="s">
        <v>195</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261</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193</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40</v>
      </c>
      <c r="C132" s="25"/>
      <c r="D132" s="25"/>
      <c r="E132" s="25"/>
      <c r="F132" s="25"/>
      <c r="G132" s="25"/>
      <c r="H132" s="25"/>
      <c r="I132" s="25"/>
      <c r="J132" s="25"/>
      <c r="K132" s="25"/>
      <c r="L132" s="25"/>
      <c r="M132" s="25"/>
      <c r="N132" s="25"/>
      <c r="O132" s="25"/>
      <c r="P132" s="25"/>
      <c r="Q132" s="25"/>
      <c r="R132" s="25"/>
      <c r="S132" s="25"/>
      <c r="T132" s="34">
        <f>SUM(T121:T131)</f>
        <v>-7000</v>
      </c>
      <c r="U132" s="34"/>
      <c r="V132" s="34">
        <f>SUM(V102:V129)</f>
        <v>-8441</v>
      </c>
      <c r="W132" s="25"/>
      <c r="X132" s="5"/>
    </row>
    <row r="133" spans="1:24" ht="15.6" x14ac:dyDescent="0.3">
      <c r="A133" s="24"/>
      <c r="B133" s="25" t="s">
        <v>41</v>
      </c>
      <c r="C133" s="25"/>
      <c r="D133" s="25"/>
      <c r="E133" s="25"/>
      <c r="F133" s="25"/>
      <c r="G133" s="25"/>
      <c r="H133" s="25"/>
      <c r="I133" s="25"/>
      <c r="J133" s="25"/>
      <c r="K133" s="25"/>
      <c r="L133" s="25"/>
      <c r="M133" s="25"/>
      <c r="N133" s="25"/>
      <c r="O133" s="25"/>
      <c r="P133" s="25"/>
      <c r="Q133" s="25"/>
      <c r="R133" s="25"/>
      <c r="S133" s="25"/>
      <c r="T133" s="34">
        <f>T101+T132+T114</f>
        <v>0</v>
      </c>
      <c r="U133" s="34"/>
      <c r="V133" s="34">
        <f>V101+V132</f>
        <v>0</v>
      </c>
      <c r="W133" s="25"/>
      <c r="X133" s="5"/>
    </row>
    <row r="134" spans="1:24" ht="15.6" x14ac:dyDescent="0.3">
      <c r="A134" s="24"/>
      <c r="B134" s="25"/>
      <c r="C134" s="25"/>
      <c r="D134" s="25"/>
      <c r="E134" s="25"/>
      <c r="F134" s="25"/>
      <c r="G134" s="25"/>
      <c r="H134" s="25"/>
      <c r="I134" s="25"/>
      <c r="J134" s="25"/>
      <c r="K134" s="25"/>
      <c r="L134" s="25"/>
      <c r="M134" s="25"/>
      <c r="N134" s="25"/>
      <c r="O134" s="25"/>
      <c r="P134" s="25"/>
      <c r="Q134" s="25"/>
      <c r="R134" s="25"/>
      <c r="S134" s="25"/>
      <c r="T134" s="34"/>
      <c r="U134" s="34"/>
      <c r="V134" s="34"/>
      <c r="W134" s="25"/>
      <c r="X134" s="5"/>
    </row>
    <row r="135" spans="1:24" ht="15.6" x14ac:dyDescent="0.3">
      <c r="A135" s="6"/>
      <c r="B135" s="8"/>
      <c r="C135" s="8"/>
      <c r="D135" s="8"/>
      <c r="E135" s="8"/>
      <c r="F135" s="8"/>
      <c r="G135" s="8"/>
      <c r="H135" s="8"/>
      <c r="I135" s="8"/>
      <c r="J135" s="8"/>
      <c r="K135" s="8"/>
      <c r="L135" s="8"/>
      <c r="M135" s="8"/>
      <c r="N135" s="8"/>
      <c r="O135" s="8"/>
      <c r="P135" s="8"/>
      <c r="Q135" s="8"/>
      <c r="R135" s="8"/>
      <c r="S135" s="8"/>
      <c r="T135" s="8"/>
      <c r="U135" s="8"/>
      <c r="V135" s="52"/>
      <c r="W135" s="8"/>
      <c r="X135" s="5"/>
    </row>
    <row r="136" spans="1:24" ht="18" thickBot="1" x14ac:dyDescent="0.35">
      <c r="A136" s="101"/>
      <c r="B136" s="102" t="str">
        <f>B64</f>
        <v>PM12 INVESTOR REPORT QUARTER ENDING OCTOBER 2009</v>
      </c>
      <c r="C136" s="103"/>
      <c r="D136" s="103"/>
      <c r="E136" s="103"/>
      <c r="F136" s="103"/>
      <c r="G136" s="103"/>
      <c r="H136" s="103"/>
      <c r="I136" s="103"/>
      <c r="J136" s="103"/>
      <c r="K136" s="103"/>
      <c r="L136" s="103"/>
      <c r="M136" s="103"/>
      <c r="N136" s="103"/>
      <c r="O136" s="103"/>
      <c r="P136" s="103"/>
      <c r="Q136" s="103"/>
      <c r="R136" s="103"/>
      <c r="S136" s="103"/>
      <c r="T136" s="103"/>
      <c r="U136" s="103"/>
      <c r="V136" s="106"/>
      <c r="W136" s="105"/>
      <c r="X136" s="5"/>
    </row>
    <row r="137" spans="1:24" ht="15.6" x14ac:dyDescent="0.3">
      <c r="A137" s="2"/>
      <c r="B137" s="60" t="s">
        <v>42</v>
      </c>
      <c r="C137" s="4"/>
      <c r="D137" s="4"/>
      <c r="E137" s="4"/>
      <c r="F137" s="4"/>
      <c r="G137" s="4"/>
      <c r="H137" s="4"/>
      <c r="I137" s="4"/>
      <c r="J137" s="4"/>
      <c r="K137" s="4"/>
      <c r="L137" s="4"/>
      <c r="M137" s="4"/>
      <c r="N137" s="4"/>
      <c r="O137" s="4"/>
      <c r="P137" s="4"/>
      <c r="Q137" s="4"/>
      <c r="R137" s="4"/>
      <c r="S137" s="4"/>
      <c r="T137" s="4"/>
      <c r="U137" s="4"/>
      <c r="V137" s="50"/>
      <c r="W137" s="4"/>
      <c r="X137" s="5"/>
    </row>
    <row r="138" spans="1:24" ht="15.6" x14ac:dyDescent="0.3">
      <c r="A138" s="6"/>
      <c r="B138" s="21"/>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6"/>
      <c r="B139" s="119" t="s">
        <v>43</v>
      </c>
      <c r="C139" s="8"/>
      <c r="D139" s="8"/>
      <c r="E139" s="8"/>
      <c r="F139" s="8"/>
      <c r="G139" s="8"/>
      <c r="H139" s="8"/>
      <c r="I139" s="8"/>
      <c r="J139" s="8"/>
      <c r="K139" s="8"/>
      <c r="L139" s="8"/>
      <c r="M139" s="8"/>
      <c r="N139" s="8"/>
      <c r="O139" s="8"/>
      <c r="P139" s="8"/>
      <c r="Q139" s="8"/>
      <c r="R139" s="8"/>
      <c r="S139" s="8"/>
      <c r="T139" s="8"/>
      <c r="U139" s="8"/>
      <c r="V139" s="52"/>
      <c r="W139" s="8"/>
      <c r="X139" s="5"/>
    </row>
    <row r="140" spans="1:24" ht="15.6" x14ac:dyDescent="0.3">
      <c r="A140" s="24"/>
      <c r="B140" s="25" t="s">
        <v>44</v>
      </c>
      <c r="C140" s="25"/>
      <c r="D140" s="25"/>
      <c r="E140" s="25"/>
      <c r="F140" s="25"/>
      <c r="G140" s="25"/>
      <c r="H140" s="25"/>
      <c r="I140" s="25"/>
      <c r="J140" s="25"/>
      <c r="K140" s="25"/>
      <c r="L140" s="25"/>
      <c r="M140" s="25"/>
      <c r="N140" s="25"/>
      <c r="O140" s="25"/>
      <c r="P140" s="25"/>
      <c r="Q140" s="25"/>
      <c r="R140" s="25"/>
      <c r="S140" s="25"/>
      <c r="T140" s="25"/>
      <c r="U140" s="25"/>
      <c r="V140" s="53">
        <f>+V34*0.019</f>
        <v>28503.895</v>
      </c>
      <c r="W140" s="25"/>
      <c r="X140" s="5"/>
    </row>
    <row r="141" spans="1:24" ht="15.6" x14ac:dyDescent="0.3">
      <c r="A141" s="24"/>
      <c r="B141" s="25" t="s">
        <v>45</v>
      </c>
      <c r="C141" s="25"/>
      <c r="D141" s="25"/>
      <c r="E141" s="25"/>
      <c r="F141" s="25"/>
      <c r="G141" s="25"/>
      <c r="H141" s="25"/>
      <c r="I141" s="25"/>
      <c r="J141" s="25"/>
      <c r="K141" s="25"/>
      <c r="L141" s="25"/>
      <c r="M141" s="25"/>
      <c r="N141" s="25"/>
      <c r="O141" s="25"/>
      <c r="P141" s="25"/>
      <c r="Q141" s="25"/>
      <c r="R141" s="25"/>
      <c r="S141" s="25"/>
      <c r="T141" s="25"/>
      <c r="U141" s="25"/>
      <c r="V141" s="53">
        <v>28504</v>
      </c>
      <c r="W141" s="25"/>
      <c r="X141" s="5"/>
    </row>
    <row r="142" spans="1:24" ht="15.6" x14ac:dyDescent="0.3">
      <c r="A142" s="24"/>
      <c r="B142" s="25" t="s">
        <v>141</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128</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129</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181</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46</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134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230</v>
      </c>
      <c r="C148" s="25"/>
      <c r="D148" s="25"/>
      <c r="E148" s="25"/>
      <c r="F148" s="25"/>
      <c r="G148" s="25"/>
      <c r="H148" s="25"/>
      <c r="I148" s="25"/>
      <c r="J148" s="25"/>
      <c r="K148" s="25"/>
      <c r="L148" s="25"/>
      <c r="M148" s="25"/>
      <c r="N148" s="25"/>
      <c r="O148" s="25"/>
      <c r="P148" s="25"/>
      <c r="Q148" s="25"/>
      <c r="R148" s="25"/>
      <c r="S148" s="25"/>
      <c r="T148" s="25"/>
      <c r="U148" s="25"/>
      <c r="V148" s="53">
        <v>0</v>
      </c>
      <c r="W148" s="25"/>
      <c r="X148" s="5"/>
      <c r="Y148" s="109"/>
    </row>
    <row r="149" spans="1:25" ht="15.6" x14ac:dyDescent="0.3">
      <c r="A149" s="24"/>
      <c r="B149" s="25" t="s">
        <v>47</v>
      </c>
      <c r="C149" s="25"/>
      <c r="D149" s="25"/>
      <c r="E149" s="25"/>
      <c r="F149" s="25"/>
      <c r="G149" s="25"/>
      <c r="H149" s="25"/>
      <c r="I149" s="25"/>
      <c r="J149" s="25"/>
      <c r="K149" s="25"/>
      <c r="L149" s="25"/>
      <c r="M149" s="25"/>
      <c r="N149" s="25"/>
      <c r="O149" s="25"/>
      <c r="P149" s="25"/>
      <c r="Q149" s="25"/>
      <c r="R149" s="25"/>
      <c r="S149" s="25"/>
      <c r="T149" s="25"/>
      <c r="U149" s="25"/>
      <c r="V149" s="53">
        <f>SUM(V141:V148)</f>
        <v>28504</v>
      </c>
      <c r="W149" s="25"/>
      <c r="X149" s="5"/>
    </row>
    <row r="150" spans="1:25" ht="15.6" x14ac:dyDescent="0.3">
      <c r="A150" s="24"/>
      <c r="B150" s="25"/>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138" t="s">
        <v>269</v>
      </c>
      <c r="C151" s="25"/>
      <c r="D151" s="25"/>
      <c r="E151" s="25"/>
      <c r="F151" s="25"/>
      <c r="G151" s="25"/>
      <c r="H151" s="25"/>
      <c r="I151" s="25"/>
      <c r="J151" s="25"/>
      <c r="K151" s="25"/>
      <c r="L151" s="25"/>
      <c r="M151" s="25"/>
      <c r="N151" s="25"/>
      <c r="O151" s="25"/>
      <c r="P151" s="25"/>
      <c r="Q151" s="25"/>
      <c r="R151" s="25"/>
      <c r="S151" s="25"/>
      <c r="T151" s="25"/>
      <c r="U151" s="25"/>
      <c r="V151" s="53"/>
      <c r="W151" s="25"/>
      <c r="X151" s="5"/>
    </row>
    <row r="152" spans="1:25" ht="15.6" x14ac:dyDescent="0.3">
      <c r="A152" s="24"/>
      <c r="B152" s="25" t="s">
        <v>160</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178</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t="s">
        <v>270</v>
      </c>
      <c r="C154" s="25"/>
      <c r="D154" s="25"/>
      <c r="E154" s="25"/>
      <c r="F154" s="25"/>
      <c r="G154" s="25"/>
      <c r="H154" s="25"/>
      <c r="I154" s="25"/>
      <c r="J154" s="25"/>
      <c r="K154" s="25"/>
      <c r="L154" s="25"/>
      <c r="M154" s="25"/>
      <c r="N154" s="25"/>
      <c r="O154" s="25"/>
      <c r="P154" s="25"/>
      <c r="Q154" s="25"/>
      <c r="R154" s="25"/>
      <c r="S154" s="25"/>
      <c r="T154" s="25"/>
      <c r="U154" s="25"/>
      <c r="V154" s="53">
        <v>0</v>
      </c>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53"/>
      <c r="W155" s="25"/>
      <c r="X155" s="5"/>
    </row>
    <row r="156" spans="1:25" ht="15.6" x14ac:dyDescent="0.3">
      <c r="A156" s="24"/>
      <c r="B156" s="25"/>
      <c r="C156" s="25"/>
      <c r="D156" s="25"/>
      <c r="E156" s="25"/>
      <c r="F156" s="25"/>
      <c r="G156" s="25"/>
      <c r="H156" s="25"/>
      <c r="I156" s="25"/>
      <c r="J156" s="25"/>
      <c r="K156" s="25"/>
      <c r="L156" s="25"/>
      <c r="M156" s="25"/>
      <c r="N156" s="25"/>
      <c r="O156" s="25"/>
      <c r="P156" s="25"/>
      <c r="Q156" s="25"/>
      <c r="R156" s="25"/>
      <c r="S156" s="25"/>
      <c r="T156" s="25"/>
      <c r="U156" s="25"/>
      <c r="V156" s="61"/>
      <c r="W156" s="25"/>
      <c r="X156" s="5"/>
    </row>
    <row r="157" spans="1:25" ht="15.6" x14ac:dyDescent="0.3">
      <c r="A157" s="6"/>
      <c r="B157" s="119" t="s">
        <v>24</v>
      </c>
      <c r="C157" s="8"/>
      <c r="D157" s="8"/>
      <c r="E157" s="8"/>
      <c r="F157" s="8"/>
      <c r="G157" s="8"/>
      <c r="H157" s="8"/>
      <c r="I157" s="8"/>
      <c r="J157" s="8"/>
      <c r="K157" s="8"/>
      <c r="L157" s="8"/>
      <c r="M157" s="8"/>
      <c r="N157" s="8"/>
      <c r="O157" s="8"/>
      <c r="P157" s="8"/>
      <c r="Q157" s="8"/>
      <c r="R157" s="8"/>
      <c r="S157" s="8"/>
      <c r="T157" s="8"/>
      <c r="U157" s="8"/>
      <c r="V157" s="52"/>
      <c r="W157" s="8"/>
      <c r="X157" s="5"/>
    </row>
    <row r="158" spans="1:25" ht="15.6" x14ac:dyDescent="0.3">
      <c r="A158" s="24"/>
      <c r="B158" s="25" t="s">
        <v>48</v>
      </c>
      <c r="C158" s="25"/>
      <c r="D158" s="25"/>
      <c r="E158" s="25"/>
      <c r="F158" s="25"/>
      <c r="G158" s="25"/>
      <c r="H158" s="25"/>
      <c r="I158" s="25"/>
      <c r="J158" s="25"/>
      <c r="K158" s="25"/>
      <c r="L158" s="25"/>
      <c r="M158" s="25"/>
      <c r="N158" s="25"/>
      <c r="O158" s="25"/>
      <c r="P158" s="25"/>
      <c r="Q158" s="25"/>
      <c r="R158" s="25"/>
      <c r="S158" s="25"/>
      <c r="T158" s="25"/>
      <c r="U158" s="25"/>
      <c r="V158" s="59" t="s">
        <v>123</v>
      </c>
      <c r="W158" s="25"/>
      <c r="X158" s="5"/>
    </row>
    <row r="159" spans="1:25" ht="15.6" x14ac:dyDescent="0.3">
      <c r="A159" s="24"/>
      <c r="B159" s="25" t="s">
        <v>49</v>
      </c>
      <c r="C159" s="163"/>
      <c r="D159" s="163"/>
      <c r="E159" s="163"/>
      <c r="F159" s="163"/>
      <c r="G159" s="163"/>
      <c r="H159" s="163"/>
      <c r="I159" s="163"/>
      <c r="J159" s="163"/>
      <c r="K159" s="163"/>
      <c r="L159" s="163"/>
      <c r="M159" s="163"/>
      <c r="N159" s="163"/>
      <c r="O159" s="163"/>
      <c r="P159" s="163"/>
      <c r="Q159" s="163"/>
      <c r="R159" s="163"/>
      <c r="S159" s="163"/>
      <c r="T159" s="163"/>
      <c r="U159" s="163"/>
      <c r="V159" s="59" t="s">
        <v>123</v>
      </c>
      <c r="W159" s="25"/>
      <c r="X159" s="5"/>
    </row>
    <row r="160" spans="1:25" ht="15.6" x14ac:dyDescent="0.3">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t="s">
        <v>51</v>
      </c>
      <c r="C161" s="25"/>
      <c r="D161" s="25"/>
      <c r="E161" s="25"/>
      <c r="F161" s="25"/>
      <c r="G161" s="25"/>
      <c r="H161" s="25"/>
      <c r="I161" s="25"/>
      <c r="J161" s="25"/>
      <c r="K161" s="25"/>
      <c r="L161" s="25"/>
      <c r="M161" s="25"/>
      <c r="N161" s="25"/>
      <c r="O161" s="25"/>
      <c r="P161" s="25"/>
      <c r="Q161" s="25"/>
      <c r="R161" s="25"/>
      <c r="S161" s="25"/>
      <c r="T161" s="25"/>
      <c r="U161" s="25"/>
      <c r="V161" s="59" t="s">
        <v>123</v>
      </c>
      <c r="W161" s="25"/>
      <c r="X161" s="5"/>
    </row>
    <row r="162" spans="1:24" ht="15.6" x14ac:dyDescent="0.3">
      <c r="A162" s="24"/>
      <c r="B162" s="25"/>
      <c r="C162" s="25"/>
      <c r="D162" s="25"/>
      <c r="E162" s="25"/>
      <c r="F162" s="25"/>
      <c r="G162" s="25"/>
      <c r="H162" s="25"/>
      <c r="I162" s="25"/>
      <c r="J162" s="25"/>
      <c r="K162" s="25"/>
      <c r="L162" s="25"/>
      <c r="M162" s="25"/>
      <c r="N162" s="25"/>
      <c r="O162" s="25"/>
      <c r="P162" s="25"/>
      <c r="Q162" s="25"/>
      <c r="R162" s="25"/>
      <c r="S162" s="25"/>
      <c r="T162" s="25"/>
      <c r="U162" s="25"/>
      <c r="V162" s="61"/>
      <c r="W162" s="25"/>
      <c r="X162" s="5"/>
    </row>
    <row r="163" spans="1:24" ht="15.6" x14ac:dyDescent="0.3">
      <c r="A163" s="6"/>
      <c r="B163" s="119" t="s">
        <v>52</v>
      </c>
      <c r="C163" s="8"/>
      <c r="D163" s="8"/>
      <c r="E163" s="8"/>
      <c r="F163" s="8"/>
      <c r="G163" s="8"/>
      <c r="H163" s="8"/>
      <c r="I163" s="8"/>
      <c r="J163" s="8"/>
      <c r="K163" s="8"/>
      <c r="L163" s="8"/>
      <c r="M163" s="8"/>
      <c r="N163" s="8"/>
      <c r="O163" s="8"/>
      <c r="P163" s="8"/>
      <c r="Q163" s="8"/>
      <c r="R163" s="8"/>
      <c r="S163" s="8"/>
      <c r="T163" s="8"/>
      <c r="U163" s="8"/>
      <c r="V163" s="63"/>
      <c r="W163" s="8"/>
      <c r="X163" s="5"/>
    </row>
    <row r="164" spans="1:24" ht="15.6" x14ac:dyDescent="0.3">
      <c r="A164" s="24"/>
      <c r="B164" s="25" t="s">
        <v>53</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4" ht="15.6" x14ac:dyDescent="0.3">
      <c r="A165" s="24"/>
      <c r="B165" s="25" t="s">
        <v>54</v>
      </c>
      <c r="C165" s="25"/>
      <c r="D165" s="25"/>
      <c r="E165" s="25"/>
      <c r="F165" s="25"/>
      <c r="G165" s="25"/>
      <c r="H165" s="25"/>
      <c r="I165" s="25"/>
      <c r="J165" s="25"/>
      <c r="K165" s="25"/>
      <c r="L165" s="25"/>
      <c r="M165" s="25"/>
      <c r="N165" s="25"/>
      <c r="O165" s="25"/>
      <c r="P165" s="25"/>
      <c r="Q165" s="25"/>
      <c r="R165" s="25"/>
      <c r="S165" s="25"/>
      <c r="T165" s="25"/>
      <c r="U165" s="25"/>
      <c r="V165" s="53">
        <f>-V114</f>
        <v>258</v>
      </c>
      <c r="W165" s="25"/>
      <c r="X165" s="5"/>
    </row>
    <row r="166" spans="1:24" ht="15.6" x14ac:dyDescent="0.3">
      <c r="A166" s="24"/>
      <c r="B166" s="25" t="s">
        <v>55</v>
      </c>
      <c r="C166" s="25"/>
      <c r="D166" s="25"/>
      <c r="E166" s="25"/>
      <c r="F166" s="25"/>
      <c r="G166" s="25"/>
      <c r="H166" s="25"/>
      <c r="I166" s="25"/>
      <c r="J166" s="25"/>
      <c r="K166" s="25"/>
      <c r="L166" s="25"/>
      <c r="M166" s="25"/>
      <c r="N166" s="25"/>
      <c r="O166" s="25"/>
      <c r="P166" s="25"/>
      <c r="Q166" s="25"/>
      <c r="R166" s="25"/>
      <c r="S166" s="25"/>
      <c r="T166" s="25"/>
      <c r="U166" s="25"/>
      <c r="V166" s="53">
        <f>V165+V164</f>
        <v>258</v>
      </c>
      <c r="W166" s="25"/>
      <c r="X166" s="5"/>
    </row>
    <row r="167" spans="1:24" ht="15.6" x14ac:dyDescent="0.3">
      <c r="A167" s="24"/>
      <c r="B167" s="25" t="s">
        <v>310</v>
      </c>
      <c r="C167" s="25"/>
      <c r="D167" s="25"/>
      <c r="E167" s="25"/>
      <c r="F167" s="25"/>
      <c r="G167" s="25"/>
      <c r="H167" s="25"/>
      <c r="I167" s="25"/>
      <c r="J167" s="25"/>
      <c r="K167" s="25"/>
      <c r="L167" s="25"/>
      <c r="M167" s="25"/>
      <c r="N167" s="25"/>
      <c r="O167" s="25"/>
      <c r="P167" s="25"/>
      <c r="Q167" s="25"/>
      <c r="R167" s="25"/>
      <c r="S167" s="25"/>
      <c r="T167" s="25"/>
      <c r="U167" s="25"/>
      <c r="V167" s="53">
        <f>V114</f>
        <v>-258</v>
      </c>
      <c r="W167" s="25"/>
      <c r="X167" s="5"/>
    </row>
    <row r="168" spans="1:24" ht="15.6" x14ac:dyDescent="0.3">
      <c r="A168" s="24"/>
      <c r="B168" s="25" t="s">
        <v>56</v>
      </c>
      <c r="C168" s="25"/>
      <c r="D168" s="25"/>
      <c r="E168" s="25"/>
      <c r="F168" s="25"/>
      <c r="G168" s="25"/>
      <c r="H168" s="25"/>
      <c r="I168" s="25"/>
      <c r="J168" s="25"/>
      <c r="K168" s="25"/>
      <c r="L168" s="25"/>
      <c r="M168" s="25"/>
      <c r="N168" s="25"/>
      <c r="O168" s="25"/>
      <c r="P168" s="25"/>
      <c r="Q168" s="25"/>
      <c r="R168" s="25"/>
      <c r="S168" s="25"/>
      <c r="T168" s="25"/>
      <c r="U168" s="25"/>
      <c r="V168" s="53">
        <f>V166+V167</f>
        <v>0</v>
      </c>
      <c r="W168" s="25"/>
      <c r="X168" s="5"/>
    </row>
    <row r="169" spans="1:24" ht="15.6" x14ac:dyDescent="0.3">
      <c r="A169" s="24"/>
      <c r="B169" s="25" t="s">
        <v>282</v>
      </c>
      <c r="C169" s="25"/>
      <c r="D169" s="25"/>
      <c r="E169" s="25"/>
      <c r="F169" s="25"/>
      <c r="G169" s="25"/>
      <c r="H169" s="25"/>
      <c r="I169" s="25"/>
      <c r="J169" s="25"/>
      <c r="K169" s="25"/>
      <c r="L169" s="25"/>
      <c r="M169" s="25"/>
      <c r="N169" s="25"/>
      <c r="O169" s="25"/>
      <c r="P169" s="25"/>
      <c r="Q169" s="25"/>
      <c r="R169" s="25"/>
      <c r="S169" s="25"/>
      <c r="T169" s="25"/>
      <c r="U169" s="25"/>
      <c r="V169" s="53">
        <v>0</v>
      </c>
      <c r="W169" s="25"/>
      <c r="X169" s="5"/>
    </row>
    <row r="170" spans="1:24" ht="16.2" thickBot="1" x14ac:dyDescent="0.35">
      <c r="A170" s="24"/>
      <c r="B170" s="25"/>
      <c r="C170" s="25"/>
      <c r="D170" s="25"/>
      <c r="E170" s="25"/>
      <c r="F170" s="25"/>
      <c r="G170" s="25"/>
      <c r="H170" s="25"/>
      <c r="I170" s="25"/>
      <c r="J170" s="25"/>
      <c r="K170" s="25"/>
      <c r="L170" s="25"/>
      <c r="M170" s="25"/>
      <c r="N170" s="25"/>
      <c r="O170" s="25"/>
      <c r="P170" s="25"/>
      <c r="Q170" s="25"/>
      <c r="R170" s="25"/>
      <c r="S170" s="25"/>
      <c r="T170" s="25"/>
      <c r="U170" s="25"/>
      <c r="V170" s="61"/>
      <c r="W170" s="25"/>
      <c r="X170" s="5"/>
    </row>
    <row r="171" spans="1:24" ht="15.6" x14ac:dyDescent="0.3">
      <c r="A171" s="2"/>
      <c r="B171" s="4"/>
      <c r="C171" s="4"/>
      <c r="D171" s="4"/>
      <c r="E171" s="4"/>
      <c r="F171" s="4"/>
      <c r="G171" s="4"/>
      <c r="H171" s="4"/>
      <c r="I171" s="4"/>
      <c r="J171" s="4"/>
      <c r="K171" s="4"/>
      <c r="L171" s="4"/>
      <c r="M171" s="4"/>
      <c r="N171" s="4"/>
      <c r="O171" s="4"/>
      <c r="P171" s="4"/>
      <c r="Q171" s="4"/>
      <c r="R171" s="4"/>
      <c r="S171" s="4"/>
      <c r="T171" s="4"/>
      <c r="U171" s="4"/>
      <c r="V171" s="50"/>
      <c r="W171" s="4"/>
      <c r="X171" s="5"/>
    </row>
    <row r="172" spans="1:24" ht="15.6" x14ac:dyDescent="0.3">
      <c r="A172" s="6"/>
      <c r="B172" s="119" t="s">
        <v>57</v>
      </c>
      <c r="C172" s="8"/>
      <c r="D172" s="8"/>
      <c r="E172" s="8"/>
      <c r="F172" s="8"/>
      <c r="G172" s="8"/>
      <c r="H172" s="8"/>
      <c r="I172" s="8"/>
      <c r="J172" s="8"/>
      <c r="K172" s="8"/>
      <c r="L172" s="8"/>
      <c r="M172" s="8"/>
      <c r="N172" s="8"/>
      <c r="O172" s="8"/>
      <c r="P172" s="8"/>
      <c r="Q172" s="8"/>
      <c r="R172" s="8"/>
      <c r="S172" s="8"/>
      <c r="T172" s="8"/>
      <c r="U172" s="8"/>
      <c r="V172" s="52"/>
      <c r="W172" s="8"/>
      <c r="X172" s="5"/>
    </row>
    <row r="173" spans="1:24" ht="15.6" x14ac:dyDescent="0.3">
      <c r="A173" s="6"/>
      <c r="B173" s="21"/>
      <c r="C173" s="8"/>
      <c r="D173" s="8"/>
      <c r="E173" s="8"/>
      <c r="F173" s="8"/>
      <c r="G173" s="8"/>
      <c r="H173" s="8"/>
      <c r="I173" s="8"/>
      <c r="J173" s="8"/>
      <c r="K173" s="8"/>
      <c r="L173" s="8"/>
      <c r="M173" s="8"/>
      <c r="N173" s="8"/>
      <c r="O173" s="8"/>
      <c r="P173" s="8"/>
      <c r="Q173" s="8"/>
      <c r="R173" s="8"/>
      <c r="S173" s="8"/>
      <c r="T173" s="8"/>
      <c r="U173" s="8"/>
      <c r="V173" s="52"/>
      <c r="W173" s="8"/>
      <c r="X173" s="5"/>
    </row>
    <row r="174" spans="1:24" ht="15.6" x14ac:dyDescent="0.3">
      <c r="A174" s="24"/>
      <c r="B174" s="25" t="s">
        <v>58</v>
      </c>
      <c r="C174" s="25"/>
      <c r="D174" s="25"/>
      <c r="E174" s="25"/>
      <c r="F174" s="25"/>
      <c r="G174" s="25"/>
      <c r="H174" s="25"/>
      <c r="I174" s="25"/>
      <c r="J174" s="25"/>
      <c r="K174" s="25"/>
      <c r="L174" s="25"/>
      <c r="M174" s="25"/>
      <c r="N174" s="25"/>
      <c r="O174" s="25"/>
      <c r="P174" s="25"/>
      <c r="Q174" s="25"/>
      <c r="R174" s="25"/>
      <c r="S174" s="25"/>
      <c r="T174" s="25"/>
      <c r="U174" s="25"/>
      <c r="V174" s="53">
        <f>V72</f>
        <v>1054577</v>
      </c>
      <c r="W174" s="25"/>
      <c r="X174" s="5"/>
    </row>
    <row r="175" spans="1:24" ht="15.6" x14ac:dyDescent="0.3">
      <c r="A175" s="24"/>
      <c r="B175" s="25" t="s">
        <v>59</v>
      </c>
      <c r="C175" s="25"/>
      <c r="D175" s="25"/>
      <c r="E175" s="25"/>
      <c r="F175" s="25"/>
      <c r="G175" s="25"/>
      <c r="H175" s="25"/>
      <c r="I175" s="25"/>
      <c r="J175" s="25"/>
      <c r="K175" s="25"/>
      <c r="L175" s="25"/>
      <c r="M175" s="25"/>
      <c r="N175" s="25"/>
      <c r="O175" s="25"/>
      <c r="P175" s="25"/>
      <c r="Q175" s="25"/>
      <c r="R175" s="25"/>
      <c r="S175" s="25"/>
      <c r="T175" s="25"/>
      <c r="U175" s="25"/>
      <c r="V175" s="53">
        <f>V85</f>
        <v>1054577</v>
      </c>
      <c r="W175" s="25"/>
      <c r="X175" s="5"/>
    </row>
    <row r="176" spans="1:24" ht="16.2" thickBot="1" x14ac:dyDescent="0.35">
      <c r="A176" s="24"/>
      <c r="B176" s="25"/>
      <c r="C176" s="25"/>
      <c r="D176" s="25"/>
      <c r="E176" s="25"/>
      <c r="F176" s="25"/>
      <c r="G176" s="25"/>
      <c r="H176" s="25"/>
      <c r="I176" s="25"/>
      <c r="J176" s="25"/>
      <c r="K176" s="25"/>
      <c r="L176" s="25"/>
      <c r="M176" s="25"/>
      <c r="N176" s="25"/>
      <c r="O176" s="25"/>
      <c r="P176" s="25"/>
      <c r="Q176" s="25"/>
      <c r="R176" s="25"/>
      <c r="S176" s="25"/>
      <c r="T176" s="25"/>
      <c r="U176" s="25"/>
      <c r="V176" s="61"/>
      <c r="W176" s="25"/>
      <c r="X176" s="5"/>
    </row>
    <row r="177" spans="1:24" ht="15.6" x14ac:dyDescent="0.3">
      <c r="A177" s="2"/>
      <c r="B177" s="4"/>
      <c r="C177" s="4"/>
      <c r="D177" s="4"/>
      <c r="E177" s="4"/>
      <c r="F177" s="4"/>
      <c r="G177" s="4"/>
      <c r="H177" s="4"/>
      <c r="I177" s="4"/>
      <c r="J177" s="4"/>
      <c r="K177" s="4"/>
      <c r="L177" s="4"/>
      <c r="M177" s="4"/>
      <c r="N177" s="4"/>
      <c r="O177" s="4"/>
      <c r="P177" s="4"/>
      <c r="Q177" s="4"/>
      <c r="R177" s="4"/>
      <c r="S177" s="4"/>
      <c r="T177" s="4"/>
      <c r="U177" s="4"/>
      <c r="V177" s="50"/>
      <c r="W177" s="4"/>
      <c r="X177" s="5"/>
    </row>
    <row r="178" spans="1:24" ht="15.6" x14ac:dyDescent="0.3">
      <c r="A178" s="6"/>
      <c r="B178" s="119" t="s">
        <v>60</v>
      </c>
      <c r="C178" s="117"/>
      <c r="D178" s="117"/>
      <c r="E178" s="117"/>
      <c r="F178" s="117"/>
      <c r="G178" s="117"/>
      <c r="H178" s="120"/>
      <c r="I178" s="120"/>
      <c r="J178" s="120"/>
      <c r="K178" s="120"/>
      <c r="L178" s="120"/>
      <c r="M178" s="120"/>
      <c r="N178" s="120"/>
      <c r="O178" s="120"/>
      <c r="P178" s="120"/>
      <c r="Q178" s="120"/>
      <c r="R178" s="120"/>
      <c r="S178" s="120" t="s">
        <v>103</v>
      </c>
      <c r="T178" s="120" t="s">
        <v>182</v>
      </c>
      <c r="U178" s="111"/>
      <c r="V178" s="121" t="s">
        <v>119</v>
      </c>
      <c r="W178" s="10"/>
      <c r="X178" s="5"/>
    </row>
    <row r="179" spans="1:24" ht="15.6" x14ac:dyDescent="0.3">
      <c r="A179" s="24"/>
      <c r="B179" s="25" t="s">
        <v>61</v>
      </c>
      <c r="C179" s="25"/>
      <c r="D179" s="25"/>
      <c r="E179" s="25"/>
      <c r="F179" s="25"/>
      <c r="G179" s="25"/>
      <c r="H179" s="25"/>
      <c r="I179" s="25"/>
      <c r="J179" s="25"/>
      <c r="K179" s="25"/>
      <c r="L179" s="25"/>
      <c r="M179" s="25"/>
      <c r="N179" s="25"/>
      <c r="O179" s="25"/>
      <c r="P179" s="25"/>
      <c r="Q179" s="25"/>
      <c r="R179" s="25"/>
      <c r="S179" s="53">
        <f>+V34*0.16</f>
        <v>240032.80000000002</v>
      </c>
      <c r="T179" s="40"/>
      <c r="U179" s="25"/>
      <c r="V179" s="53"/>
      <c r="W179" s="25"/>
      <c r="X179" s="5"/>
    </row>
    <row r="180" spans="1:24" ht="15.6" x14ac:dyDescent="0.3">
      <c r="A180" s="24"/>
      <c r="B180" s="25" t="s">
        <v>62</v>
      </c>
      <c r="C180" s="25"/>
      <c r="D180" s="25"/>
      <c r="E180" s="25"/>
      <c r="F180" s="25"/>
      <c r="G180" s="25"/>
      <c r="H180" s="25"/>
      <c r="I180" s="25"/>
      <c r="J180" s="25"/>
      <c r="K180" s="25"/>
      <c r="L180" s="25"/>
      <c r="M180" s="25"/>
      <c r="N180" s="25"/>
      <c r="O180" s="25"/>
      <c r="P180" s="25"/>
      <c r="Q180" s="25"/>
      <c r="R180" s="25"/>
      <c r="S180" s="53">
        <f>+'July 09'!S181</f>
        <v>44800</v>
      </c>
      <c r="T180" s="53">
        <f>+'July 09'!T181</f>
        <v>6171</v>
      </c>
      <c r="U180" s="25"/>
      <c r="V180" s="53">
        <f>S180+T180</f>
        <v>50971</v>
      </c>
      <c r="W180" s="25"/>
      <c r="X180" s="5"/>
    </row>
    <row r="181" spans="1:24" ht="15.6" x14ac:dyDescent="0.3">
      <c r="A181" s="24"/>
      <c r="B181" s="25" t="s">
        <v>63</v>
      </c>
      <c r="C181" s="25"/>
      <c r="D181" s="25"/>
      <c r="E181" s="25"/>
      <c r="F181" s="25"/>
      <c r="G181" s="25"/>
      <c r="H181" s="25"/>
      <c r="I181" s="25"/>
      <c r="J181" s="25"/>
      <c r="K181" s="25"/>
      <c r="L181" s="25"/>
      <c r="M181" s="25"/>
      <c r="N181" s="25"/>
      <c r="O181" s="25"/>
      <c r="P181" s="25"/>
      <c r="Q181" s="25"/>
      <c r="R181" s="25"/>
      <c r="S181" s="34">
        <f>1507+81</f>
        <v>1588</v>
      </c>
      <c r="T181" s="34">
        <v>82</v>
      </c>
      <c r="U181" s="25"/>
      <c r="V181" s="53">
        <f>S181+T181</f>
        <v>1670</v>
      </c>
      <c r="W181" s="25"/>
      <c r="X181" s="5"/>
    </row>
    <row r="182" spans="1:24" ht="15.6" x14ac:dyDescent="0.3">
      <c r="A182" s="24"/>
      <c r="B182" s="25" t="s">
        <v>64</v>
      </c>
      <c r="C182" s="25"/>
      <c r="D182" s="25"/>
      <c r="E182" s="25"/>
      <c r="F182" s="25"/>
      <c r="G182" s="25"/>
      <c r="H182" s="25"/>
      <c r="I182" s="25"/>
      <c r="J182" s="25"/>
      <c r="K182" s="25"/>
      <c r="L182" s="25"/>
      <c r="M182" s="25"/>
      <c r="N182" s="25"/>
      <c r="O182" s="25"/>
      <c r="P182" s="25"/>
      <c r="Q182" s="25"/>
      <c r="R182" s="25"/>
      <c r="S182" s="53">
        <f>S180+S181</f>
        <v>46388</v>
      </c>
      <c r="T182" s="53">
        <f>T181+T180</f>
        <v>6253</v>
      </c>
      <c r="U182" s="25"/>
      <c r="V182" s="53">
        <f>S182+T182</f>
        <v>52641</v>
      </c>
      <c r="W182" s="25"/>
      <c r="X182" s="5"/>
    </row>
    <row r="183" spans="1:24" ht="15.6" x14ac:dyDescent="0.3">
      <c r="A183" s="24"/>
      <c r="B183" s="25" t="s">
        <v>65</v>
      </c>
      <c r="C183" s="25"/>
      <c r="D183" s="25"/>
      <c r="E183" s="25"/>
      <c r="F183" s="25"/>
      <c r="G183" s="25"/>
      <c r="H183" s="25"/>
      <c r="I183" s="25"/>
      <c r="J183" s="25"/>
      <c r="K183" s="25"/>
      <c r="L183" s="25"/>
      <c r="M183" s="25"/>
      <c r="N183" s="25"/>
      <c r="O183" s="25"/>
      <c r="P183" s="25"/>
      <c r="Q183" s="25"/>
      <c r="R183" s="25"/>
      <c r="S183" s="53">
        <f>S179-S182-T182</f>
        <v>187391.80000000002</v>
      </c>
      <c r="T183" s="40"/>
      <c r="U183" s="25"/>
      <c r="V183" s="53"/>
      <c r="W183" s="25"/>
      <c r="X183" s="5"/>
    </row>
    <row r="184" spans="1:24" ht="16.2" thickBot="1" x14ac:dyDescent="0.35">
      <c r="A184" s="24"/>
      <c r="B184" s="25"/>
      <c r="C184" s="25"/>
      <c r="D184" s="25"/>
      <c r="E184" s="25"/>
      <c r="F184" s="25"/>
      <c r="G184" s="25"/>
      <c r="H184" s="25"/>
      <c r="I184" s="25"/>
      <c r="J184" s="25"/>
      <c r="K184" s="25"/>
      <c r="L184" s="25"/>
      <c r="M184" s="25"/>
      <c r="N184" s="25"/>
      <c r="O184" s="25"/>
      <c r="P184" s="25"/>
      <c r="Q184" s="25"/>
      <c r="R184" s="25"/>
      <c r="S184" s="25"/>
      <c r="T184" s="25"/>
      <c r="U184" s="25"/>
      <c r="V184" s="61"/>
      <c r="W184" s="25"/>
      <c r="X184" s="5"/>
    </row>
    <row r="185" spans="1:24" ht="15.6" x14ac:dyDescent="0.3">
      <c r="A185" s="2"/>
      <c r="B185" s="4"/>
      <c r="C185" s="4"/>
      <c r="D185" s="4"/>
      <c r="E185" s="4"/>
      <c r="F185" s="4"/>
      <c r="G185" s="4"/>
      <c r="H185" s="4"/>
      <c r="I185" s="4"/>
      <c r="J185" s="4"/>
      <c r="K185" s="4"/>
      <c r="L185" s="4"/>
      <c r="M185" s="4"/>
      <c r="N185" s="4"/>
      <c r="O185" s="4"/>
      <c r="P185" s="4"/>
      <c r="Q185" s="4"/>
      <c r="R185" s="4"/>
      <c r="S185" s="4"/>
      <c r="T185" s="4"/>
      <c r="U185" s="4"/>
      <c r="V185" s="50"/>
      <c r="W185" s="4"/>
      <c r="X185" s="5"/>
    </row>
    <row r="186" spans="1:24" ht="15.6" x14ac:dyDescent="0.3">
      <c r="A186" s="6"/>
      <c r="B186" s="119" t="s">
        <v>66</v>
      </c>
      <c r="C186" s="8"/>
      <c r="D186" s="8"/>
      <c r="E186" s="8"/>
      <c r="F186" s="8"/>
      <c r="G186" s="8"/>
      <c r="H186" s="8"/>
      <c r="I186" s="8"/>
      <c r="J186" s="8"/>
      <c r="K186" s="8"/>
      <c r="L186" s="8"/>
      <c r="M186" s="8"/>
      <c r="N186" s="8"/>
      <c r="O186" s="8"/>
      <c r="P186" s="8"/>
      <c r="Q186" s="8"/>
      <c r="R186" s="8"/>
      <c r="S186" s="8"/>
      <c r="T186" s="8"/>
      <c r="U186" s="8"/>
      <c r="V186" s="65"/>
      <c r="W186" s="8"/>
      <c r="X186" s="5"/>
    </row>
    <row r="187" spans="1:24" ht="15.6" x14ac:dyDescent="0.3">
      <c r="A187" s="24"/>
      <c r="B187" s="25" t="s">
        <v>67</v>
      </c>
      <c r="C187" s="25"/>
      <c r="D187" s="25"/>
      <c r="E187" s="25"/>
      <c r="F187" s="25"/>
      <c r="G187" s="25"/>
      <c r="H187" s="25"/>
      <c r="I187" s="25"/>
      <c r="J187" s="25"/>
      <c r="K187" s="25"/>
      <c r="L187" s="25"/>
      <c r="M187" s="25"/>
      <c r="N187" s="25"/>
      <c r="O187" s="25"/>
      <c r="P187" s="25"/>
      <c r="Q187" s="25"/>
      <c r="R187" s="25"/>
      <c r="S187" s="25"/>
      <c r="T187" s="25"/>
      <c r="U187" s="25"/>
      <c r="V187" s="59">
        <f>(V101+V103+V104+V105+V106)/-(V107+V108)</f>
        <v>3.1217847769028872</v>
      </c>
      <c r="W187" s="25" t="s">
        <v>120</v>
      </c>
      <c r="X187" s="5"/>
    </row>
    <row r="188" spans="1:24" ht="15.6" x14ac:dyDescent="0.3">
      <c r="A188" s="24"/>
      <c r="B188" s="25" t="s">
        <v>68</v>
      </c>
      <c r="C188" s="25"/>
      <c r="D188" s="25"/>
      <c r="E188" s="25"/>
      <c r="F188" s="25"/>
      <c r="G188" s="25"/>
      <c r="H188" s="25"/>
      <c r="I188" s="25"/>
      <c r="J188" s="25"/>
      <c r="K188" s="25"/>
      <c r="L188" s="25"/>
      <c r="M188" s="25"/>
      <c r="N188" s="25"/>
      <c r="O188" s="25"/>
      <c r="P188" s="25"/>
      <c r="Q188" s="25"/>
      <c r="R188" s="25"/>
      <c r="S188" s="25"/>
      <c r="T188" s="25"/>
      <c r="U188" s="25"/>
      <c r="V188" s="66">
        <v>1.45</v>
      </c>
      <c r="W188" s="25" t="s">
        <v>120</v>
      </c>
      <c r="X188" s="5"/>
    </row>
    <row r="189" spans="1:24" ht="15.6" x14ac:dyDescent="0.3">
      <c r="A189" s="24"/>
      <c r="B189" s="25" t="s">
        <v>69</v>
      </c>
      <c r="C189" s="25"/>
      <c r="D189" s="25"/>
      <c r="E189" s="25"/>
      <c r="F189" s="25"/>
      <c r="G189" s="25"/>
      <c r="H189" s="25"/>
      <c r="I189" s="25"/>
      <c r="J189" s="25"/>
      <c r="K189" s="25"/>
      <c r="L189" s="25"/>
      <c r="M189" s="25"/>
      <c r="N189" s="25"/>
      <c r="O189" s="25"/>
      <c r="P189" s="25"/>
      <c r="Q189" s="25"/>
      <c r="R189" s="25"/>
      <c r="S189" s="25"/>
      <c r="T189" s="25"/>
      <c r="U189" s="25"/>
      <c r="V189" s="59">
        <f>(V101+V103+V104+V105+V106+V107+V108)/-(V109+V110)</f>
        <v>14.435714285714285</v>
      </c>
      <c r="W189" s="25" t="s">
        <v>120</v>
      </c>
      <c r="X189" s="5"/>
    </row>
    <row r="190" spans="1:24" ht="15.6" x14ac:dyDescent="0.3">
      <c r="A190" s="24"/>
      <c r="B190" s="25" t="s">
        <v>70</v>
      </c>
      <c r="C190" s="25"/>
      <c r="D190" s="25"/>
      <c r="E190" s="25"/>
      <c r="F190" s="25"/>
      <c r="G190" s="25"/>
      <c r="H190" s="25"/>
      <c r="I190" s="25"/>
      <c r="J190" s="25"/>
      <c r="K190" s="25"/>
      <c r="L190" s="25"/>
      <c r="M190" s="25"/>
      <c r="N190" s="25"/>
      <c r="O190" s="25"/>
      <c r="P190" s="25"/>
      <c r="Q190" s="25"/>
      <c r="R190" s="25"/>
      <c r="S190" s="25"/>
      <c r="T190" s="25"/>
      <c r="U190" s="25"/>
      <c r="V190" s="66">
        <v>4.3600000000000003</v>
      </c>
      <c r="W190" s="25" t="s">
        <v>120</v>
      </c>
      <c r="X190" s="5"/>
    </row>
    <row r="191" spans="1:24" ht="15.6" x14ac:dyDescent="0.3">
      <c r="A191" s="24"/>
      <c r="B191" s="25" t="s">
        <v>204</v>
      </c>
      <c r="C191" s="25"/>
      <c r="D191" s="25"/>
      <c r="E191" s="25"/>
      <c r="F191" s="25"/>
      <c r="G191" s="25"/>
      <c r="H191" s="25"/>
      <c r="I191" s="25"/>
      <c r="J191" s="25"/>
      <c r="K191" s="25"/>
      <c r="L191" s="25"/>
      <c r="M191" s="25"/>
      <c r="N191" s="25"/>
      <c r="O191" s="25"/>
      <c r="P191" s="25"/>
      <c r="Q191" s="25"/>
      <c r="R191" s="25"/>
      <c r="S191" s="25"/>
      <c r="T191" s="25"/>
      <c r="U191" s="25"/>
      <c r="V191" s="59">
        <f>(V101+V103+V104+V105+V106+V107+V108+V109+V110)/-(V111+V112)</f>
        <v>13.532374100719425</v>
      </c>
      <c r="W191" s="25" t="s">
        <v>120</v>
      </c>
      <c r="X191" s="5"/>
    </row>
    <row r="192" spans="1:24" ht="15.6" x14ac:dyDescent="0.3">
      <c r="A192" s="24"/>
      <c r="B192" s="25" t="s">
        <v>205</v>
      </c>
      <c r="C192" s="25"/>
      <c r="D192" s="25"/>
      <c r="E192" s="25"/>
      <c r="F192" s="25"/>
      <c r="G192" s="25"/>
      <c r="H192" s="25"/>
      <c r="I192" s="25"/>
      <c r="J192" s="25"/>
      <c r="K192" s="25"/>
      <c r="L192" s="25"/>
      <c r="M192" s="25"/>
      <c r="N192" s="25"/>
      <c r="O192" s="25"/>
      <c r="P192" s="25"/>
      <c r="Q192" s="25"/>
      <c r="R192" s="25"/>
      <c r="S192" s="25"/>
      <c r="T192" s="25"/>
      <c r="U192" s="25"/>
      <c r="V192" s="66">
        <v>3.98</v>
      </c>
      <c r="W192" s="25" t="s">
        <v>120</v>
      </c>
      <c r="X192" s="5"/>
    </row>
    <row r="193" spans="1:24" ht="15.6" x14ac:dyDescent="0.3">
      <c r="A193" s="24"/>
      <c r="B193" s="25"/>
      <c r="C193" s="25"/>
      <c r="D193" s="25"/>
      <c r="E193" s="25"/>
      <c r="F193" s="25"/>
      <c r="G193" s="25"/>
      <c r="H193" s="25"/>
      <c r="I193" s="25"/>
      <c r="J193" s="25"/>
      <c r="K193" s="25"/>
      <c r="L193" s="25"/>
      <c r="M193" s="25"/>
      <c r="N193" s="25"/>
      <c r="O193" s="25"/>
      <c r="P193" s="25"/>
      <c r="Q193" s="25"/>
      <c r="R193" s="25"/>
      <c r="S193" s="25"/>
      <c r="T193" s="25"/>
      <c r="U193" s="25"/>
      <c r="V193" s="25"/>
      <c r="W193" s="25"/>
      <c r="X193" s="5"/>
    </row>
    <row r="194" spans="1:24" ht="15.6" x14ac:dyDescent="0.3">
      <c r="A194" s="24"/>
      <c r="B194" s="25"/>
      <c r="C194" s="25"/>
      <c r="D194" s="25"/>
      <c r="E194" s="25"/>
      <c r="F194" s="25"/>
      <c r="G194" s="25"/>
      <c r="H194" s="25"/>
      <c r="I194" s="25"/>
      <c r="J194" s="25"/>
      <c r="K194" s="25"/>
      <c r="L194" s="25"/>
      <c r="M194" s="25"/>
      <c r="N194" s="25"/>
      <c r="O194" s="25"/>
      <c r="P194" s="25"/>
      <c r="Q194" s="25"/>
      <c r="R194" s="25"/>
      <c r="S194" s="25"/>
      <c r="T194" s="25"/>
      <c r="U194" s="25"/>
      <c r="V194" s="25"/>
      <c r="W194" s="25"/>
      <c r="X194" s="5"/>
    </row>
    <row r="195" spans="1:24" ht="15.6" x14ac:dyDescent="0.3">
      <c r="A195" s="6"/>
      <c r="B195" s="8"/>
      <c r="C195" s="8"/>
      <c r="D195" s="8"/>
      <c r="E195" s="8"/>
      <c r="F195" s="8"/>
      <c r="G195" s="8"/>
      <c r="H195" s="8"/>
      <c r="I195" s="8"/>
      <c r="J195" s="8"/>
      <c r="K195" s="8"/>
      <c r="L195" s="8"/>
      <c r="M195" s="8"/>
      <c r="N195" s="8"/>
      <c r="O195" s="8"/>
      <c r="P195" s="8"/>
      <c r="Q195" s="8"/>
      <c r="R195" s="8"/>
      <c r="S195" s="8"/>
      <c r="T195" s="8"/>
      <c r="U195" s="8"/>
      <c r="V195" s="8"/>
      <c r="W195" s="8"/>
      <c r="X195" s="5"/>
    </row>
    <row r="196" spans="1:24" ht="18" thickBot="1" x14ac:dyDescent="0.35">
      <c r="A196" s="101"/>
      <c r="B196" s="102" t="str">
        <f>B136</f>
        <v>PM12 INVESTOR REPORT QUARTER ENDING OCTOBER 2009</v>
      </c>
      <c r="C196" s="165"/>
      <c r="D196" s="165"/>
      <c r="E196" s="165"/>
      <c r="F196" s="165"/>
      <c r="G196" s="165"/>
      <c r="H196" s="165"/>
      <c r="I196" s="165"/>
      <c r="J196" s="165"/>
      <c r="K196" s="165"/>
      <c r="L196" s="165"/>
      <c r="M196" s="165"/>
      <c r="N196" s="165"/>
      <c r="O196" s="165"/>
      <c r="P196" s="165"/>
      <c r="Q196" s="165"/>
      <c r="R196" s="165"/>
      <c r="S196" s="165"/>
      <c r="T196" s="165"/>
      <c r="U196" s="165"/>
      <c r="V196" s="165"/>
      <c r="W196" s="166"/>
      <c r="X196" s="5"/>
    </row>
    <row r="197" spans="1:24" ht="15.6" x14ac:dyDescent="0.3">
      <c r="A197" s="67"/>
      <c r="B197" s="60" t="s">
        <v>71</v>
      </c>
      <c r="C197" s="68"/>
      <c r="D197" s="68"/>
      <c r="E197" s="68"/>
      <c r="F197" s="68"/>
      <c r="G197" s="69"/>
      <c r="H197" s="69"/>
      <c r="I197" s="69"/>
      <c r="J197" s="69"/>
      <c r="K197" s="69"/>
      <c r="L197" s="69"/>
      <c r="M197" s="69"/>
      <c r="N197" s="69"/>
      <c r="O197" s="69"/>
      <c r="P197" s="69"/>
      <c r="Q197" s="69"/>
      <c r="R197" s="69"/>
      <c r="S197" s="69"/>
      <c r="T197" s="70">
        <v>40116</v>
      </c>
      <c r="U197" s="4"/>
      <c r="V197" s="4"/>
      <c r="W197" s="4"/>
      <c r="X197" s="5"/>
    </row>
    <row r="198" spans="1:24" ht="15.6" x14ac:dyDescent="0.3">
      <c r="A198" s="71"/>
      <c r="B198" s="72"/>
      <c r="C198" s="73"/>
      <c r="D198" s="73"/>
      <c r="E198" s="73"/>
      <c r="F198" s="73"/>
      <c r="G198" s="74"/>
      <c r="H198" s="74"/>
      <c r="I198" s="74"/>
      <c r="J198" s="74"/>
      <c r="K198" s="74"/>
      <c r="L198" s="74"/>
      <c r="M198" s="74"/>
      <c r="N198" s="74"/>
      <c r="O198" s="74"/>
      <c r="P198" s="74"/>
      <c r="Q198" s="74"/>
      <c r="R198" s="74"/>
      <c r="S198" s="74"/>
      <c r="T198" s="74"/>
      <c r="U198" s="8"/>
      <c r="V198" s="8"/>
      <c r="W198" s="8"/>
      <c r="X198" s="5"/>
    </row>
    <row r="199" spans="1:24" ht="15.6" x14ac:dyDescent="0.3">
      <c r="A199" s="75"/>
      <c r="B199" s="76" t="s">
        <v>72</v>
      </c>
      <c r="C199" s="77"/>
      <c r="D199" s="77"/>
      <c r="E199" s="77"/>
      <c r="F199" s="77"/>
      <c r="G199" s="64"/>
      <c r="H199" s="64"/>
      <c r="I199" s="64"/>
      <c r="J199" s="64"/>
      <c r="K199" s="64"/>
      <c r="L199" s="64"/>
      <c r="M199" s="64"/>
      <c r="N199" s="64"/>
      <c r="O199" s="64"/>
      <c r="P199" s="64"/>
      <c r="Q199" s="64"/>
      <c r="R199" s="64"/>
      <c r="S199" s="64"/>
      <c r="T199" s="78">
        <v>5.2060000000000002E-2</v>
      </c>
      <c r="U199" s="25"/>
      <c r="V199" s="25"/>
      <c r="W199" s="25"/>
      <c r="X199" s="5"/>
    </row>
    <row r="200" spans="1:24" ht="15.6" x14ac:dyDescent="0.3">
      <c r="A200" s="75"/>
      <c r="B200" s="76" t="s">
        <v>156</v>
      </c>
      <c r="C200" s="77"/>
      <c r="D200" s="77"/>
      <c r="E200" s="77"/>
      <c r="F200" s="77"/>
      <c r="G200" s="64"/>
      <c r="H200" s="64"/>
      <c r="I200" s="64"/>
      <c r="J200" s="64"/>
      <c r="K200" s="64"/>
      <c r="L200" s="64"/>
      <c r="M200" s="64"/>
      <c r="N200" s="64"/>
      <c r="O200" s="64"/>
      <c r="P200" s="64"/>
      <c r="Q200" s="64"/>
      <c r="R200" s="64"/>
      <c r="S200" s="64"/>
      <c r="T200" s="39">
        <f>'Oct 06'!T197</f>
        <v>4.8538814772447772E-2</v>
      </c>
      <c r="U200" s="25"/>
      <c r="V200" s="25"/>
      <c r="W200" s="25"/>
      <c r="X200" s="5"/>
    </row>
    <row r="201" spans="1:24" ht="15.6" x14ac:dyDescent="0.3">
      <c r="A201" s="75"/>
      <c r="B201" s="76" t="s">
        <v>73</v>
      </c>
      <c r="C201" s="77"/>
      <c r="D201" s="77"/>
      <c r="E201" s="77"/>
      <c r="F201" s="77"/>
      <c r="G201" s="64"/>
      <c r="H201" s="64"/>
      <c r="I201" s="64"/>
      <c r="J201" s="64"/>
      <c r="K201" s="64"/>
      <c r="L201" s="64"/>
      <c r="M201" s="64"/>
      <c r="N201" s="64"/>
      <c r="O201" s="64"/>
      <c r="P201" s="64"/>
      <c r="Q201" s="64"/>
      <c r="R201" s="64"/>
      <c r="S201" s="64"/>
      <c r="T201" s="78">
        <f>T199-T200</f>
        <v>3.5211852275522301E-3</v>
      </c>
      <c r="U201" s="25"/>
      <c r="V201" s="25"/>
      <c r="W201" s="25"/>
      <c r="X201" s="5"/>
    </row>
    <row r="202" spans="1:24" ht="15.6" x14ac:dyDescent="0.3">
      <c r="A202" s="75"/>
      <c r="B202" s="76" t="s">
        <v>74</v>
      </c>
      <c r="C202" s="77"/>
      <c r="D202" s="77"/>
      <c r="E202" s="77"/>
      <c r="F202" s="77"/>
      <c r="G202" s="64"/>
      <c r="H202" s="64"/>
      <c r="I202" s="64"/>
      <c r="J202" s="64"/>
      <c r="K202" s="64"/>
      <c r="L202" s="64"/>
      <c r="M202" s="64"/>
      <c r="N202" s="64"/>
      <c r="O202" s="64"/>
      <c r="P202" s="64"/>
      <c r="Q202" s="64"/>
      <c r="R202" s="64"/>
      <c r="S202" s="64"/>
      <c r="T202" s="78">
        <v>2.7740000000000001E-2</v>
      </c>
      <c r="U202" s="25"/>
      <c r="V202" s="25"/>
      <c r="W202" s="25"/>
      <c r="X202" s="5"/>
    </row>
    <row r="203" spans="1:24" ht="15.6" x14ac:dyDescent="0.3">
      <c r="A203" s="75"/>
      <c r="B203" s="76" t="s">
        <v>225</v>
      </c>
      <c r="C203" s="77"/>
      <c r="D203" s="77"/>
      <c r="E203" s="77"/>
      <c r="F203" s="77"/>
      <c r="G203" s="64"/>
      <c r="H203" s="64"/>
      <c r="I203" s="64"/>
      <c r="J203" s="64"/>
      <c r="K203" s="64"/>
      <c r="L203" s="64"/>
      <c r="M203" s="64"/>
      <c r="N203" s="64"/>
      <c r="O203" s="64"/>
      <c r="P203" s="64"/>
      <c r="Q203" s="64"/>
      <c r="R203" s="64"/>
      <c r="S203" s="64"/>
      <c r="T203" s="78">
        <f>V43</f>
        <v>9.3231456283779119E-3</v>
      </c>
      <c r="U203" s="25"/>
      <c r="V203" s="25"/>
      <c r="W203" s="25"/>
      <c r="X203" s="5"/>
    </row>
    <row r="204" spans="1:24" ht="15.6" x14ac:dyDescent="0.3">
      <c r="A204" s="75"/>
      <c r="B204" s="76" t="s">
        <v>75</v>
      </c>
      <c r="C204" s="77"/>
      <c r="D204" s="77"/>
      <c r="E204" s="77"/>
      <c r="F204" s="77"/>
      <c r="G204" s="64"/>
      <c r="H204" s="64"/>
      <c r="I204" s="64"/>
      <c r="J204" s="64"/>
      <c r="K204" s="64"/>
      <c r="L204" s="64"/>
      <c r="M204" s="64"/>
      <c r="N204" s="64"/>
      <c r="O204" s="64"/>
      <c r="P204" s="64"/>
      <c r="Q204" s="64"/>
      <c r="R204" s="64"/>
      <c r="S204" s="64"/>
      <c r="T204" s="78">
        <f>T202-T203</f>
        <v>1.8416854371622091E-2</v>
      </c>
      <c r="U204" s="25"/>
      <c r="V204" s="25"/>
      <c r="W204" s="25"/>
      <c r="X204" s="5"/>
    </row>
    <row r="205" spans="1:24" ht="15.6" x14ac:dyDescent="0.3">
      <c r="A205" s="75"/>
      <c r="B205" s="76" t="s">
        <v>271</v>
      </c>
      <c r="C205" s="77"/>
      <c r="D205" s="77"/>
      <c r="E205" s="77"/>
      <c r="F205" s="77"/>
      <c r="G205" s="64"/>
      <c r="H205" s="64"/>
      <c r="I205" s="64"/>
      <c r="J205" s="64"/>
      <c r="K205" s="64"/>
      <c r="L205" s="64"/>
      <c r="M205" s="64"/>
      <c r="N205" s="64"/>
      <c r="O205" s="64"/>
      <c r="P205" s="64"/>
      <c r="Q205" s="64"/>
      <c r="R205" s="64"/>
      <c r="S205" s="64"/>
      <c r="T205" s="78">
        <f>+V101/N72</f>
        <v>7.9639062672479752E-3</v>
      </c>
      <c r="U205" s="25"/>
      <c r="V205" s="25"/>
      <c r="W205" s="25"/>
      <c r="X205" s="5"/>
    </row>
    <row r="206" spans="1:24" ht="15.6" x14ac:dyDescent="0.3">
      <c r="A206" s="75"/>
      <c r="B206" s="76" t="s">
        <v>214</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215</v>
      </c>
      <c r="C207" s="77"/>
      <c r="D207" s="77"/>
      <c r="E207" s="77"/>
      <c r="F207" s="77"/>
      <c r="G207" s="64"/>
      <c r="H207" s="64"/>
      <c r="I207" s="64"/>
      <c r="J207" s="64"/>
      <c r="K207" s="64"/>
      <c r="L207" s="64"/>
      <c r="M207" s="64"/>
      <c r="N207" s="64"/>
      <c r="O207" s="64"/>
      <c r="P207" s="64"/>
      <c r="Q207" s="64"/>
      <c r="R207" s="64"/>
      <c r="S207" s="64"/>
      <c r="T207" s="129">
        <v>50710</v>
      </c>
      <c r="U207" s="25"/>
      <c r="V207" s="25"/>
      <c r="W207" s="25"/>
      <c r="X207" s="5"/>
    </row>
    <row r="208" spans="1:24" ht="15.6" x14ac:dyDescent="0.3">
      <c r="A208" s="75"/>
      <c r="B208" s="76" t="s">
        <v>216</v>
      </c>
      <c r="C208" s="77"/>
      <c r="D208" s="77"/>
      <c r="E208" s="77"/>
      <c r="F208" s="77"/>
      <c r="G208" s="64"/>
      <c r="H208" s="64"/>
      <c r="I208" s="64"/>
      <c r="J208" s="64"/>
      <c r="K208" s="64"/>
      <c r="L208" s="64"/>
      <c r="M208" s="64"/>
      <c r="N208" s="64"/>
      <c r="O208" s="64"/>
      <c r="P208" s="64"/>
      <c r="Q208" s="64"/>
      <c r="R208" s="64"/>
      <c r="S208" s="64"/>
      <c r="T208" s="129">
        <v>50710</v>
      </c>
      <c r="U208" s="25"/>
      <c r="V208" s="25"/>
      <c r="W208" s="25"/>
      <c r="X208" s="5"/>
    </row>
    <row r="209" spans="1:24" ht="15.6" x14ac:dyDescent="0.3">
      <c r="A209" s="75"/>
      <c r="B209" s="76" t="s">
        <v>76</v>
      </c>
      <c r="C209" s="77"/>
      <c r="D209" s="77"/>
      <c r="E209" s="77"/>
      <c r="F209" s="77"/>
      <c r="G209" s="64"/>
      <c r="H209" s="64"/>
      <c r="I209" s="64"/>
      <c r="J209" s="64"/>
      <c r="K209" s="64"/>
      <c r="L209" s="64"/>
      <c r="M209" s="64"/>
      <c r="N209" s="64"/>
      <c r="O209" s="64"/>
      <c r="P209" s="64"/>
      <c r="Q209" s="64"/>
      <c r="R209" s="64"/>
      <c r="S209" s="64"/>
      <c r="T209" s="133">
        <v>21.06</v>
      </c>
      <c r="U209" s="25" t="s">
        <v>115</v>
      </c>
      <c r="V209" s="25"/>
      <c r="W209" s="25"/>
      <c r="X209" s="5"/>
    </row>
    <row r="210" spans="1:24" ht="15.6" x14ac:dyDescent="0.3">
      <c r="A210" s="75"/>
      <c r="B210" s="76" t="s">
        <v>77</v>
      </c>
      <c r="C210" s="77"/>
      <c r="D210" s="77"/>
      <c r="E210" s="77"/>
      <c r="F210" s="77"/>
      <c r="G210" s="64"/>
      <c r="H210" s="64"/>
      <c r="I210" s="64"/>
      <c r="J210" s="64"/>
      <c r="K210" s="64"/>
      <c r="L210" s="64"/>
      <c r="M210" s="64"/>
      <c r="N210" s="64"/>
      <c r="O210" s="64"/>
      <c r="P210" s="64"/>
      <c r="Q210" s="64"/>
      <c r="R210" s="64"/>
      <c r="S210" s="64"/>
      <c r="T210" s="133">
        <v>17.89</v>
      </c>
      <c r="U210" s="25" t="s">
        <v>115</v>
      </c>
      <c r="V210" s="25"/>
      <c r="W210" s="25"/>
      <c r="X210" s="5"/>
    </row>
    <row r="211" spans="1:24" ht="15.6" x14ac:dyDescent="0.3">
      <c r="A211" s="75"/>
      <c r="B211" s="76" t="s">
        <v>78</v>
      </c>
      <c r="C211" s="77"/>
      <c r="D211" s="77"/>
      <c r="E211" s="77"/>
      <c r="F211" s="77"/>
      <c r="G211" s="64"/>
      <c r="H211" s="64"/>
      <c r="I211" s="64"/>
      <c r="J211" s="64"/>
      <c r="K211" s="64"/>
      <c r="L211" s="64"/>
      <c r="M211" s="64"/>
      <c r="N211" s="64"/>
      <c r="O211" s="64"/>
      <c r="P211" s="64"/>
      <c r="Q211" s="64"/>
      <c r="R211" s="64"/>
      <c r="S211" s="64"/>
      <c r="T211" s="78">
        <f>+P69/N69</f>
        <v>6.620392166482531E-3</v>
      </c>
      <c r="U211" s="25"/>
      <c r="V211" s="25"/>
      <c r="W211" s="25"/>
      <c r="X211" s="5"/>
    </row>
    <row r="212" spans="1:24" ht="15.6" x14ac:dyDescent="0.3">
      <c r="A212" s="75"/>
      <c r="B212" s="76" t="s">
        <v>79</v>
      </c>
      <c r="C212" s="77"/>
      <c r="D212" s="77"/>
      <c r="E212" s="77"/>
      <c r="F212" s="77"/>
      <c r="G212" s="64"/>
      <c r="H212" s="64"/>
      <c r="I212" s="64"/>
      <c r="J212" s="64"/>
      <c r="K212" s="64"/>
      <c r="L212" s="64"/>
      <c r="M212" s="64"/>
      <c r="N212" s="64"/>
      <c r="O212" s="64"/>
      <c r="P212" s="64"/>
      <c r="Q212" s="64"/>
      <c r="R212" s="64"/>
      <c r="S212" s="64"/>
      <c r="T212" s="78">
        <v>0.11260000000000001</v>
      </c>
      <c r="U212" s="25"/>
      <c r="V212" s="25"/>
      <c r="W212" s="25"/>
      <c r="X212" s="5"/>
    </row>
    <row r="213" spans="1:24" ht="15.6" x14ac:dyDescent="0.3">
      <c r="A213" s="75"/>
      <c r="B213" s="76"/>
      <c r="C213" s="76"/>
      <c r="D213" s="76"/>
      <c r="E213" s="76"/>
      <c r="F213" s="76"/>
      <c r="G213" s="25"/>
      <c r="H213" s="25"/>
      <c r="I213" s="25"/>
      <c r="J213" s="25"/>
      <c r="K213" s="25"/>
      <c r="L213" s="25"/>
      <c r="M213" s="25"/>
      <c r="N213" s="25"/>
      <c r="O213" s="25"/>
      <c r="P213" s="25"/>
      <c r="Q213" s="25"/>
      <c r="R213" s="25"/>
      <c r="S213" s="25"/>
      <c r="T213" s="61"/>
      <c r="U213" s="25"/>
      <c r="V213" s="79"/>
      <c r="W213" s="25"/>
      <c r="X213" s="5"/>
    </row>
    <row r="214" spans="1:24" ht="15.6" x14ac:dyDescent="0.3">
      <c r="A214" s="80"/>
      <c r="B214" s="14" t="s">
        <v>80</v>
      </c>
      <c r="C214" s="81"/>
      <c r="D214" s="81"/>
      <c r="E214" s="81"/>
      <c r="F214" s="82"/>
      <c r="G214" s="81"/>
      <c r="H214" s="17"/>
      <c r="I214" s="17"/>
      <c r="J214" s="17"/>
      <c r="K214" s="17"/>
      <c r="L214" s="17"/>
      <c r="M214" s="17"/>
      <c r="N214" s="17"/>
      <c r="O214" s="17"/>
      <c r="P214" s="17"/>
      <c r="Q214" s="17"/>
      <c r="R214" s="17"/>
      <c r="S214" s="17" t="s">
        <v>104</v>
      </c>
      <c r="T214" s="83" t="s">
        <v>111</v>
      </c>
      <c r="U214" s="8"/>
      <c r="V214" s="8"/>
      <c r="W214" s="8"/>
      <c r="X214" s="5"/>
    </row>
    <row r="215" spans="1:24" ht="15.6" x14ac:dyDescent="0.3">
      <c r="A215" s="84"/>
      <c r="B215" s="76" t="s">
        <v>81</v>
      </c>
      <c r="C215" s="54"/>
      <c r="D215" s="54"/>
      <c r="E215" s="54"/>
      <c r="F215" s="25"/>
      <c r="G215" s="25"/>
      <c r="H215" s="30"/>
      <c r="I215" s="30"/>
      <c r="J215" s="30"/>
      <c r="K215" s="30"/>
      <c r="L215" s="30"/>
      <c r="M215" s="30"/>
      <c r="N215" s="30"/>
      <c r="O215" s="30"/>
      <c r="P215" s="30"/>
      <c r="Q215" s="30"/>
      <c r="R215" s="30"/>
      <c r="S215" s="30">
        <v>2</v>
      </c>
      <c r="T215" s="172">
        <v>1108</v>
      </c>
      <c r="U215" s="25"/>
      <c r="V215" s="79"/>
      <c r="W215" s="86"/>
      <c r="X215" s="5"/>
    </row>
    <row r="216" spans="1:24" ht="15.6" x14ac:dyDescent="0.3">
      <c r="A216" s="84"/>
      <c r="B216" s="76" t="s">
        <v>150</v>
      </c>
      <c r="C216" s="54"/>
      <c r="D216" s="54"/>
      <c r="E216" s="54"/>
      <c r="F216" s="25"/>
      <c r="G216" s="25"/>
      <c r="H216" s="30"/>
      <c r="I216" s="30"/>
      <c r="J216" s="30"/>
      <c r="K216" s="30"/>
      <c r="L216" s="30"/>
      <c r="M216" s="30"/>
      <c r="N216" s="30"/>
      <c r="O216" s="30"/>
      <c r="P216" s="30"/>
      <c r="Q216" s="30"/>
      <c r="R216" s="30"/>
      <c r="S216" s="152">
        <f>+R256</f>
        <v>194</v>
      </c>
      <c r="T216" s="85">
        <f>+T256</f>
        <v>32059</v>
      </c>
      <c r="U216" s="25"/>
      <c r="V216" s="79"/>
      <c r="W216" s="86"/>
      <c r="X216" s="5"/>
    </row>
    <row r="217" spans="1:24" ht="15.6" x14ac:dyDescent="0.3">
      <c r="A217" s="84"/>
      <c r="B217" s="76" t="s">
        <v>82</v>
      </c>
      <c r="C217" s="54"/>
      <c r="D217" s="54"/>
      <c r="E217" s="54"/>
      <c r="F217" s="25"/>
      <c r="G217" s="25"/>
      <c r="H217" s="30"/>
      <c r="I217" s="30"/>
      <c r="J217" s="30"/>
      <c r="K217" s="30"/>
      <c r="L217" s="30"/>
      <c r="M217" s="30"/>
      <c r="N217" s="30"/>
      <c r="O217" s="30"/>
      <c r="P217" s="30"/>
      <c r="Q217" s="30"/>
      <c r="R217" s="30"/>
      <c r="S217" s="152">
        <f>+R268</f>
        <v>0</v>
      </c>
      <c r="T217" s="85">
        <f>+T268</f>
        <v>0</v>
      </c>
      <c r="U217" s="25"/>
      <c r="V217" s="79"/>
      <c r="W217" s="86"/>
      <c r="X217" s="5"/>
    </row>
    <row r="218" spans="1:24" ht="15.6" x14ac:dyDescent="0.3">
      <c r="A218" s="84"/>
      <c r="B218" s="122" t="s">
        <v>83</v>
      </c>
      <c r="C218" s="54"/>
      <c r="D218" s="54"/>
      <c r="E218" s="54"/>
      <c r="F218" s="25"/>
      <c r="G218" s="25"/>
      <c r="H218" s="25"/>
      <c r="I218" s="25"/>
      <c r="J218" s="25"/>
      <c r="K218" s="25"/>
      <c r="L218" s="25"/>
      <c r="M218" s="25"/>
      <c r="N218" s="25"/>
      <c r="O218" s="25"/>
      <c r="P218" s="25"/>
      <c r="Q218" s="25"/>
      <c r="R218" s="25"/>
      <c r="S218" s="25"/>
      <c r="T218" s="85">
        <v>0</v>
      </c>
      <c r="U218" s="25"/>
      <c r="V218" s="79"/>
      <c r="W218" s="86"/>
      <c r="X218" s="5"/>
    </row>
    <row r="219" spans="1:24" ht="15.6" x14ac:dyDescent="0.3">
      <c r="A219" s="84"/>
      <c r="B219" s="122" t="s">
        <v>84</v>
      </c>
      <c r="C219" s="54"/>
      <c r="D219" s="54"/>
      <c r="E219" s="54"/>
      <c r="F219" s="25"/>
      <c r="G219" s="25"/>
      <c r="H219" s="25"/>
      <c r="I219" s="25"/>
      <c r="J219" s="25"/>
      <c r="K219" s="25"/>
      <c r="L219" s="25"/>
      <c r="M219" s="25"/>
      <c r="N219" s="25"/>
      <c r="O219" s="25"/>
      <c r="P219" s="25"/>
      <c r="Q219" s="25"/>
      <c r="R219" s="25"/>
      <c r="S219" s="25"/>
      <c r="T219" s="62" t="s">
        <v>112</v>
      </c>
      <c r="U219" s="25"/>
      <c r="V219" s="79"/>
      <c r="W219" s="86"/>
      <c r="X219" s="5"/>
    </row>
    <row r="220" spans="1:24" ht="15.6" x14ac:dyDescent="0.3">
      <c r="A220" s="87"/>
      <c r="B220" s="122" t="s">
        <v>85</v>
      </c>
      <c r="C220" s="76"/>
      <c r="D220" s="76"/>
      <c r="E220" s="76"/>
      <c r="F220" s="76"/>
      <c r="G220" s="25"/>
      <c r="H220" s="25"/>
      <c r="I220" s="25"/>
      <c r="J220" s="25"/>
      <c r="K220" s="25"/>
      <c r="L220" s="25"/>
      <c r="M220" s="25"/>
      <c r="N220" s="25"/>
      <c r="O220" s="25"/>
      <c r="P220" s="25"/>
      <c r="Q220" s="25"/>
      <c r="R220" s="25"/>
      <c r="S220" s="25"/>
      <c r="T220" s="85"/>
      <c r="U220" s="25"/>
      <c r="V220" s="79"/>
      <c r="W220" s="88"/>
      <c r="X220" s="5"/>
    </row>
    <row r="221" spans="1:24" ht="15.6" x14ac:dyDescent="0.3">
      <c r="A221" s="87"/>
      <c r="B221" s="131" t="s">
        <v>86</v>
      </c>
      <c r="C221" s="76"/>
      <c r="D221" s="76"/>
      <c r="E221" s="76"/>
      <c r="F221" s="76"/>
      <c r="G221" s="25"/>
      <c r="H221" s="25"/>
      <c r="I221" s="25"/>
      <c r="J221" s="25"/>
      <c r="K221" s="25"/>
      <c r="L221" s="25"/>
      <c r="M221" s="25"/>
      <c r="N221" s="25"/>
      <c r="O221" s="25"/>
      <c r="P221" s="25"/>
      <c r="Q221" s="25"/>
      <c r="R221" s="25"/>
      <c r="S221" s="30"/>
      <c r="T221" s="85">
        <f>+V165</f>
        <v>258</v>
      </c>
      <c r="U221" s="25"/>
      <c r="V221" s="79"/>
      <c r="W221" s="88"/>
      <c r="X221" s="5"/>
    </row>
    <row r="222" spans="1:24" ht="15.6" x14ac:dyDescent="0.3">
      <c r="A222" s="84"/>
      <c r="B222" s="76" t="s">
        <v>87</v>
      </c>
      <c r="C222" s="54"/>
      <c r="D222" s="54"/>
      <c r="E222" s="54"/>
      <c r="F222" s="54"/>
      <c r="G222" s="25"/>
      <c r="H222" s="25"/>
      <c r="I222" s="25"/>
      <c r="J222" s="25"/>
      <c r="K222" s="25"/>
      <c r="L222" s="25"/>
      <c r="M222" s="25"/>
      <c r="N222" s="25"/>
      <c r="O222" s="25"/>
      <c r="P222" s="25"/>
      <c r="Q222" s="25"/>
      <c r="R222" s="25"/>
      <c r="S222" s="30"/>
      <c r="T222" s="85">
        <f>'July 09'!T221+'Oct 09'!T221</f>
        <v>1160</v>
      </c>
      <c r="U222" s="25"/>
      <c r="V222" s="79"/>
      <c r="W222" s="88"/>
      <c r="X222" s="5"/>
    </row>
    <row r="223" spans="1:24" ht="15.6" x14ac:dyDescent="0.3">
      <c r="A223" s="87"/>
      <c r="B223" s="122" t="s">
        <v>292</v>
      </c>
      <c r="C223" s="76"/>
      <c r="D223" s="76"/>
      <c r="E223" s="76"/>
      <c r="F223" s="76"/>
      <c r="G223" s="25"/>
      <c r="H223" s="25"/>
      <c r="I223" s="25"/>
      <c r="J223" s="25"/>
      <c r="K223" s="25"/>
      <c r="L223" s="25"/>
      <c r="M223" s="25"/>
      <c r="N223" s="25"/>
      <c r="O223" s="25"/>
      <c r="P223" s="25"/>
      <c r="Q223" s="25"/>
      <c r="R223" s="25"/>
      <c r="S223" s="30"/>
      <c r="T223" s="85"/>
      <c r="U223" s="25"/>
      <c r="V223" s="79"/>
      <c r="W223" s="88"/>
      <c r="X223" s="5"/>
    </row>
    <row r="224" spans="1:24" ht="15.6" x14ac:dyDescent="0.3">
      <c r="A224" s="87"/>
      <c r="B224" s="76" t="s">
        <v>290</v>
      </c>
      <c r="C224" s="76"/>
      <c r="D224" s="76"/>
      <c r="E224" s="76"/>
      <c r="F224" s="76"/>
      <c r="G224" s="25"/>
      <c r="H224" s="25"/>
      <c r="I224" s="25"/>
      <c r="J224" s="25"/>
      <c r="K224" s="25"/>
      <c r="L224" s="25"/>
      <c r="M224" s="25"/>
      <c r="N224" s="25"/>
      <c r="O224" s="25"/>
      <c r="P224" s="25"/>
      <c r="Q224" s="25"/>
      <c r="R224" s="25"/>
      <c r="S224" s="30">
        <v>0</v>
      </c>
      <c r="T224" s="172">
        <v>0</v>
      </c>
      <c r="U224" s="25"/>
      <c r="V224" s="79"/>
      <c r="W224" s="88"/>
      <c r="X224" s="5"/>
    </row>
    <row r="225" spans="1:25" ht="15.6" x14ac:dyDescent="0.3">
      <c r="A225" s="84"/>
      <c r="B225" s="76" t="s">
        <v>88</v>
      </c>
      <c r="C225" s="89"/>
      <c r="D225" s="89"/>
      <c r="E225" s="89"/>
      <c r="F225" s="90"/>
      <c r="G225" s="25"/>
      <c r="H225" s="25"/>
      <c r="I225" s="25"/>
      <c r="J225" s="25"/>
      <c r="K225" s="25"/>
      <c r="L225" s="25"/>
      <c r="M225" s="25"/>
      <c r="N225" s="25"/>
      <c r="O225" s="25"/>
      <c r="P225" s="25"/>
      <c r="Q225" s="25"/>
      <c r="R225" s="25"/>
      <c r="S225" s="25"/>
      <c r="T225" s="173">
        <v>0</v>
      </c>
      <c r="U225" s="25"/>
      <c r="V225" s="79"/>
      <c r="W225" s="88"/>
      <c r="X225" s="5"/>
    </row>
    <row r="226" spans="1:25" ht="15.6" x14ac:dyDescent="0.3">
      <c r="A226" s="84"/>
      <c r="B226" s="76" t="s">
        <v>89</v>
      </c>
      <c r="C226" s="89"/>
      <c r="D226" s="89"/>
      <c r="E226" s="89"/>
      <c r="F226" s="90"/>
      <c r="G226" s="25"/>
      <c r="H226" s="25"/>
      <c r="I226" s="25"/>
      <c r="J226" s="25"/>
      <c r="K226" s="25"/>
      <c r="L226" s="25"/>
      <c r="M226" s="25"/>
      <c r="N226" s="25"/>
      <c r="O226" s="25"/>
      <c r="P226" s="25"/>
      <c r="Q226" s="25"/>
      <c r="R226" s="25"/>
      <c r="S226" s="25"/>
      <c r="T226" s="173">
        <v>0</v>
      </c>
      <c r="U226" s="25"/>
      <c r="V226" s="79"/>
      <c r="W226" s="88"/>
      <c r="X226" s="5"/>
    </row>
    <row r="227" spans="1:25" ht="15.6" x14ac:dyDescent="0.3">
      <c r="A227" s="84"/>
      <c r="B227" s="122" t="s">
        <v>223</v>
      </c>
      <c r="C227" s="89"/>
      <c r="D227" s="89"/>
      <c r="E227" s="89"/>
      <c r="F227" s="90"/>
      <c r="G227" s="25"/>
      <c r="H227" s="25"/>
      <c r="I227" s="25"/>
      <c r="J227" s="25"/>
      <c r="K227" s="25"/>
      <c r="L227" s="25"/>
      <c r="M227" s="25"/>
      <c r="N227" s="25"/>
      <c r="O227" s="25"/>
      <c r="P227" s="25"/>
      <c r="Q227" s="25"/>
      <c r="R227" s="25"/>
      <c r="S227" s="25"/>
      <c r="T227" s="174"/>
      <c r="U227" s="25"/>
      <c r="V227" s="79"/>
      <c r="W227" s="88"/>
      <c r="X227" s="5"/>
    </row>
    <row r="228" spans="1:25" ht="15.6" x14ac:dyDescent="0.3">
      <c r="A228" s="84"/>
      <c r="B228" s="76" t="s">
        <v>290</v>
      </c>
      <c r="C228" s="89"/>
      <c r="D228" s="89"/>
      <c r="E228" s="89"/>
      <c r="F228" s="90"/>
      <c r="G228" s="25"/>
      <c r="H228" s="25"/>
      <c r="I228" s="25"/>
      <c r="J228" s="25"/>
      <c r="K228" s="25"/>
      <c r="L228" s="25"/>
      <c r="M228" s="25"/>
      <c r="N228" s="25"/>
      <c r="O228" s="25"/>
      <c r="P228" s="25"/>
      <c r="Q228" s="25"/>
      <c r="R228" s="25"/>
      <c r="S228" s="30">
        <v>9</v>
      </c>
      <c r="T228" s="172">
        <v>1423</v>
      </c>
      <c r="U228" s="25"/>
      <c r="V228" s="79"/>
      <c r="W228" s="88"/>
      <c r="X228" s="5"/>
    </row>
    <row r="229" spans="1:25" ht="15.6" x14ac:dyDescent="0.3">
      <c r="A229" s="84"/>
      <c r="B229" s="76" t="s">
        <v>224</v>
      </c>
      <c r="C229" s="89"/>
      <c r="D229" s="89"/>
      <c r="E229" s="89"/>
      <c r="F229" s="90"/>
      <c r="G229" s="25"/>
      <c r="H229" s="25"/>
      <c r="I229" s="25"/>
      <c r="J229" s="25"/>
      <c r="K229" s="25"/>
      <c r="L229" s="25"/>
      <c r="M229" s="25"/>
      <c r="N229" s="25"/>
      <c r="O229" s="25"/>
      <c r="P229" s="25"/>
      <c r="Q229" s="25"/>
      <c r="R229" s="25"/>
      <c r="S229" s="25"/>
      <c r="T229" s="173">
        <v>10.79</v>
      </c>
      <c r="U229" s="25"/>
      <c r="V229" s="79"/>
      <c r="W229" s="88"/>
      <c r="X229" s="5"/>
    </row>
    <row r="230" spans="1:25" ht="15.6" x14ac:dyDescent="0.3">
      <c r="A230" s="84"/>
      <c r="B230" s="76"/>
      <c r="C230" s="89"/>
      <c r="D230" s="89"/>
      <c r="E230" s="89"/>
      <c r="F230" s="90"/>
      <c r="G230" s="25"/>
      <c r="H230" s="25"/>
      <c r="I230" s="25"/>
      <c r="J230" s="25"/>
      <c r="K230" s="25"/>
      <c r="L230" s="25"/>
      <c r="M230" s="25"/>
      <c r="N230" s="25"/>
      <c r="O230" s="25"/>
      <c r="P230" s="25"/>
      <c r="Q230" s="25"/>
      <c r="R230" s="25"/>
      <c r="S230" s="25"/>
      <c r="T230" s="91"/>
      <c r="U230" s="25"/>
      <c r="V230" s="79"/>
      <c r="W230" s="88"/>
      <c r="X230" s="5"/>
    </row>
    <row r="231" spans="1:25" ht="15.6" x14ac:dyDescent="0.3">
      <c r="A231" s="84"/>
      <c r="B231" s="76"/>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7.399999999999999" x14ac:dyDescent="0.3">
      <c r="A232" s="84"/>
      <c r="B232" s="149" t="s">
        <v>174</v>
      </c>
      <c r="C232" s="89"/>
      <c r="D232" s="89"/>
      <c r="E232" s="89"/>
      <c r="F232" s="90"/>
      <c r="G232" s="25"/>
      <c r="H232" s="25"/>
      <c r="I232" s="25"/>
      <c r="J232" s="25"/>
      <c r="K232" s="25"/>
      <c r="L232" s="25"/>
      <c r="M232" s="25"/>
      <c r="N232" s="25"/>
      <c r="O232" s="25"/>
      <c r="P232" s="150" t="s">
        <v>173</v>
      </c>
      <c r="Q232" s="25"/>
      <c r="R232" s="25"/>
      <c r="S232" s="25"/>
      <c r="T232" s="91"/>
      <c r="U232" s="25"/>
      <c r="V232" s="79"/>
      <c r="W232" s="88"/>
      <c r="X232" s="5"/>
    </row>
    <row r="233" spans="1:25" ht="15.6" x14ac:dyDescent="0.3">
      <c r="A233" s="84"/>
      <c r="B233" s="76"/>
      <c r="C233" s="89"/>
      <c r="D233" s="89"/>
      <c r="E233" s="89"/>
      <c r="F233" s="90"/>
      <c r="G233" s="25"/>
      <c r="H233" s="25"/>
      <c r="I233" s="25"/>
      <c r="J233" s="25"/>
      <c r="K233" s="25"/>
      <c r="L233" s="25"/>
      <c r="M233" s="25"/>
      <c r="N233" s="25"/>
      <c r="O233" s="25"/>
      <c r="P233" s="25"/>
      <c r="Q233" s="25"/>
      <c r="R233" s="25"/>
      <c r="S233" s="25"/>
      <c r="T233" s="91"/>
      <c r="U233" s="25"/>
      <c r="V233" s="79"/>
      <c r="W233" s="88"/>
      <c r="X233" s="5"/>
    </row>
    <row r="234" spans="1:25" ht="15.6" x14ac:dyDescent="0.3">
      <c r="A234" s="6"/>
      <c r="B234" s="14" t="s">
        <v>167</v>
      </c>
      <c r="C234" s="81"/>
      <c r="D234" s="81"/>
      <c r="E234" s="81"/>
      <c r="F234" s="82"/>
      <c r="G234" s="81"/>
      <c r="H234" s="17"/>
      <c r="I234" s="17"/>
      <c r="J234" s="17"/>
      <c r="K234" s="17"/>
      <c r="L234" s="17"/>
      <c r="M234" s="17"/>
      <c r="N234" s="17"/>
      <c r="O234" s="17"/>
      <c r="P234" s="17"/>
      <c r="Q234" s="17"/>
      <c r="R234" s="83" t="s">
        <v>104</v>
      </c>
      <c r="S234" s="17" t="s">
        <v>105</v>
      </c>
      <c r="T234" s="83" t="s">
        <v>113</v>
      </c>
      <c r="U234" s="17" t="s">
        <v>105</v>
      </c>
      <c r="V234" s="8"/>
      <c r="W234" s="92"/>
      <c r="X234" s="5"/>
    </row>
    <row r="235" spans="1:25" ht="15.6" x14ac:dyDescent="0.3">
      <c r="A235" s="24"/>
      <c r="B235" s="54" t="s">
        <v>90</v>
      </c>
      <c r="C235" s="93"/>
      <c r="D235" s="93"/>
      <c r="E235" s="93"/>
      <c r="F235" s="25"/>
      <c r="G235" s="93"/>
      <c r="H235" s="93"/>
      <c r="I235" s="93"/>
      <c r="J235" s="93"/>
      <c r="K235" s="93"/>
      <c r="L235" s="93"/>
      <c r="M235" s="93"/>
      <c r="N235" s="93"/>
      <c r="O235" s="93"/>
      <c r="P235" s="93"/>
      <c r="Q235" s="93"/>
      <c r="R235" s="54">
        <v>7477</v>
      </c>
      <c r="S235" s="94">
        <f t="shared" ref="S235:S242" si="1">R235/$R$244</f>
        <v>0.98537163943068007</v>
      </c>
      <c r="T235" s="53">
        <v>999250</v>
      </c>
      <c r="U235" s="132">
        <f t="shared" ref="U235:U242" si="2">T235/$T$244</f>
        <v>0.9772444103673481</v>
      </c>
      <c r="V235" s="79"/>
      <c r="W235" s="88"/>
      <c r="X235" s="5"/>
    </row>
    <row r="236" spans="1:25" ht="15.6" x14ac:dyDescent="0.3">
      <c r="A236" s="24"/>
      <c r="B236" s="54" t="s">
        <v>91</v>
      </c>
      <c r="C236" s="93"/>
      <c r="D236" s="93"/>
      <c r="E236" s="93"/>
      <c r="F236" s="25"/>
      <c r="G236" s="94"/>
      <c r="H236" s="93"/>
      <c r="I236" s="93"/>
      <c r="J236" s="93"/>
      <c r="K236" s="93"/>
      <c r="L236" s="93"/>
      <c r="M236" s="93"/>
      <c r="N236" s="93"/>
      <c r="O236" s="93"/>
      <c r="P236" s="93"/>
      <c r="Q236" s="93"/>
      <c r="R236" s="54">
        <v>76</v>
      </c>
      <c r="S236" s="94">
        <f t="shared" si="1"/>
        <v>1.0015814443858724E-2</v>
      </c>
      <c r="T236" s="53">
        <v>16339</v>
      </c>
      <c r="U236" s="132">
        <f t="shared" si="2"/>
        <v>1.5979180806597049E-2</v>
      </c>
      <c r="V236" s="79"/>
      <c r="W236" s="88"/>
      <c r="X236" s="5"/>
      <c r="Y236" s="109"/>
    </row>
    <row r="237" spans="1:25" ht="15.6" x14ac:dyDescent="0.3">
      <c r="A237" s="24"/>
      <c r="B237" s="54" t="s">
        <v>92</v>
      </c>
      <c r="C237" s="93"/>
      <c r="D237" s="93"/>
      <c r="E237" s="93"/>
      <c r="F237" s="25"/>
      <c r="G237" s="94"/>
      <c r="H237" s="93"/>
      <c r="I237" s="93"/>
      <c r="J237" s="93"/>
      <c r="K237" s="93"/>
      <c r="L237" s="93"/>
      <c r="M237" s="93"/>
      <c r="N237" s="93"/>
      <c r="O237" s="93"/>
      <c r="P237" s="93"/>
      <c r="Q237" s="93"/>
      <c r="R237" s="54">
        <v>20</v>
      </c>
      <c r="S237" s="94">
        <f t="shared" si="1"/>
        <v>2.635740643120717E-3</v>
      </c>
      <c r="T237" s="53">
        <v>3236</v>
      </c>
      <c r="U237" s="132">
        <f t="shared" si="2"/>
        <v>3.1647364642969611E-3</v>
      </c>
      <c r="V237" s="79"/>
      <c r="W237" s="88"/>
      <c r="X237" s="5"/>
    </row>
    <row r="238" spans="1:25" ht="15.6" x14ac:dyDescent="0.3">
      <c r="A238" s="24"/>
      <c r="B238" s="54" t="s">
        <v>161</v>
      </c>
      <c r="C238" s="93"/>
      <c r="D238" s="93"/>
      <c r="E238" s="93"/>
      <c r="F238" s="25"/>
      <c r="G238" s="94"/>
      <c r="H238" s="93"/>
      <c r="I238" s="93"/>
      <c r="J238" s="93"/>
      <c r="K238" s="93"/>
      <c r="L238" s="93"/>
      <c r="M238" s="93"/>
      <c r="N238" s="93"/>
      <c r="O238" s="93"/>
      <c r="P238" s="93"/>
      <c r="Q238" s="93"/>
      <c r="R238" s="54">
        <v>6</v>
      </c>
      <c r="S238" s="94">
        <f t="shared" si="1"/>
        <v>7.9072219293621507E-4</v>
      </c>
      <c r="T238" s="53">
        <v>1115</v>
      </c>
      <c r="U238" s="132">
        <f t="shared" si="2"/>
        <v>1.0904453515732731E-3</v>
      </c>
      <c r="V238" s="79"/>
      <c r="W238" s="88"/>
      <c r="X238" s="5"/>
      <c r="Y238" s="109"/>
    </row>
    <row r="239" spans="1:25" ht="15.6" x14ac:dyDescent="0.3">
      <c r="A239" s="24"/>
      <c r="B239" s="54" t="s">
        <v>162</v>
      </c>
      <c r="C239" s="93"/>
      <c r="D239" s="93"/>
      <c r="E239" s="93"/>
      <c r="F239" s="25"/>
      <c r="G239" s="94"/>
      <c r="H239" s="93"/>
      <c r="I239" s="93"/>
      <c r="J239" s="93"/>
      <c r="K239" s="93"/>
      <c r="L239" s="93"/>
      <c r="M239" s="93"/>
      <c r="N239" s="93"/>
      <c r="O239" s="93"/>
      <c r="P239" s="93"/>
      <c r="Q239" s="93"/>
      <c r="R239" s="54">
        <v>2</v>
      </c>
      <c r="S239" s="94">
        <f t="shared" si="1"/>
        <v>2.6357406431207171E-4</v>
      </c>
      <c r="T239" s="53">
        <v>313</v>
      </c>
      <c r="U239" s="132">
        <f t="shared" si="2"/>
        <v>3.0610708075554658E-4</v>
      </c>
      <c r="V239" s="79"/>
      <c r="W239" s="88"/>
      <c r="X239" s="5"/>
    </row>
    <row r="240" spans="1:25" ht="15.6" x14ac:dyDescent="0.3">
      <c r="A240" s="24"/>
      <c r="B240" s="54" t="s">
        <v>163</v>
      </c>
      <c r="C240" s="93"/>
      <c r="D240" s="93"/>
      <c r="E240" s="93"/>
      <c r="F240" s="25"/>
      <c r="G240" s="94"/>
      <c r="H240" s="93"/>
      <c r="I240" s="93"/>
      <c r="J240" s="93"/>
      <c r="K240" s="93"/>
      <c r="L240" s="93"/>
      <c r="M240" s="93"/>
      <c r="N240" s="93"/>
      <c r="O240" s="93"/>
      <c r="P240" s="93"/>
      <c r="Q240" s="93"/>
      <c r="R240" s="54">
        <v>2</v>
      </c>
      <c r="S240" s="94">
        <f t="shared" si="1"/>
        <v>2.6357406431207171E-4</v>
      </c>
      <c r="T240" s="53">
        <v>446</v>
      </c>
      <c r="U240" s="132">
        <f t="shared" si="2"/>
        <v>4.3617814062930921E-4</v>
      </c>
      <c r="V240" s="79"/>
      <c r="W240" s="88"/>
      <c r="X240" s="5"/>
      <c r="Y240" s="109"/>
    </row>
    <row r="241" spans="1:25" ht="15.6" x14ac:dyDescent="0.3">
      <c r="A241" s="24"/>
      <c r="B241" s="54" t="s">
        <v>164</v>
      </c>
      <c r="C241" s="93"/>
      <c r="D241" s="93"/>
      <c r="E241" s="93"/>
      <c r="F241" s="25"/>
      <c r="G241" s="94"/>
      <c r="H241" s="93"/>
      <c r="I241" s="93"/>
      <c r="J241" s="93"/>
      <c r="K241" s="93"/>
      <c r="L241" s="93"/>
      <c r="M241" s="93"/>
      <c r="N241" s="93"/>
      <c r="O241" s="93"/>
      <c r="P241" s="93"/>
      <c r="Q241" s="93"/>
      <c r="R241" s="54">
        <v>3</v>
      </c>
      <c r="S241" s="94">
        <f t="shared" si="1"/>
        <v>3.9536109646810753E-4</v>
      </c>
      <c r="T241" s="53">
        <v>904</v>
      </c>
      <c r="U241" s="132">
        <f t="shared" si="2"/>
        <v>8.8409201598407068E-4</v>
      </c>
      <c r="V241" s="79"/>
      <c r="W241" s="88"/>
      <c r="X241" s="5"/>
    </row>
    <row r="242" spans="1:25" ht="15.6" x14ac:dyDescent="0.3">
      <c r="A242" s="24"/>
      <c r="B242" s="54" t="s">
        <v>165</v>
      </c>
      <c r="C242" s="93"/>
      <c r="D242" s="93"/>
      <c r="E242" s="93"/>
      <c r="F242" s="25"/>
      <c r="G242" s="94"/>
      <c r="H242" s="93"/>
      <c r="I242" s="93"/>
      <c r="J242" s="93"/>
      <c r="K242" s="93"/>
      <c r="L242" s="93"/>
      <c r="M242" s="93"/>
      <c r="N242" s="93"/>
      <c r="O242" s="93"/>
      <c r="P242" s="93"/>
      <c r="Q242" s="93"/>
      <c r="R242" s="54">
        <v>2</v>
      </c>
      <c r="S242" s="94">
        <f t="shared" si="1"/>
        <v>2.6357406431207171E-4</v>
      </c>
      <c r="T242" s="53">
        <v>915</v>
      </c>
      <c r="U242" s="132">
        <f t="shared" si="2"/>
        <v>8.9484977281573531E-4</v>
      </c>
      <c r="V242" s="79"/>
      <c r="W242" s="88"/>
      <c r="X242" s="5"/>
      <c r="Y242" s="109"/>
    </row>
    <row r="243" spans="1:25" ht="15.6" x14ac:dyDescent="0.3">
      <c r="A243" s="24"/>
      <c r="B243" s="54"/>
      <c r="C243" s="93"/>
      <c r="D243" s="93"/>
      <c r="E243" s="93"/>
      <c r="F243" s="25"/>
      <c r="G243" s="94"/>
      <c r="H243" s="93"/>
      <c r="I243" s="93"/>
      <c r="J243" s="93"/>
      <c r="K243" s="93"/>
      <c r="L243" s="93"/>
      <c r="M243" s="93"/>
      <c r="N243" s="93"/>
      <c r="O243" s="93"/>
      <c r="P243" s="93"/>
      <c r="Q243" s="93"/>
      <c r="R243" s="54"/>
      <c r="S243" s="94"/>
      <c r="T243" s="53"/>
      <c r="U243" s="132"/>
      <c r="V243" s="79"/>
      <c r="W243" s="88"/>
      <c r="X243" s="5"/>
    </row>
    <row r="244" spans="1:25" ht="15.6" x14ac:dyDescent="0.3">
      <c r="A244" s="24"/>
      <c r="B244" s="25" t="s">
        <v>119</v>
      </c>
      <c r="C244" s="25"/>
      <c r="D244" s="25"/>
      <c r="E244" s="25"/>
      <c r="F244" s="25"/>
      <c r="G244" s="25"/>
      <c r="H244" s="95"/>
      <c r="I244" s="95"/>
      <c r="J244" s="95"/>
      <c r="K244" s="95"/>
      <c r="L244" s="95"/>
      <c r="M244" s="95"/>
      <c r="N244" s="95"/>
      <c r="O244" s="95"/>
      <c r="P244" s="95"/>
      <c r="Q244" s="95"/>
      <c r="R244" s="34">
        <f>SUM(R235:R243)</f>
        <v>7588</v>
      </c>
      <c r="S244" s="132">
        <f>SUM(S235:S243)</f>
        <v>1</v>
      </c>
      <c r="T244" s="53">
        <f>SUM(T235:T243)</f>
        <v>1022518</v>
      </c>
      <c r="U244" s="132">
        <f>SUM(U235:U243)</f>
        <v>1</v>
      </c>
      <c r="V244" s="25"/>
      <c r="W244" s="25"/>
      <c r="X244" s="5"/>
    </row>
    <row r="245" spans="1:25" ht="15.6" x14ac:dyDescent="0.3">
      <c r="A245" s="24"/>
      <c r="B245" s="25"/>
      <c r="C245" s="25"/>
      <c r="D245" s="25"/>
      <c r="E245" s="25"/>
      <c r="F245" s="25"/>
      <c r="G245" s="25"/>
      <c r="H245" s="95"/>
      <c r="I245" s="95"/>
      <c r="J245" s="95"/>
      <c r="K245" s="95"/>
      <c r="L245" s="95"/>
      <c r="M245" s="95"/>
      <c r="N245" s="95"/>
      <c r="O245" s="95"/>
      <c r="P245" s="95"/>
      <c r="Q245" s="95"/>
      <c r="R245" s="34"/>
      <c r="S245" s="132"/>
      <c r="T245" s="53"/>
      <c r="U245" s="132"/>
      <c r="V245" s="25"/>
      <c r="W245" s="25"/>
      <c r="X245" s="5"/>
    </row>
    <row r="246" spans="1:25" ht="15.6" x14ac:dyDescent="0.3">
      <c r="A246" s="141"/>
      <c r="B246" s="14" t="s">
        <v>283</v>
      </c>
      <c r="C246" s="81"/>
      <c r="D246" s="81"/>
      <c r="E246" s="81"/>
      <c r="F246" s="82"/>
      <c r="G246" s="81"/>
      <c r="H246" s="17"/>
      <c r="I246" s="17"/>
      <c r="J246" s="17"/>
      <c r="K246" s="17"/>
      <c r="L246" s="17"/>
      <c r="M246" s="17"/>
      <c r="N246" s="17"/>
      <c r="O246" s="17"/>
      <c r="P246" s="17"/>
      <c r="Q246" s="17"/>
      <c r="R246" s="83" t="s">
        <v>104</v>
      </c>
      <c r="S246" s="17" t="s">
        <v>105</v>
      </c>
      <c r="T246" s="83" t="s">
        <v>113</v>
      </c>
      <c r="U246" s="17" t="s">
        <v>105</v>
      </c>
      <c r="V246" s="139"/>
      <c r="W246" s="140"/>
      <c r="X246" s="5"/>
    </row>
    <row r="247" spans="1:25" ht="15.6" x14ac:dyDescent="0.3">
      <c r="A247" s="24"/>
      <c r="B247" s="54" t="s">
        <v>90</v>
      </c>
      <c r="C247" s="93"/>
      <c r="D247" s="93"/>
      <c r="E247" s="93"/>
      <c r="F247" s="25"/>
      <c r="G247" s="93"/>
      <c r="H247" s="93"/>
      <c r="I247" s="93"/>
      <c r="J247" s="93"/>
      <c r="K247" s="93"/>
      <c r="L247" s="93"/>
      <c r="M247" s="93"/>
      <c r="N247" s="93"/>
      <c r="O247" s="93"/>
      <c r="P247" s="93"/>
      <c r="Q247" s="93"/>
      <c r="R247" s="54">
        <v>42</v>
      </c>
      <c r="S247" s="94">
        <f t="shared" ref="S247:S254" si="3">R247/$R$256</f>
        <v>0.21649484536082475</v>
      </c>
      <c r="T247" s="53">
        <v>7242</v>
      </c>
      <c r="U247" s="132">
        <f t="shared" ref="U247:U254" si="4">T247/$T$256</f>
        <v>0.22589600424217848</v>
      </c>
      <c r="V247" s="25"/>
      <c r="W247" s="25"/>
      <c r="X247" s="5"/>
    </row>
    <row r="248" spans="1:25" ht="15.6" x14ac:dyDescent="0.3">
      <c r="A248" s="24"/>
      <c r="B248" s="54" t="s">
        <v>91</v>
      </c>
      <c r="C248" s="93"/>
      <c r="D248" s="93"/>
      <c r="E248" s="93"/>
      <c r="F248" s="25"/>
      <c r="G248" s="94"/>
      <c r="H248" s="93"/>
      <c r="I248" s="93"/>
      <c r="J248" s="93"/>
      <c r="K248" s="93"/>
      <c r="L248" s="93"/>
      <c r="M248" s="93"/>
      <c r="N248" s="93"/>
      <c r="O248" s="93"/>
      <c r="P248" s="93"/>
      <c r="Q248" s="93"/>
      <c r="R248" s="54">
        <v>57</v>
      </c>
      <c r="S248" s="94">
        <f t="shared" si="3"/>
        <v>0.29381443298969073</v>
      </c>
      <c r="T248" s="53">
        <v>10224</v>
      </c>
      <c r="U248" s="132">
        <f t="shared" si="4"/>
        <v>0.31891200598895786</v>
      </c>
      <c r="V248" s="25"/>
      <c r="W248" s="25"/>
      <c r="X248" s="5"/>
    </row>
    <row r="249" spans="1:25" ht="15.6" x14ac:dyDescent="0.3">
      <c r="A249" s="24"/>
      <c r="B249" s="54" t="s">
        <v>92</v>
      </c>
      <c r="C249" s="93"/>
      <c r="D249" s="93"/>
      <c r="E249" s="93"/>
      <c r="F249" s="25"/>
      <c r="G249" s="94"/>
      <c r="H249" s="93"/>
      <c r="I249" s="93"/>
      <c r="J249" s="93"/>
      <c r="K249" s="93"/>
      <c r="L249" s="93"/>
      <c r="M249" s="93"/>
      <c r="N249" s="93"/>
      <c r="O249" s="93"/>
      <c r="P249" s="93"/>
      <c r="Q249" s="93"/>
      <c r="R249" s="54">
        <v>16</v>
      </c>
      <c r="S249" s="94">
        <f t="shared" si="3"/>
        <v>8.247422680412371E-2</v>
      </c>
      <c r="T249" s="53">
        <v>2108</v>
      </c>
      <c r="U249" s="132">
        <f t="shared" si="4"/>
        <v>6.5753766493028484E-2</v>
      </c>
      <c r="V249" s="25"/>
      <c r="W249" s="25"/>
      <c r="X249" s="5"/>
    </row>
    <row r="250" spans="1:25" ht="15.6" x14ac:dyDescent="0.3">
      <c r="A250" s="24"/>
      <c r="B250" s="54" t="s">
        <v>161</v>
      </c>
      <c r="C250" s="93"/>
      <c r="D250" s="93"/>
      <c r="E250" s="93"/>
      <c r="F250" s="25"/>
      <c r="G250" s="94"/>
      <c r="H250" s="93"/>
      <c r="I250" s="93"/>
      <c r="J250" s="93"/>
      <c r="K250" s="93"/>
      <c r="L250" s="93"/>
      <c r="M250" s="93"/>
      <c r="N250" s="93"/>
      <c r="O250" s="93"/>
      <c r="P250" s="93"/>
      <c r="Q250" s="93"/>
      <c r="R250" s="54">
        <v>5</v>
      </c>
      <c r="S250" s="94">
        <f t="shared" si="3"/>
        <v>2.5773195876288658E-2</v>
      </c>
      <c r="T250" s="53">
        <v>1025</v>
      </c>
      <c r="U250" s="132">
        <f t="shared" si="4"/>
        <v>3.197230106990237E-2</v>
      </c>
      <c r="V250" s="25"/>
      <c r="W250" s="25"/>
      <c r="X250" s="5"/>
    </row>
    <row r="251" spans="1:25" ht="15.6" x14ac:dyDescent="0.3">
      <c r="A251" s="24"/>
      <c r="B251" s="54" t="s">
        <v>162</v>
      </c>
      <c r="C251" s="93"/>
      <c r="D251" s="93"/>
      <c r="E251" s="93"/>
      <c r="F251" s="25"/>
      <c r="G251" s="94"/>
      <c r="H251" s="93"/>
      <c r="I251" s="93"/>
      <c r="J251" s="93"/>
      <c r="K251" s="93"/>
      <c r="L251" s="93"/>
      <c r="M251" s="93"/>
      <c r="N251" s="93"/>
      <c r="O251" s="93"/>
      <c r="P251" s="93"/>
      <c r="Q251" s="93"/>
      <c r="R251" s="54">
        <v>3</v>
      </c>
      <c r="S251" s="94">
        <f t="shared" si="3"/>
        <v>1.5463917525773196E-2</v>
      </c>
      <c r="T251" s="53">
        <v>558</v>
      </c>
      <c r="U251" s="132">
        <f t="shared" si="4"/>
        <v>1.7405408777566363E-2</v>
      </c>
      <c r="V251" s="25"/>
      <c r="W251" s="25"/>
      <c r="X251" s="5"/>
    </row>
    <row r="252" spans="1:25" ht="15.6" x14ac:dyDescent="0.3">
      <c r="A252" s="24"/>
      <c r="B252" s="54" t="s">
        <v>163</v>
      </c>
      <c r="C252" s="93"/>
      <c r="D252" s="93"/>
      <c r="E252" s="93"/>
      <c r="F252" s="25"/>
      <c r="G252" s="94"/>
      <c r="H252" s="93"/>
      <c r="I252" s="93"/>
      <c r="J252" s="93"/>
      <c r="K252" s="93"/>
      <c r="L252" s="93"/>
      <c r="M252" s="93"/>
      <c r="N252" s="93"/>
      <c r="O252" s="93"/>
      <c r="P252" s="93"/>
      <c r="Q252" s="93"/>
      <c r="R252" s="54">
        <v>4</v>
      </c>
      <c r="S252" s="94">
        <f t="shared" si="3"/>
        <v>2.0618556701030927E-2</v>
      </c>
      <c r="T252" s="53">
        <v>602</v>
      </c>
      <c r="U252" s="132">
        <f t="shared" si="4"/>
        <v>1.8777878286908512E-2</v>
      </c>
      <c r="V252" s="25"/>
      <c r="W252" s="25"/>
      <c r="X252" s="5"/>
    </row>
    <row r="253" spans="1:25" ht="15.6" x14ac:dyDescent="0.3">
      <c r="A253" s="24"/>
      <c r="B253" s="54" t="s">
        <v>164</v>
      </c>
      <c r="C253" s="93"/>
      <c r="D253" s="93"/>
      <c r="E253" s="93"/>
      <c r="F253" s="25"/>
      <c r="G253" s="94"/>
      <c r="H253" s="93"/>
      <c r="I253" s="93"/>
      <c r="J253" s="93"/>
      <c r="K253" s="93"/>
      <c r="L253" s="93"/>
      <c r="M253" s="93"/>
      <c r="N253" s="93"/>
      <c r="O253" s="93"/>
      <c r="P253" s="93"/>
      <c r="Q253" s="93"/>
      <c r="R253" s="54">
        <v>18</v>
      </c>
      <c r="S253" s="94">
        <f t="shared" si="3"/>
        <v>9.2783505154639179E-2</v>
      </c>
      <c r="T253" s="53">
        <v>3071</v>
      </c>
      <c r="U253" s="132">
        <f t="shared" si="4"/>
        <v>9.5792133254312364E-2</v>
      </c>
      <c r="V253" s="25"/>
      <c r="W253" s="25"/>
      <c r="X253" s="5"/>
    </row>
    <row r="254" spans="1:25" ht="15.6" x14ac:dyDescent="0.3">
      <c r="A254" s="24"/>
      <c r="B254" s="54" t="s">
        <v>165</v>
      </c>
      <c r="C254" s="93"/>
      <c r="D254" s="93"/>
      <c r="E254" s="93"/>
      <c r="F254" s="25"/>
      <c r="G254" s="94"/>
      <c r="H254" s="93"/>
      <c r="I254" s="93"/>
      <c r="J254" s="93"/>
      <c r="K254" s="93"/>
      <c r="L254" s="93"/>
      <c r="M254" s="93"/>
      <c r="N254" s="93"/>
      <c r="O254" s="93"/>
      <c r="P254" s="93"/>
      <c r="Q254" s="93"/>
      <c r="R254" s="54">
        <v>49</v>
      </c>
      <c r="S254" s="94">
        <f t="shared" si="3"/>
        <v>0.25257731958762886</v>
      </c>
      <c r="T254" s="53">
        <v>7229</v>
      </c>
      <c r="U254" s="132">
        <f t="shared" si="4"/>
        <v>0.22549050188714559</v>
      </c>
      <c r="V254" s="25"/>
      <c r="W254" s="25"/>
      <c r="X254" s="5"/>
    </row>
    <row r="255" spans="1:25" ht="15.6" x14ac:dyDescent="0.3">
      <c r="A255" s="24"/>
      <c r="B255" s="54"/>
      <c r="C255" s="93"/>
      <c r="D255" s="93"/>
      <c r="E255" s="93"/>
      <c r="F255" s="25"/>
      <c r="G255" s="94"/>
      <c r="H255" s="93"/>
      <c r="I255" s="93"/>
      <c r="J255" s="93"/>
      <c r="K255" s="93"/>
      <c r="L255" s="93"/>
      <c r="M255" s="93"/>
      <c r="N255" s="93"/>
      <c r="O255" s="93"/>
      <c r="P255" s="93"/>
      <c r="Q255" s="93"/>
      <c r="R255" s="54"/>
      <c r="S255" s="94"/>
      <c r="T255" s="53"/>
      <c r="U255" s="132"/>
      <c r="V255" s="25"/>
      <c r="W255" s="25"/>
      <c r="X255" s="5"/>
    </row>
    <row r="256" spans="1:25" ht="15.6" x14ac:dyDescent="0.3">
      <c r="A256" s="24"/>
      <c r="B256" s="25" t="s">
        <v>119</v>
      </c>
      <c r="C256" s="25"/>
      <c r="D256" s="25"/>
      <c r="E256" s="25"/>
      <c r="F256" s="25"/>
      <c r="G256" s="25"/>
      <c r="H256" s="95"/>
      <c r="I256" s="95"/>
      <c r="J256" s="95"/>
      <c r="K256" s="95"/>
      <c r="L256" s="95"/>
      <c r="M256" s="95"/>
      <c r="N256" s="95"/>
      <c r="O256" s="95"/>
      <c r="P256" s="95"/>
      <c r="Q256" s="95"/>
      <c r="R256" s="34">
        <f>SUM(R247:R255)</f>
        <v>194</v>
      </c>
      <c r="S256" s="132">
        <f>SUM(S247:S255)</f>
        <v>1</v>
      </c>
      <c r="T256" s="53">
        <f>SUM(T247:T255)</f>
        <v>32059</v>
      </c>
      <c r="U256" s="132">
        <f>SUM(U247:U255)</f>
        <v>0.99999999999999989</v>
      </c>
      <c r="V256" s="25"/>
      <c r="W256" s="25"/>
      <c r="X256" s="5"/>
    </row>
    <row r="257" spans="1:24" ht="15.6" x14ac:dyDescent="0.3">
      <c r="A257" s="24"/>
      <c r="B257" s="25"/>
      <c r="C257" s="25"/>
      <c r="D257" s="25"/>
      <c r="E257" s="25"/>
      <c r="F257" s="25"/>
      <c r="G257" s="25"/>
      <c r="H257" s="95"/>
      <c r="I257" s="95"/>
      <c r="J257" s="95"/>
      <c r="K257" s="95"/>
      <c r="L257" s="95"/>
      <c r="M257" s="95"/>
      <c r="N257" s="95"/>
      <c r="O257" s="95"/>
      <c r="P257" s="95"/>
      <c r="Q257" s="95"/>
      <c r="R257" s="34"/>
      <c r="S257" s="132"/>
      <c r="T257" s="53"/>
      <c r="U257" s="132"/>
      <c r="V257" s="25"/>
      <c r="W257" s="25"/>
      <c r="X257" s="5"/>
    </row>
    <row r="258" spans="1:24" ht="15.6" x14ac:dyDescent="0.3">
      <c r="A258" s="141"/>
      <c r="B258" s="14" t="s">
        <v>169</v>
      </c>
      <c r="C258" s="139"/>
      <c r="D258" s="139"/>
      <c r="E258" s="139"/>
      <c r="F258" s="139"/>
      <c r="G258" s="139"/>
      <c r="H258" s="145"/>
      <c r="I258" s="145"/>
      <c r="J258" s="145"/>
      <c r="K258" s="145"/>
      <c r="L258" s="145"/>
      <c r="M258" s="145"/>
      <c r="N258" s="145"/>
      <c r="O258" s="145"/>
      <c r="P258" s="145"/>
      <c r="Q258" s="145"/>
      <c r="R258" s="83" t="s">
        <v>104</v>
      </c>
      <c r="S258" s="17" t="s">
        <v>105</v>
      </c>
      <c r="T258" s="83" t="s">
        <v>113</v>
      </c>
      <c r="U258" s="17" t="s">
        <v>105</v>
      </c>
      <c r="V258" s="139"/>
      <c r="W258" s="140"/>
      <c r="X258" s="5"/>
    </row>
    <row r="259" spans="1:24" ht="15.6" x14ac:dyDescent="0.3">
      <c r="A259" s="24"/>
      <c r="B259" s="54" t="s">
        <v>90</v>
      </c>
      <c r="C259" s="25"/>
      <c r="D259" s="25"/>
      <c r="E259" s="25"/>
      <c r="F259" s="25"/>
      <c r="G259" s="25"/>
      <c r="H259" s="95"/>
      <c r="I259" s="95"/>
      <c r="J259" s="95"/>
      <c r="K259" s="95"/>
      <c r="L259" s="95"/>
      <c r="M259" s="95"/>
      <c r="N259" s="95"/>
      <c r="O259" s="95"/>
      <c r="P259" s="95"/>
      <c r="Q259" s="95"/>
      <c r="R259" s="54">
        <v>0</v>
      </c>
      <c r="S259" s="94">
        <v>0</v>
      </c>
      <c r="T259" s="53">
        <v>0</v>
      </c>
      <c r="U259" s="94">
        <v>0</v>
      </c>
      <c r="V259" s="25"/>
      <c r="W259" s="25"/>
      <c r="X259" s="5"/>
    </row>
    <row r="260" spans="1:24" ht="15.6" x14ac:dyDescent="0.3">
      <c r="A260" s="24"/>
      <c r="B260" s="54" t="s">
        <v>91</v>
      </c>
      <c r="C260" s="25"/>
      <c r="D260" s="25"/>
      <c r="E260" s="25"/>
      <c r="F260" s="25"/>
      <c r="G260" s="25"/>
      <c r="H260" s="95"/>
      <c r="I260" s="95"/>
      <c r="J260" s="95"/>
      <c r="K260" s="95"/>
      <c r="L260" s="95"/>
      <c r="M260" s="95"/>
      <c r="N260" s="95"/>
      <c r="O260" s="95"/>
      <c r="P260" s="95"/>
      <c r="Q260" s="95"/>
      <c r="R260" s="54">
        <v>0</v>
      </c>
      <c r="S260" s="94">
        <v>0</v>
      </c>
      <c r="T260" s="53">
        <v>0</v>
      </c>
      <c r="U260" s="94">
        <v>0</v>
      </c>
      <c r="V260" s="25"/>
      <c r="W260" s="25"/>
      <c r="X260" s="5"/>
    </row>
    <row r="261" spans="1:24" ht="15.6" x14ac:dyDescent="0.3">
      <c r="A261" s="24"/>
      <c r="B261" s="54" t="s">
        <v>92</v>
      </c>
      <c r="C261" s="25"/>
      <c r="D261" s="25"/>
      <c r="E261" s="25"/>
      <c r="F261" s="25"/>
      <c r="G261" s="25"/>
      <c r="H261" s="95"/>
      <c r="I261" s="95"/>
      <c r="J261" s="95"/>
      <c r="K261" s="95"/>
      <c r="L261" s="95"/>
      <c r="M261" s="95"/>
      <c r="N261" s="95"/>
      <c r="O261" s="95"/>
      <c r="P261" s="95"/>
      <c r="Q261" s="95"/>
      <c r="R261" s="54">
        <v>0</v>
      </c>
      <c r="S261" s="94">
        <v>0</v>
      </c>
      <c r="T261" s="53">
        <v>0</v>
      </c>
      <c r="U261" s="94">
        <v>0</v>
      </c>
      <c r="V261" s="25"/>
      <c r="W261" s="25"/>
      <c r="X261" s="5"/>
    </row>
    <row r="262" spans="1:24" ht="15.6" x14ac:dyDescent="0.3">
      <c r="A262" s="24"/>
      <c r="B262" s="54" t="s">
        <v>161</v>
      </c>
      <c r="C262" s="25"/>
      <c r="D262" s="25"/>
      <c r="E262" s="25"/>
      <c r="F262" s="25"/>
      <c r="G262" s="25"/>
      <c r="H262" s="95"/>
      <c r="I262" s="95"/>
      <c r="J262" s="95"/>
      <c r="K262" s="95"/>
      <c r="L262" s="95"/>
      <c r="M262" s="95"/>
      <c r="N262" s="95"/>
      <c r="O262" s="95"/>
      <c r="P262" s="95"/>
      <c r="Q262" s="95"/>
      <c r="R262" s="54">
        <v>0</v>
      </c>
      <c r="S262" s="94">
        <v>0</v>
      </c>
      <c r="T262" s="53">
        <v>0</v>
      </c>
      <c r="U262" s="94">
        <v>0</v>
      </c>
      <c r="V262" s="25"/>
      <c r="W262" s="25"/>
      <c r="X262" s="5"/>
    </row>
    <row r="263" spans="1:24" ht="15.6" x14ac:dyDescent="0.3">
      <c r="A263" s="24"/>
      <c r="B263" s="54" t="s">
        <v>162</v>
      </c>
      <c r="C263" s="25"/>
      <c r="D263" s="25"/>
      <c r="E263" s="25"/>
      <c r="F263" s="25"/>
      <c r="G263" s="25"/>
      <c r="H263" s="95"/>
      <c r="I263" s="95"/>
      <c r="J263" s="95"/>
      <c r="K263" s="95"/>
      <c r="L263" s="95"/>
      <c r="M263" s="95"/>
      <c r="N263" s="95"/>
      <c r="O263" s="95"/>
      <c r="P263" s="95"/>
      <c r="Q263" s="95"/>
      <c r="R263" s="54">
        <v>0</v>
      </c>
      <c r="S263" s="94">
        <v>0</v>
      </c>
      <c r="T263" s="53">
        <v>0</v>
      </c>
      <c r="U263" s="94">
        <v>0</v>
      </c>
      <c r="V263" s="25"/>
      <c r="W263" s="25"/>
      <c r="X263" s="5"/>
    </row>
    <row r="264" spans="1:24" ht="15.6" x14ac:dyDescent="0.3">
      <c r="A264" s="24"/>
      <c r="B264" s="54" t="s">
        <v>163</v>
      </c>
      <c r="C264" s="25"/>
      <c r="D264" s="25"/>
      <c r="E264" s="25"/>
      <c r="F264" s="25"/>
      <c r="G264" s="25"/>
      <c r="H264" s="95"/>
      <c r="I264" s="95"/>
      <c r="J264" s="95"/>
      <c r="K264" s="95"/>
      <c r="L264" s="95"/>
      <c r="M264" s="95"/>
      <c r="N264" s="95"/>
      <c r="O264" s="95"/>
      <c r="P264" s="95"/>
      <c r="Q264" s="95"/>
      <c r="R264" s="54">
        <v>0</v>
      </c>
      <c r="S264" s="94">
        <v>0</v>
      </c>
      <c r="T264" s="53">
        <v>0</v>
      </c>
      <c r="U264" s="94">
        <v>0</v>
      </c>
      <c r="V264" s="25"/>
      <c r="W264" s="25"/>
      <c r="X264" s="5"/>
    </row>
    <row r="265" spans="1:24" ht="15.6" x14ac:dyDescent="0.3">
      <c r="A265" s="24"/>
      <c r="B265" s="54" t="s">
        <v>164</v>
      </c>
      <c r="C265" s="25"/>
      <c r="D265" s="25"/>
      <c r="E265" s="25"/>
      <c r="F265" s="25"/>
      <c r="G265" s="25"/>
      <c r="H265" s="95"/>
      <c r="I265" s="95"/>
      <c r="J265" s="95"/>
      <c r="K265" s="95"/>
      <c r="L265" s="95"/>
      <c r="M265" s="95"/>
      <c r="N265" s="95"/>
      <c r="O265" s="95"/>
      <c r="P265" s="95"/>
      <c r="Q265" s="95"/>
      <c r="R265" s="54">
        <v>0</v>
      </c>
      <c r="S265" s="94">
        <v>0</v>
      </c>
      <c r="T265" s="53">
        <v>0</v>
      </c>
      <c r="U265" s="94">
        <v>0</v>
      </c>
      <c r="V265" s="25"/>
      <c r="W265" s="25"/>
      <c r="X265" s="5"/>
    </row>
    <row r="266" spans="1:24" ht="15.6" x14ac:dyDescent="0.3">
      <c r="A266" s="24"/>
      <c r="B266" s="54" t="s">
        <v>165</v>
      </c>
      <c r="C266" s="25"/>
      <c r="D266" s="25"/>
      <c r="E266" s="25"/>
      <c r="F266" s="25"/>
      <c r="G266" s="25"/>
      <c r="H266" s="95"/>
      <c r="I266" s="95"/>
      <c r="J266" s="95"/>
      <c r="K266" s="95"/>
      <c r="L266" s="95"/>
      <c r="M266" s="95"/>
      <c r="N266" s="95"/>
      <c r="O266" s="95"/>
      <c r="P266" s="95"/>
      <c r="Q266" s="95"/>
      <c r="R266" s="54">
        <v>0</v>
      </c>
      <c r="S266" s="94">
        <v>0</v>
      </c>
      <c r="T266" s="53">
        <v>0</v>
      </c>
      <c r="U266" s="94">
        <v>0</v>
      </c>
      <c r="V266" s="25"/>
      <c r="W266" s="25"/>
      <c r="X266" s="5"/>
    </row>
    <row r="267" spans="1:24" ht="15.6" x14ac:dyDescent="0.3">
      <c r="A267" s="24"/>
      <c r="B267" s="54"/>
      <c r="C267" s="25"/>
      <c r="D267" s="25"/>
      <c r="E267" s="25"/>
      <c r="F267" s="25"/>
      <c r="G267" s="25"/>
      <c r="H267" s="95"/>
      <c r="I267" s="95"/>
      <c r="J267" s="95"/>
      <c r="K267" s="95"/>
      <c r="L267" s="95"/>
      <c r="M267" s="95"/>
      <c r="N267" s="95"/>
      <c r="O267" s="95"/>
      <c r="P267" s="95"/>
      <c r="Q267" s="95"/>
      <c r="R267" s="54"/>
      <c r="S267" s="94"/>
      <c r="T267" s="53"/>
      <c r="U267" s="132"/>
      <c r="V267" s="25"/>
      <c r="W267" s="25"/>
      <c r="X267" s="5"/>
    </row>
    <row r="268" spans="1:24" ht="15.6" x14ac:dyDescent="0.3">
      <c r="A268" s="24"/>
      <c r="B268" s="25" t="s">
        <v>119</v>
      </c>
      <c r="C268" s="25"/>
      <c r="D268" s="25"/>
      <c r="E268" s="25"/>
      <c r="F268" s="25"/>
      <c r="G268" s="25"/>
      <c r="H268" s="95"/>
      <c r="I268" s="95"/>
      <c r="J268" s="95"/>
      <c r="K268" s="95"/>
      <c r="L268" s="95"/>
      <c r="M268" s="95"/>
      <c r="N268" s="95"/>
      <c r="O268" s="95"/>
      <c r="P268" s="95"/>
      <c r="Q268" s="95"/>
      <c r="R268" s="34">
        <f>SUM(R259:R266)</f>
        <v>0</v>
      </c>
      <c r="S268" s="132">
        <f>SUM(S259:S267)</f>
        <v>0</v>
      </c>
      <c r="T268" s="53">
        <f>SUM(T259:T266)</f>
        <v>0</v>
      </c>
      <c r="U268" s="132">
        <f>SUM(U259:U267)</f>
        <v>0</v>
      </c>
      <c r="V268" s="25"/>
      <c r="W268" s="25"/>
      <c r="X268" s="5"/>
    </row>
    <row r="269" spans="1:24" ht="15.6" x14ac:dyDescent="0.3">
      <c r="A269" s="24"/>
      <c r="B269" s="25"/>
      <c r="C269" s="25"/>
      <c r="D269" s="25"/>
      <c r="E269" s="25"/>
      <c r="F269" s="25"/>
      <c r="G269" s="25"/>
      <c r="H269" s="95"/>
      <c r="I269" s="95"/>
      <c r="J269" s="95"/>
      <c r="K269" s="95"/>
      <c r="L269" s="95"/>
      <c r="M269" s="95"/>
      <c r="N269" s="95"/>
      <c r="O269" s="95"/>
      <c r="P269" s="95"/>
      <c r="Q269" s="95"/>
      <c r="R269" s="34"/>
      <c r="S269" s="132"/>
      <c r="T269" s="53"/>
      <c r="U269" s="132"/>
      <c r="V269" s="25"/>
      <c r="W269" s="25"/>
      <c r="X269" s="5"/>
    </row>
    <row r="270" spans="1:24" ht="15.6" x14ac:dyDescent="0.3">
      <c r="A270" s="24"/>
      <c r="B270" s="142" t="s">
        <v>170</v>
      </c>
      <c r="C270" s="25"/>
      <c r="D270" s="25"/>
      <c r="E270" s="25"/>
      <c r="F270" s="25"/>
      <c r="G270" s="25"/>
      <c r="H270" s="95"/>
      <c r="I270" s="95"/>
      <c r="J270" s="95"/>
      <c r="K270" s="95"/>
      <c r="L270" s="95"/>
      <c r="M270" s="95"/>
      <c r="N270" s="95"/>
      <c r="O270" s="95"/>
      <c r="P270" s="95"/>
      <c r="Q270" s="95"/>
      <c r="R270" s="161">
        <f>R268+R256+R244</f>
        <v>7782</v>
      </c>
      <c r="S270" s="143"/>
      <c r="T270" s="144">
        <f>+T268+T256+T244</f>
        <v>1054577</v>
      </c>
      <c r="U270" s="143"/>
      <c r="V270" s="25"/>
      <c r="W270" s="25"/>
      <c r="X270" s="5"/>
    </row>
    <row r="271" spans="1:24" ht="15.6" x14ac:dyDescent="0.3">
      <c r="A271" s="24"/>
      <c r="B271" s="25"/>
      <c r="C271" s="25"/>
      <c r="D271" s="25"/>
      <c r="E271" s="25"/>
      <c r="F271" s="25"/>
      <c r="G271" s="25"/>
      <c r="H271" s="95"/>
      <c r="I271" s="95"/>
      <c r="J271" s="95"/>
      <c r="K271" s="95"/>
      <c r="L271" s="95"/>
      <c r="M271" s="95"/>
      <c r="N271" s="95"/>
      <c r="O271" s="95"/>
      <c r="P271" s="95"/>
      <c r="Q271" s="95"/>
      <c r="R271" s="95"/>
      <c r="S271" s="95"/>
      <c r="T271" s="53"/>
      <c r="U271" s="95"/>
      <c r="V271" s="25"/>
      <c r="W271" s="25"/>
      <c r="X271" s="5"/>
    </row>
    <row r="272" spans="1:24" ht="15.6" x14ac:dyDescent="0.3">
      <c r="A272" s="6"/>
      <c r="B272" s="8"/>
      <c r="C272" s="8"/>
      <c r="D272" s="8"/>
      <c r="E272" s="8"/>
      <c r="F272" s="8"/>
      <c r="G272" s="8"/>
      <c r="H272" s="96"/>
      <c r="I272" s="96"/>
      <c r="J272" s="96"/>
      <c r="K272" s="96"/>
      <c r="L272" s="96"/>
      <c r="M272" s="96"/>
      <c r="N272" s="96"/>
      <c r="O272" s="96"/>
      <c r="P272" s="96"/>
      <c r="Q272" s="96"/>
      <c r="R272" s="96"/>
      <c r="S272" s="96"/>
      <c r="T272" s="97"/>
      <c r="U272" s="96"/>
      <c r="V272" s="8"/>
      <c r="W272" s="8"/>
      <c r="X272" s="5"/>
    </row>
    <row r="273" spans="1:24" ht="15.6" x14ac:dyDescent="0.3">
      <c r="A273" s="167"/>
      <c r="B273" s="14" t="s">
        <v>93</v>
      </c>
      <c r="C273" s="15"/>
      <c r="D273" s="15"/>
      <c r="E273" s="15"/>
      <c r="F273" s="17" t="s">
        <v>99</v>
      </c>
      <c r="G273" s="15"/>
      <c r="H273" s="14" t="s">
        <v>101</v>
      </c>
      <c r="I273" s="162"/>
      <c r="J273" s="162"/>
      <c r="K273" s="162"/>
      <c r="L273" s="162"/>
      <c r="M273" s="162"/>
      <c r="N273" s="162"/>
      <c r="O273" s="162"/>
      <c r="P273" s="162"/>
      <c r="Q273" s="162"/>
      <c r="R273" s="162"/>
      <c r="S273" s="162"/>
      <c r="T273" s="162"/>
      <c r="U273" s="162"/>
      <c r="V273" s="162"/>
      <c r="W273" s="162"/>
      <c r="X273" s="5"/>
    </row>
    <row r="274" spans="1:24" ht="15.6" x14ac:dyDescent="0.3">
      <c r="A274" s="167"/>
      <c r="B274" s="162"/>
      <c r="C274" s="8"/>
      <c r="D274" s="8"/>
      <c r="E274" s="8"/>
      <c r="F274" s="8"/>
      <c r="G274" s="8"/>
      <c r="H274" s="8"/>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94</v>
      </c>
      <c r="C275" s="13"/>
      <c r="D275" s="13"/>
      <c r="E275" s="13"/>
      <c r="F275" s="130" t="s">
        <v>153</v>
      </c>
      <c r="G275" s="13"/>
      <c r="H275" s="13" t="s">
        <v>157</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t="s">
        <v>277</v>
      </c>
      <c r="C276" s="13"/>
      <c r="D276" s="13"/>
      <c r="E276" s="13"/>
      <c r="F276" s="130" t="s">
        <v>278</v>
      </c>
      <c r="G276" s="13"/>
      <c r="H276" s="13" t="s">
        <v>279</v>
      </c>
      <c r="I276" s="162"/>
      <c r="J276" s="162"/>
      <c r="K276" s="162"/>
      <c r="L276" s="162"/>
      <c r="M276" s="162"/>
      <c r="N276" s="162"/>
      <c r="O276" s="162"/>
      <c r="P276" s="162"/>
      <c r="Q276" s="162"/>
      <c r="R276" s="162"/>
      <c r="S276" s="162"/>
      <c r="T276" s="162"/>
      <c r="U276" s="162"/>
      <c r="V276" s="162"/>
      <c r="W276" s="162"/>
      <c r="X276" s="5"/>
    </row>
    <row r="277" spans="1:24" ht="15.6" x14ac:dyDescent="0.3">
      <c r="A277" s="167"/>
      <c r="B277" s="13" t="s">
        <v>95</v>
      </c>
      <c r="C277" s="13"/>
      <c r="D277" s="13"/>
      <c r="E277" s="13"/>
      <c r="F277" s="130" t="s">
        <v>152</v>
      </c>
      <c r="G277" s="13"/>
      <c r="H277" s="13" t="s">
        <v>158</v>
      </c>
      <c r="I277" s="162"/>
      <c r="J277" s="162"/>
      <c r="K277" s="162"/>
      <c r="L277" s="162"/>
      <c r="M277" s="162"/>
      <c r="N277" s="162"/>
      <c r="O277" s="162"/>
      <c r="P277" s="162"/>
      <c r="Q277" s="162"/>
      <c r="R277" s="162"/>
      <c r="S277" s="162"/>
      <c r="T277" s="162"/>
      <c r="U277" s="162"/>
      <c r="V277" s="162"/>
      <c r="W277" s="162"/>
      <c r="X277" s="5"/>
    </row>
    <row r="278" spans="1:24" ht="15.6" x14ac:dyDescent="0.3">
      <c r="A278" s="167"/>
      <c r="B278" s="13"/>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ht="18" thickBot="1" x14ac:dyDescent="0.35">
      <c r="A279" s="167"/>
      <c r="B279" s="49" t="str">
        <f>B196</f>
        <v>PM12 INVESTOR REPORT QUARTER ENDING OCTOBER 2009</v>
      </c>
      <c r="C279" s="13"/>
      <c r="D279" s="13"/>
      <c r="E279" s="13"/>
      <c r="F279" s="13"/>
      <c r="G279" s="99"/>
      <c r="H279" s="162"/>
      <c r="I279" s="162"/>
      <c r="J279" s="162"/>
      <c r="K279" s="162"/>
      <c r="L279" s="162"/>
      <c r="M279" s="162"/>
      <c r="N279" s="162"/>
      <c r="O279" s="162"/>
      <c r="P279" s="162"/>
      <c r="Q279" s="162"/>
      <c r="R279" s="162"/>
      <c r="S279" s="162"/>
      <c r="T279" s="162"/>
      <c r="U279" s="162"/>
      <c r="V279" s="162"/>
      <c r="W279" s="162"/>
      <c r="X279" s="5"/>
    </row>
    <row r="280" spans="1:24" x14ac:dyDescent="0.25">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row>
  </sheetData>
  <phoneticPr fontId="0" type="noConversion"/>
  <hyperlinks>
    <hyperlink ref="P232" r:id="rId1" xr:uid="{00000000-0004-0000-0C00-000000000000}"/>
    <hyperlink ref="I9" r:id="rId2" xr:uid="{00000000-0004-0000-0C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6" max="14" man="1"/>
    <brk id="196" max="14"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2D2926"/>
  </sheetPr>
  <dimension ref="A1:Y280"/>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0.6452</v>
      </c>
      <c r="T16" s="17" t="s">
        <v>145</v>
      </c>
      <c r="U16" s="137">
        <v>0.3548</v>
      </c>
      <c r="V16" s="16"/>
      <c r="W16" s="15"/>
      <c r="X16" s="5"/>
    </row>
    <row r="17" spans="1:25"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5" ht="15.6" x14ac:dyDescent="0.3">
      <c r="A18" s="6"/>
      <c r="B18" s="14" t="s">
        <v>5</v>
      </c>
      <c r="C18" s="15"/>
      <c r="D18" s="15"/>
      <c r="E18" s="15"/>
      <c r="F18" s="15"/>
      <c r="G18" s="15"/>
      <c r="H18" s="15"/>
      <c r="I18" s="15"/>
      <c r="J18" s="15"/>
      <c r="K18" s="15"/>
      <c r="L18" s="15"/>
      <c r="M18" s="15"/>
      <c r="N18" s="15"/>
      <c r="O18" s="15"/>
      <c r="P18" s="15"/>
      <c r="Q18" s="15"/>
      <c r="R18" s="15"/>
      <c r="S18" s="15"/>
      <c r="T18" s="15"/>
      <c r="U18" s="15"/>
      <c r="V18" s="19">
        <v>40226</v>
      </c>
      <c r="W18" s="15"/>
      <c r="X18" s="5"/>
      <c r="Y18" s="170"/>
    </row>
    <row r="19" spans="1:25"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5"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5"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5"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5"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5"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5"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5"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5"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5"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5"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5"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5"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5" ht="15.6" x14ac:dyDescent="0.3">
      <c r="A32" s="24"/>
      <c r="B32" s="25" t="s">
        <v>137</v>
      </c>
      <c r="C32" s="32"/>
      <c r="D32" s="146">
        <f>D31*D38</f>
        <v>985102.49999999988</v>
      </c>
      <c r="E32" s="32"/>
      <c r="F32" s="31">
        <f>F31*F38</f>
        <v>95226.661999999997</v>
      </c>
      <c r="G32" s="31"/>
      <c r="H32" s="124">
        <f>H31*H38</f>
        <v>160900.22199999998</v>
      </c>
      <c r="I32" s="124"/>
      <c r="J32" s="146">
        <f>J31*J38</f>
        <v>204244.58499999999</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977326.8</v>
      </c>
      <c r="E33" s="36"/>
      <c r="F33" s="35">
        <f>F37*F31</f>
        <v>94475.010999999999</v>
      </c>
      <c r="G33" s="35"/>
      <c r="H33" s="125">
        <f>H31*H37</f>
        <v>159630.19099999999</v>
      </c>
      <c r="I33" s="125"/>
      <c r="J33" s="151">
        <f>J37*J31</f>
        <v>202632.42319999999</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535381.53649500001</v>
      </c>
      <c r="E35" s="32"/>
      <c r="F35" s="31">
        <f>F34*F38</f>
        <v>95226.661999999997</v>
      </c>
      <c r="G35" s="31"/>
      <c r="H35" s="31">
        <f>H34*H38</f>
        <v>110965.98738959999</v>
      </c>
      <c r="I35" s="31"/>
      <c r="J35" s="31">
        <f>J34*J38</f>
        <v>111002.66317</v>
      </c>
      <c r="K35" s="31"/>
      <c r="L35" s="31">
        <f>+L34</f>
        <v>25000</v>
      </c>
      <c r="M35" s="31"/>
      <c r="N35" s="31">
        <f>+N34</f>
        <v>86897</v>
      </c>
      <c r="O35" s="31"/>
      <c r="P35" s="31">
        <f>+P34</f>
        <v>17000</v>
      </c>
      <c r="Q35" s="31"/>
      <c r="R35" s="31">
        <f>+R34</f>
        <v>73103</v>
      </c>
      <c r="S35" s="31"/>
      <c r="T35" s="31"/>
      <c r="U35" s="164"/>
      <c r="V35" s="154">
        <f>SUM(C35:R35)</f>
        <v>1054576.8490546001</v>
      </c>
      <c r="W35" s="34"/>
      <c r="X35" s="5"/>
    </row>
    <row r="36" spans="1:24" ht="15.6" x14ac:dyDescent="0.3">
      <c r="A36" s="28"/>
      <c r="B36" s="29" t="s">
        <v>295</v>
      </c>
      <c r="C36" s="126"/>
      <c r="D36" s="35">
        <f>D34*D37</f>
        <v>531155.61461040005</v>
      </c>
      <c r="E36" s="36"/>
      <c r="F36" s="35">
        <f>F34*F37</f>
        <v>94475.010999999999</v>
      </c>
      <c r="G36" s="35"/>
      <c r="H36" s="35">
        <f>H34*H37</f>
        <v>110090.1014388</v>
      </c>
      <c r="I36" s="35"/>
      <c r="J36" s="35">
        <f>J34*J37</f>
        <v>110126.4869264</v>
      </c>
      <c r="K36" s="35"/>
      <c r="L36" s="35">
        <f>+L34</f>
        <v>25000</v>
      </c>
      <c r="M36" s="35"/>
      <c r="N36" s="35">
        <f>+N34</f>
        <v>86897</v>
      </c>
      <c r="O36" s="35"/>
      <c r="P36" s="35">
        <f>+P34</f>
        <v>17000</v>
      </c>
      <c r="Q36" s="35"/>
      <c r="R36" s="35">
        <f>+R34</f>
        <v>73103</v>
      </c>
      <c r="S36" s="128"/>
      <c r="T36" s="128"/>
      <c r="U36" s="164"/>
      <c r="V36" s="155">
        <f>SUM(C36:R36)</f>
        <v>1047847.2139756</v>
      </c>
      <c r="W36" s="34"/>
      <c r="X36" s="5"/>
    </row>
    <row r="37" spans="1:24" ht="15.6" x14ac:dyDescent="0.3">
      <c r="A37" s="24"/>
      <c r="B37" s="122" t="s">
        <v>135</v>
      </c>
      <c r="C37" s="25"/>
      <c r="D37" s="168">
        <v>0.6515512</v>
      </c>
      <c r="E37" s="169"/>
      <c r="F37" s="168">
        <v>0.65155180000000001</v>
      </c>
      <c r="G37" s="168"/>
      <c r="H37" s="168">
        <v>0.65155180000000001</v>
      </c>
      <c r="I37" s="168"/>
      <c r="J37" s="168">
        <v>0.6515512</v>
      </c>
      <c r="K37" s="168"/>
      <c r="L37" s="168">
        <v>1</v>
      </c>
      <c r="M37" s="168"/>
      <c r="N37" s="168">
        <v>1</v>
      </c>
      <c r="O37" s="168"/>
      <c r="P37" s="168">
        <v>1</v>
      </c>
      <c r="Q37" s="168"/>
      <c r="R37" s="168">
        <v>1</v>
      </c>
      <c r="S37" s="30"/>
      <c r="T37" s="30"/>
      <c r="U37" s="163"/>
      <c r="V37" s="163"/>
      <c r="W37" s="25"/>
      <c r="X37" s="5"/>
    </row>
    <row r="38" spans="1:24" ht="15.6" x14ac:dyDescent="0.3">
      <c r="A38" s="24"/>
      <c r="B38" s="122" t="s">
        <v>136</v>
      </c>
      <c r="C38" s="25"/>
      <c r="D38" s="168">
        <v>0.65673499999999996</v>
      </c>
      <c r="E38" s="169"/>
      <c r="F38" s="168">
        <v>0.65673559999999997</v>
      </c>
      <c r="G38" s="168"/>
      <c r="H38" s="168">
        <v>0.65673559999999997</v>
      </c>
      <c r="I38" s="168"/>
      <c r="J38" s="168">
        <v>0.65673499999999996</v>
      </c>
      <c r="K38" s="168"/>
      <c r="L38" s="168">
        <v>1</v>
      </c>
      <c r="M38" s="168"/>
      <c r="N38" s="168">
        <v>1</v>
      </c>
      <c r="O38" s="168"/>
      <c r="P38" s="168">
        <v>1</v>
      </c>
      <c r="Q38" s="168"/>
      <c r="R38" s="168">
        <v>1</v>
      </c>
      <c r="S38" s="39"/>
      <c r="T38" s="38"/>
      <c r="U38" s="163"/>
      <c r="V38" s="39"/>
      <c r="W38" s="25"/>
      <c r="X38" s="5"/>
    </row>
    <row r="39" spans="1:24" ht="15.6" x14ac:dyDescent="0.3">
      <c r="A39" s="24"/>
      <c r="B39" s="25" t="s">
        <v>11</v>
      </c>
      <c r="C39" s="25"/>
      <c r="D39" s="30" t="s">
        <v>235</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3.5312999999999998E-3</v>
      </c>
      <c r="E40" s="25"/>
      <c r="F40" s="38">
        <v>7.3406000000000001E-3</v>
      </c>
      <c r="G40" s="39"/>
      <c r="H40" s="38">
        <v>8.3400000000000002E-3</v>
      </c>
      <c r="I40" s="38"/>
      <c r="J40" s="38">
        <v>3.8249999999999998E-3</v>
      </c>
      <c r="K40" s="39"/>
      <c r="L40" s="38">
        <v>8.5406000000000006E-3</v>
      </c>
      <c r="M40" s="39"/>
      <c r="N40" s="38">
        <v>9.5399999999999999E-3</v>
      </c>
      <c r="O40" s="39"/>
      <c r="P40" s="38">
        <v>1.0740599999999999E-2</v>
      </c>
      <c r="Q40" s="39"/>
      <c r="R40" s="38">
        <v>1.174E-2</v>
      </c>
      <c r="S40" s="39"/>
      <c r="T40" s="38"/>
      <c r="U40" s="163"/>
      <c r="V40" s="30"/>
      <c r="W40" s="25"/>
      <c r="X40" s="5"/>
    </row>
    <row r="41" spans="1:24" ht="15.6" x14ac:dyDescent="0.3">
      <c r="A41" s="24"/>
      <c r="B41" s="25" t="s">
        <v>13</v>
      </c>
      <c r="C41" s="25"/>
      <c r="D41" s="38">
        <v>3.65E-3</v>
      </c>
      <c r="E41" s="25"/>
      <c r="F41" s="38">
        <v>8.7749999999999998E-3</v>
      </c>
      <c r="G41" s="39"/>
      <c r="H41" s="38">
        <v>9.9299999999999996E-3</v>
      </c>
      <c r="I41" s="38"/>
      <c r="J41" s="38">
        <v>5.4999999999999997E-3</v>
      </c>
      <c r="K41" s="39"/>
      <c r="L41" s="38">
        <v>9.9749999999999995E-3</v>
      </c>
      <c r="M41" s="39"/>
      <c r="N41" s="38">
        <v>1.1129999999999999E-2</v>
      </c>
      <c r="O41" s="39"/>
      <c r="P41" s="38">
        <v>1.2175E-2</v>
      </c>
      <c r="Q41" s="39"/>
      <c r="R41" s="38">
        <v>1.333E-2</v>
      </c>
      <c r="S41" s="39"/>
      <c r="T41" s="38"/>
      <c r="U41" s="163"/>
      <c r="V41" s="39" t="s">
        <v>199</v>
      </c>
      <c r="W41" s="25"/>
      <c r="X41" s="5"/>
    </row>
    <row r="42" spans="1:24" ht="15.6" x14ac:dyDescent="0.3">
      <c r="A42" s="24"/>
      <c r="B42" s="25" t="s">
        <v>296</v>
      </c>
      <c r="C42" s="25"/>
      <c r="D42" s="30" t="s">
        <v>286</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7.5439000000000001E-3</v>
      </c>
      <c r="E43" s="38"/>
      <c r="F43" s="38">
        <f>+F40</f>
        <v>7.3406000000000001E-3</v>
      </c>
      <c r="G43" s="38"/>
      <c r="H43" s="38">
        <v>7.3016000000000001E-3</v>
      </c>
      <c r="I43" s="38"/>
      <c r="J43" s="38">
        <v>7.4225999999999997E-3</v>
      </c>
      <c r="K43" s="38"/>
      <c r="L43" s="38">
        <f>+L40</f>
        <v>8.5406000000000006E-3</v>
      </c>
      <c r="M43" s="38"/>
      <c r="N43" s="38">
        <v>8.6415999999999993E-3</v>
      </c>
      <c r="O43" s="38"/>
      <c r="P43" s="38">
        <f>+P40</f>
        <v>1.0740599999999999E-2</v>
      </c>
      <c r="Q43" s="39"/>
      <c r="R43" s="38">
        <v>1.09766E-2</v>
      </c>
      <c r="S43" s="30"/>
      <c r="T43" s="30"/>
      <c r="U43" s="163"/>
      <c r="V43" s="39">
        <f>SUMPRODUCT(D43:R43,D35:R35)/V35</f>
        <v>7.8908426084560619E-3</v>
      </c>
      <c r="W43" s="25"/>
      <c r="X43" s="5"/>
    </row>
    <row r="44" spans="1:24" ht="15.6" x14ac:dyDescent="0.3">
      <c r="A44" s="24"/>
      <c r="B44" s="25" t="s">
        <v>298</v>
      </c>
      <c r="C44" s="110"/>
      <c r="D44" s="38">
        <v>8.9782999999999998E-3</v>
      </c>
      <c r="E44" s="38"/>
      <c r="F44" s="38">
        <f>+F41</f>
        <v>8.7749999999999998E-3</v>
      </c>
      <c r="G44" s="38"/>
      <c r="H44" s="38">
        <v>8.7360000000000007E-3</v>
      </c>
      <c r="I44" s="38"/>
      <c r="J44" s="38">
        <v>8.8570000000000003E-3</v>
      </c>
      <c r="K44" s="38"/>
      <c r="L44" s="38">
        <f>+L41</f>
        <v>9.9749999999999995E-3</v>
      </c>
      <c r="M44" s="38"/>
      <c r="N44" s="38">
        <v>1.0076E-2</v>
      </c>
      <c r="O44" s="38"/>
      <c r="P44" s="38">
        <f>+P41</f>
        <v>1.2175E-2</v>
      </c>
      <c r="Q44" s="39"/>
      <c r="R44" s="38">
        <v>1.2411E-2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0.23881381490939932</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40225</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91</v>
      </c>
      <c r="S57" s="25"/>
      <c r="T57" s="45">
        <v>40042</v>
      </c>
      <c r="U57" s="46"/>
      <c r="V57" s="45">
        <v>40132</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92</v>
      </c>
      <c r="S58" s="25"/>
      <c r="T58" s="45">
        <v>40133</v>
      </c>
      <c r="U58" s="46"/>
      <c r="V58" s="45">
        <v>40224</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40210</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301</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1054577</v>
      </c>
      <c r="O69" s="34"/>
      <c r="P69" s="34">
        <f>6730+421+42</f>
        <v>7193</v>
      </c>
      <c r="Q69" s="34"/>
      <c r="R69" s="34">
        <f>421+42</f>
        <v>463</v>
      </c>
      <c r="S69" s="34"/>
      <c r="T69" s="34">
        <v>0</v>
      </c>
      <c r="U69" s="34"/>
      <c r="V69" s="53">
        <f>+N69-P69+R69-T69</f>
        <v>1047847</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1054577</v>
      </c>
      <c r="O72" s="34"/>
      <c r="P72" s="34">
        <f>SUM(P69:P71)</f>
        <v>7193</v>
      </c>
      <c r="Q72" s="34"/>
      <c r="R72" s="34">
        <f>SUM(R69:R71)</f>
        <v>463</v>
      </c>
      <c r="S72" s="34"/>
      <c r="T72" s="34">
        <f>SUM(T69:T71)</f>
        <v>0</v>
      </c>
      <c r="U72" s="34"/>
      <c r="V72" s="54">
        <f>SUM(V69:V71)</f>
        <v>1047847</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1054577</v>
      </c>
      <c r="O85" s="34"/>
      <c r="P85" s="34"/>
      <c r="Q85" s="34"/>
      <c r="R85" s="34"/>
      <c r="S85" s="34"/>
      <c r="T85" s="54"/>
      <c r="U85" s="34"/>
      <c r="V85" s="54">
        <f>SUM(V72:V84)</f>
        <v>1047847</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+T197</f>
        <v>40207</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7193-240</f>
        <v>6953</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5149+3132+33-597-297</f>
        <v>7420</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118+12</f>
        <v>130</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60</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v>0</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161</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6953</v>
      </c>
      <c r="U97" s="25"/>
      <c r="V97" s="54">
        <f>SUM(V89:V96)</f>
        <v>7771</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-17</v>
      </c>
      <c r="U98" s="25"/>
      <c r="V98" s="54">
        <v>17</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282</v>
      </c>
      <c r="C100" s="25"/>
      <c r="D100" s="25"/>
      <c r="E100" s="25"/>
      <c r="F100" s="25"/>
      <c r="G100" s="25"/>
      <c r="H100" s="25"/>
      <c r="I100" s="25"/>
      <c r="J100" s="25"/>
      <c r="K100" s="25"/>
      <c r="L100" s="25"/>
      <c r="M100" s="25"/>
      <c r="N100" s="25"/>
      <c r="O100" s="25"/>
      <c r="P100" s="25"/>
      <c r="Q100" s="25"/>
      <c r="R100" s="25"/>
      <c r="S100" s="25"/>
      <c r="T100" s="34"/>
      <c r="U100" s="25"/>
      <c r="V100" s="53">
        <v>-95</v>
      </c>
      <c r="W100" s="25"/>
      <c r="X100" s="5"/>
    </row>
    <row r="101" spans="1:25"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6936</v>
      </c>
      <c r="U101" s="25"/>
      <c r="V101" s="54">
        <f>V97+V99+V98+V100</f>
        <v>7693</v>
      </c>
      <c r="W101" s="25"/>
      <c r="X101" s="5"/>
    </row>
    <row r="102" spans="1:25"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5"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5" ht="15.6" x14ac:dyDescent="0.3">
      <c r="A104" s="24">
        <f>+A103+1</f>
        <v>2</v>
      </c>
      <c r="B104" s="25" t="s">
        <v>259</v>
      </c>
      <c r="C104" s="25"/>
      <c r="D104" s="25"/>
      <c r="E104" s="25"/>
      <c r="F104" s="25"/>
      <c r="G104" s="25"/>
      <c r="H104" s="25"/>
      <c r="I104" s="25"/>
      <c r="J104" s="25"/>
      <c r="K104" s="25"/>
      <c r="L104" s="25"/>
      <c r="M104" s="25"/>
      <c r="N104" s="25"/>
      <c r="O104" s="25"/>
      <c r="P104" s="25"/>
      <c r="Q104" s="25"/>
      <c r="R104" s="25"/>
      <c r="S104" s="25"/>
      <c r="T104" s="25"/>
      <c r="U104" s="25"/>
      <c r="V104" s="53">
        <v>-2</v>
      </c>
      <c r="W104" s="25"/>
      <c r="X104" s="5"/>
    </row>
    <row r="105" spans="1:25" ht="15.6" x14ac:dyDescent="0.3">
      <c r="A105" s="24">
        <f>+A104+1</f>
        <v>3</v>
      </c>
      <c r="B105" s="25" t="s">
        <v>210</v>
      </c>
      <c r="C105" s="25"/>
      <c r="D105" s="25"/>
      <c r="E105" s="25"/>
      <c r="F105" s="25"/>
      <c r="G105" s="25"/>
      <c r="H105" s="25"/>
      <c r="I105" s="25"/>
      <c r="J105" s="25"/>
      <c r="K105" s="25"/>
      <c r="L105" s="25"/>
      <c r="M105" s="25"/>
      <c r="N105" s="25"/>
      <c r="O105" s="25"/>
      <c r="P105" s="25"/>
      <c r="Q105" s="25"/>
      <c r="R105" s="25"/>
      <c r="S105" s="25"/>
      <c r="T105" s="25"/>
      <c r="U105" s="25"/>
      <c r="V105" s="53">
        <f>-400-226-12</f>
        <v>-638</v>
      </c>
      <c r="W105" s="25"/>
      <c r="X105" s="5"/>
    </row>
    <row r="106" spans="1:25" ht="15.6" x14ac:dyDescent="0.3">
      <c r="A106" s="24" t="s">
        <v>132</v>
      </c>
      <c r="B106" s="25" t="s">
        <v>121</v>
      </c>
      <c r="C106" s="25"/>
      <c r="D106" s="25"/>
      <c r="E106" s="25"/>
      <c r="F106" s="25"/>
      <c r="G106" s="25"/>
      <c r="H106" s="25"/>
      <c r="I106" s="25"/>
      <c r="J106" s="25"/>
      <c r="K106" s="25"/>
      <c r="L106" s="25"/>
      <c r="M106" s="25"/>
      <c r="N106" s="25"/>
      <c r="O106" s="25"/>
      <c r="P106" s="25"/>
      <c r="Q106" s="25"/>
      <c r="R106" s="25"/>
      <c r="S106" s="25"/>
      <c r="T106" s="25"/>
      <c r="U106" s="25"/>
      <c r="V106" s="53">
        <v>-1842</v>
      </c>
      <c r="W106" s="25"/>
      <c r="X106" s="5"/>
    </row>
    <row r="107" spans="1:25" ht="15.6" x14ac:dyDescent="0.3">
      <c r="A107" s="24" t="s">
        <v>133</v>
      </c>
      <c r="B107" s="25" t="s">
        <v>256</v>
      </c>
      <c r="C107" s="25"/>
      <c r="D107" s="25"/>
      <c r="E107" s="25"/>
      <c r="F107" s="25"/>
      <c r="G107" s="25"/>
      <c r="H107" s="25"/>
      <c r="I107" s="25"/>
      <c r="J107" s="25"/>
      <c r="K107" s="25"/>
      <c r="L107" s="25"/>
      <c r="M107" s="25"/>
      <c r="N107" s="25"/>
      <c r="O107" s="25"/>
      <c r="P107" s="25"/>
      <c r="Q107" s="25"/>
      <c r="R107" s="25"/>
      <c r="S107" s="25"/>
      <c r="T107" s="25"/>
      <c r="U107" s="25"/>
      <c r="V107" s="53">
        <f>-1606+176</f>
        <v>-1430</v>
      </c>
      <c r="W107" s="25"/>
      <c r="X107" s="171"/>
      <c r="Y107" s="109"/>
    </row>
    <row r="108" spans="1:25" ht="15.6" x14ac:dyDescent="0.3">
      <c r="A108" s="24" t="s">
        <v>155</v>
      </c>
      <c r="B108" s="25" t="s">
        <v>190</v>
      </c>
      <c r="C108" s="25"/>
      <c r="D108" s="25"/>
      <c r="E108" s="25"/>
      <c r="F108" s="25"/>
      <c r="G108" s="25"/>
      <c r="H108" s="25"/>
      <c r="I108" s="25"/>
      <c r="J108" s="25"/>
      <c r="K108" s="25"/>
      <c r="L108" s="25"/>
      <c r="M108" s="25"/>
      <c r="N108" s="25"/>
      <c r="O108" s="25"/>
      <c r="P108" s="25"/>
      <c r="Q108" s="25"/>
      <c r="R108" s="25"/>
      <c r="S108" s="25"/>
      <c r="T108" s="25"/>
      <c r="U108" s="25"/>
      <c r="V108" s="53">
        <v>-176</v>
      </c>
      <c r="W108" s="25"/>
      <c r="X108" s="5"/>
      <c r="Y108" s="109"/>
    </row>
    <row r="109" spans="1:25" ht="15.6" x14ac:dyDescent="0.3">
      <c r="A109" s="24" t="s">
        <v>211</v>
      </c>
      <c r="B109" s="25" t="s">
        <v>191</v>
      </c>
      <c r="C109" s="25"/>
      <c r="D109" s="25"/>
      <c r="E109" s="25"/>
      <c r="F109" s="25"/>
      <c r="G109" s="25"/>
      <c r="H109" s="25"/>
      <c r="I109" s="25"/>
      <c r="J109" s="25"/>
      <c r="K109" s="25"/>
      <c r="L109" s="25"/>
      <c r="M109" s="25"/>
      <c r="N109" s="25"/>
      <c r="O109" s="25"/>
      <c r="P109" s="25"/>
      <c r="Q109" s="25"/>
      <c r="R109" s="25"/>
      <c r="S109" s="25"/>
      <c r="T109" s="25"/>
      <c r="U109" s="25"/>
      <c r="V109" s="53">
        <v>-189</v>
      </c>
      <c r="W109" s="25"/>
      <c r="X109" s="5"/>
      <c r="Y109" s="109"/>
    </row>
    <row r="110" spans="1:25" ht="15.6" x14ac:dyDescent="0.3">
      <c r="A110" s="24" t="s">
        <v>212</v>
      </c>
      <c r="B110" s="25" t="s">
        <v>192</v>
      </c>
      <c r="C110" s="25"/>
      <c r="D110" s="25"/>
      <c r="E110" s="25"/>
      <c r="F110" s="25"/>
      <c r="G110" s="25"/>
      <c r="H110" s="25"/>
      <c r="I110" s="25"/>
      <c r="J110" s="25"/>
      <c r="K110" s="25"/>
      <c r="L110" s="25"/>
      <c r="M110" s="25"/>
      <c r="N110" s="25"/>
      <c r="O110" s="25"/>
      <c r="P110" s="25"/>
      <c r="Q110" s="25"/>
      <c r="R110" s="25"/>
      <c r="S110" s="25"/>
      <c r="T110" s="25"/>
      <c r="U110" s="25"/>
      <c r="V110" s="53">
        <v>-54</v>
      </c>
      <c r="W110" s="25"/>
      <c r="X110" s="5"/>
      <c r="Y110" s="109"/>
    </row>
    <row r="111" spans="1:25" ht="15.6" x14ac:dyDescent="0.3">
      <c r="A111" s="24" t="s">
        <v>213</v>
      </c>
      <c r="B111" s="25" t="s">
        <v>202</v>
      </c>
      <c r="C111" s="25"/>
      <c r="D111" s="25"/>
      <c r="E111" s="25"/>
      <c r="F111" s="25"/>
      <c r="G111" s="25"/>
      <c r="H111" s="25"/>
      <c r="I111" s="25"/>
      <c r="J111" s="25"/>
      <c r="K111" s="25"/>
      <c r="L111" s="25"/>
      <c r="M111" s="25"/>
      <c r="N111" s="25"/>
      <c r="O111" s="25"/>
      <c r="P111" s="25"/>
      <c r="Q111" s="25"/>
      <c r="R111" s="25"/>
      <c r="S111" s="25"/>
      <c r="T111" s="25"/>
      <c r="U111" s="25"/>
      <c r="V111" s="53">
        <v>-202</v>
      </c>
      <c r="W111" s="25"/>
      <c r="X111" s="5"/>
      <c r="Y111" s="109"/>
    </row>
    <row r="112" spans="1:25" ht="15.6" x14ac:dyDescent="0.3">
      <c r="A112" s="24" t="s">
        <v>258</v>
      </c>
      <c r="B112" s="25" t="s">
        <v>257</v>
      </c>
      <c r="C112" s="25"/>
      <c r="D112" s="25"/>
      <c r="E112" s="25"/>
      <c r="F112" s="25"/>
      <c r="G112" s="25"/>
      <c r="H112" s="25"/>
      <c r="I112" s="25"/>
      <c r="J112" s="25"/>
      <c r="K112" s="25"/>
      <c r="L112" s="25"/>
      <c r="M112" s="25"/>
      <c r="N112" s="25"/>
      <c r="O112" s="25"/>
      <c r="P112" s="25"/>
      <c r="Q112" s="25"/>
      <c r="R112" s="25"/>
      <c r="S112" s="25"/>
      <c r="T112" s="25"/>
      <c r="U112" s="25"/>
      <c r="V112" s="53">
        <v>-46</v>
      </c>
      <c r="W112" s="25"/>
      <c r="X112" s="5"/>
      <c r="Y112" s="109"/>
    </row>
    <row r="113" spans="1:24" ht="15.6" x14ac:dyDescent="0.3">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-10</v>
      </c>
      <c r="W113" s="25"/>
      <c r="X113" s="5"/>
    </row>
    <row r="114" spans="1:24" ht="15.6" x14ac:dyDescent="0.3">
      <c r="A114" s="24">
        <f t="shared" ref="A114:A119" si="0">+A113+1</f>
        <v>8</v>
      </c>
      <c r="B114" s="25" t="s">
        <v>46</v>
      </c>
      <c r="C114" s="25"/>
      <c r="D114" s="25"/>
      <c r="E114" s="25"/>
      <c r="F114" s="25"/>
      <c r="G114" s="25"/>
      <c r="H114" s="25"/>
      <c r="I114" s="25"/>
      <c r="J114" s="25"/>
      <c r="K114" s="25"/>
      <c r="L114" s="25"/>
      <c r="M114" s="25"/>
      <c r="N114" s="25"/>
      <c r="O114" s="25"/>
      <c r="P114" s="25"/>
      <c r="Q114" s="25"/>
      <c r="R114" s="25"/>
      <c r="S114" s="25"/>
      <c r="T114" s="34">
        <f>-V114</f>
        <v>240</v>
      </c>
      <c r="U114" s="25"/>
      <c r="V114" s="53">
        <v>-240</v>
      </c>
      <c r="W114" s="25"/>
      <c r="X114" s="5"/>
    </row>
    <row r="115" spans="1:24" ht="15.6" x14ac:dyDescent="0.3">
      <c r="A115" s="24">
        <f t="shared" si="0"/>
        <v>9</v>
      </c>
      <c r="B115" s="25" t="s">
        <v>130</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10</v>
      </c>
      <c r="B116" s="25" t="s">
        <v>36</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11</v>
      </c>
      <c r="B117" s="25" t="s">
        <v>37</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6" x14ac:dyDescent="0.3">
      <c r="A118" s="24">
        <f t="shared" si="0"/>
        <v>12</v>
      </c>
      <c r="B118" s="25" t="s">
        <v>154</v>
      </c>
      <c r="C118" s="25"/>
      <c r="D118" s="25"/>
      <c r="E118" s="25"/>
      <c r="F118" s="25"/>
      <c r="G118" s="25"/>
      <c r="H118" s="25"/>
      <c r="I118" s="25"/>
      <c r="J118" s="25"/>
      <c r="K118" s="25"/>
      <c r="L118" s="25"/>
      <c r="M118" s="25"/>
      <c r="N118" s="25"/>
      <c r="O118" s="25"/>
      <c r="P118" s="25"/>
      <c r="Q118" s="25"/>
      <c r="R118" s="25"/>
      <c r="S118" s="25"/>
      <c r="T118" s="25"/>
      <c r="U118" s="25"/>
      <c r="V118" s="53">
        <v>-400</v>
      </c>
      <c r="W118" s="25"/>
      <c r="X118" s="5"/>
    </row>
    <row r="119" spans="1:24" ht="15.6" x14ac:dyDescent="0.3">
      <c r="A119" s="24">
        <f t="shared" si="0"/>
        <v>13</v>
      </c>
      <c r="B119" s="25" t="s">
        <v>131</v>
      </c>
      <c r="C119" s="25"/>
      <c r="D119" s="25"/>
      <c r="E119" s="25"/>
      <c r="F119" s="25"/>
      <c r="G119" s="25"/>
      <c r="H119" s="25"/>
      <c r="I119" s="25"/>
      <c r="J119" s="25"/>
      <c r="K119" s="25"/>
      <c r="L119" s="25"/>
      <c r="M119" s="25"/>
      <c r="N119" s="25"/>
      <c r="O119" s="25"/>
      <c r="P119" s="25"/>
      <c r="Q119" s="25"/>
      <c r="R119" s="25"/>
      <c r="S119" s="25"/>
      <c r="T119" s="25"/>
      <c r="U119" s="25"/>
      <c r="V119" s="53">
        <f>-V101-SUM(V103:V118)</f>
        <v>-2464</v>
      </c>
      <c r="W119" s="25"/>
      <c r="X119" s="5"/>
    </row>
    <row r="120" spans="1:24" ht="15.6" x14ac:dyDescent="0.3">
      <c r="A120" s="24"/>
      <c r="B120" s="118" t="s">
        <v>38</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6" x14ac:dyDescent="0.3">
      <c r="A121" s="24"/>
      <c r="B121" s="25" t="s">
        <v>179</v>
      </c>
      <c r="C121" s="25"/>
      <c r="D121" s="25"/>
      <c r="E121" s="25"/>
      <c r="F121" s="25"/>
      <c r="G121" s="25"/>
      <c r="H121" s="25"/>
      <c r="I121" s="25"/>
      <c r="J121" s="25"/>
      <c r="K121" s="25"/>
      <c r="L121" s="25"/>
      <c r="M121" s="25"/>
      <c r="N121" s="25"/>
      <c r="O121" s="25"/>
      <c r="P121" s="25"/>
      <c r="Q121" s="25"/>
      <c r="R121" s="25"/>
      <c r="S121" s="25"/>
      <c r="T121" s="34">
        <f>-T181</f>
        <v>-18</v>
      </c>
      <c r="U121" s="34"/>
      <c r="V121" s="53"/>
      <c r="W121" s="25"/>
      <c r="X121" s="5"/>
    </row>
    <row r="122" spans="1:24" ht="15.6" x14ac:dyDescent="0.3">
      <c r="A122" s="24"/>
      <c r="B122" s="25" t="s">
        <v>180</v>
      </c>
      <c r="C122" s="25"/>
      <c r="D122" s="25"/>
      <c r="E122" s="25"/>
      <c r="F122" s="25"/>
      <c r="G122" s="25"/>
      <c r="H122" s="25"/>
      <c r="I122" s="25"/>
      <c r="J122" s="25"/>
      <c r="K122" s="25"/>
      <c r="L122" s="25"/>
      <c r="M122" s="25"/>
      <c r="N122" s="25"/>
      <c r="O122" s="25"/>
      <c r="P122" s="25"/>
      <c r="Q122" s="25"/>
      <c r="R122" s="25"/>
      <c r="S122" s="25"/>
      <c r="T122" s="34">
        <v>-25</v>
      </c>
      <c r="U122" s="34"/>
      <c r="V122" s="53"/>
      <c r="W122" s="25"/>
      <c r="X122" s="5"/>
    </row>
    <row r="123" spans="1:24" ht="15.6" x14ac:dyDescent="0.3">
      <c r="A123" s="24"/>
      <c r="B123" s="25" t="s">
        <v>39</v>
      </c>
      <c r="C123" s="25"/>
      <c r="D123" s="25"/>
      <c r="E123" s="25"/>
      <c r="F123" s="25"/>
      <c r="G123" s="25"/>
      <c r="H123" s="25"/>
      <c r="I123" s="25"/>
      <c r="J123" s="25"/>
      <c r="K123" s="25"/>
      <c r="L123" s="25"/>
      <c r="M123" s="25"/>
      <c r="N123" s="25"/>
      <c r="O123" s="25"/>
      <c r="P123" s="25"/>
      <c r="Q123" s="25"/>
      <c r="R123" s="25"/>
      <c r="S123" s="25"/>
      <c r="T123" s="34">
        <f>-S181</f>
        <v>-403</v>
      </c>
      <c r="U123" s="34"/>
      <c r="V123" s="53"/>
      <c r="W123" s="25"/>
      <c r="X123" s="5"/>
    </row>
    <row r="124" spans="1:24" ht="15.6" x14ac:dyDescent="0.3">
      <c r="A124" s="24"/>
      <c r="B124" s="25" t="s">
        <v>203</v>
      </c>
      <c r="C124" s="25"/>
      <c r="D124" s="25"/>
      <c r="E124" s="25"/>
      <c r="F124" s="25"/>
      <c r="G124" s="25"/>
      <c r="H124" s="25"/>
      <c r="I124" s="25"/>
      <c r="J124" s="25"/>
      <c r="K124" s="25"/>
      <c r="L124" s="25"/>
      <c r="M124" s="25"/>
      <c r="N124" s="25"/>
      <c r="O124" s="25"/>
      <c r="P124" s="25"/>
      <c r="Q124" s="25"/>
      <c r="R124" s="25"/>
      <c r="S124" s="25"/>
      <c r="T124" s="34">
        <v>-4226</v>
      </c>
      <c r="U124" s="34"/>
      <c r="V124" s="53"/>
      <c r="W124" s="25"/>
      <c r="X124" s="5"/>
    </row>
    <row r="125" spans="1:24" ht="15.6" x14ac:dyDescent="0.3">
      <c r="A125" s="24"/>
      <c r="B125" s="25" t="s">
        <v>201</v>
      </c>
      <c r="C125" s="25"/>
      <c r="D125" s="25"/>
      <c r="E125" s="25"/>
      <c r="F125" s="25"/>
      <c r="G125" s="25"/>
      <c r="H125" s="25"/>
      <c r="I125" s="25"/>
      <c r="J125" s="25"/>
      <c r="K125" s="25"/>
      <c r="L125" s="25"/>
      <c r="M125" s="25"/>
      <c r="N125" s="25"/>
      <c r="O125" s="25"/>
      <c r="P125" s="25"/>
      <c r="Q125" s="25"/>
      <c r="R125" s="25"/>
      <c r="S125" s="25"/>
      <c r="T125" s="34">
        <v>-752</v>
      </c>
      <c r="U125" s="34"/>
      <c r="V125" s="53"/>
      <c r="W125" s="25"/>
      <c r="X125" s="5"/>
    </row>
    <row r="126" spans="1:24" ht="15.6" x14ac:dyDescent="0.3">
      <c r="A126" s="24"/>
      <c r="B126" s="25" t="s">
        <v>200</v>
      </c>
      <c r="C126" s="25"/>
      <c r="D126" s="25"/>
      <c r="E126" s="25"/>
      <c r="F126" s="25"/>
      <c r="G126" s="25"/>
      <c r="H126" s="25"/>
      <c r="I126" s="25"/>
      <c r="J126" s="25"/>
      <c r="K126" s="25"/>
      <c r="L126" s="25"/>
      <c r="M126" s="25"/>
      <c r="N126" s="25"/>
      <c r="O126" s="25"/>
      <c r="P126" s="25"/>
      <c r="Q126" s="25"/>
      <c r="R126" s="25"/>
      <c r="S126" s="25"/>
      <c r="T126" s="34">
        <v>-876</v>
      </c>
      <c r="U126" s="34"/>
      <c r="V126" s="53"/>
      <c r="W126" s="25"/>
      <c r="X126" s="5"/>
    </row>
    <row r="127" spans="1:24" ht="15.6" x14ac:dyDescent="0.3">
      <c r="A127" s="24"/>
      <c r="B127" s="25" t="s">
        <v>260</v>
      </c>
      <c r="C127" s="25"/>
      <c r="D127" s="25"/>
      <c r="E127" s="25"/>
      <c r="F127" s="25"/>
      <c r="G127" s="25"/>
      <c r="H127" s="25"/>
      <c r="I127" s="25"/>
      <c r="J127" s="25"/>
      <c r="K127" s="25"/>
      <c r="L127" s="25"/>
      <c r="M127" s="25"/>
      <c r="N127" s="25"/>
      <c r="O127" s="25"/>
      <c r="P127" s="25"/>
      <c r="Q127" s="25"/>
      <c r="R127" s="25"/>
      <c r="S127" s="25"/>
      <c r="T127" s="34">
        <v>-876</v>
      </c>
      <c r="U127" s="34"/>
      <c r="V127" s="53"/>
      <c r="W127" s="25"/>
      <c r="X127" s="5"/>
    </row>
    <row r="128" spans="1:24" ht="15.6" x14ac:dyDescent="0.3">
      <c r="A128" s="24"/>
      <c r="B128" s="25" t="s">
        <v>195</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261</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193</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40</v>
      </c>
      <c r="C132" s="25"/>
      <c r="D132" s="25"/>
      <c r="E132" s="25"/>
      <c r="F132" s="25"/>
      <c r="G132" s="25"/>
      <c r="H132" s="25"/>
      <c r="I132" s="25"/>
      <c r="J132" s="25"/>
      <c r="K132" s="25"/>
      <c r="L132" s="25"/>
      <c r="M132" s="25"/>
      <c r="N132" s="25"/>
      <c r="O132" s="25"/>
      <c r="P132" s="25"/>
      <c r="Q132" s="25"/>
      <c r="R132" s="25"/>
      <c r="S132" s="25"/>
      <c r="T132" s="34">
        <f>SUM(T121:T131)</f>
        <v>-7176</v>
      </c>
      <c r="U132" s="34"/>
      <c r="V132" s="34">
        <f>SUM(V102:V129)</f>
        <v>-7693</v>
      </c>
      <c r="W132" s="25"/>
      <c r="X132" s="5"/>
    </row>
    <row r="133" spans="1:24" ht="15.6" x14ac:dyDescent="0.3">
      <c r="A133" s="24"/>
      <c r="B133" s="25" t="s">
        <v>41</v>
      </c>
      <c r="C133" s="25"/>
      <c r="D133" s="25"/>
      <c r="E133" s="25"/>
      <c r="F133" s="25"/>
      <c r="G133" s="25"/>
      <c r="H133" s="25"/>
      <c r="I133" s="25"/>
      <c r="J133" s="25"/>
      <c r="K133" s="25"/>
      <c r="L133" s="25"/>
      <c r="M133" s="25"/>
      <c r="N133" s="25"/>
      <c r="O133" s="25"/>
      <c r="P133" s="25"/>
      <c r="Q133" s="25"/>
      <c r="R133" s="25"/>
      <c r="S133" s="25"/>
      <c r="T133" s="34">
        <f>T101+T132+T114</f>
        <v>0</v>
      </c>
      <c r="U133" s="34"/>
      <c r="V133" s="34">
        <f>V101+V132</f>
        <v>0</v>
      </c>
      <c r="W133" s="25"/>
      <c r="X133" s="5"/>
    </row>
    <row r="134" spans="1:24" ht="15.6" x14ac:dyDescent="0.3">
      <c r="A134" s="24"/>
      <c r="B134" s="25"/>
      <c r="C134" s="25"/>
      <c r="D134" s="25"/>
      <c r="E134" s="25"/>
      <c r="F134" s="25"/>
      <c r="G134" s="25"/>
      <c r="H134" s="25"/>
      <c r="I134" s="25"/>
      <c r="J134" s="25"/>
      <c r="K134" s="25"/>
      <c r="L134" s="25"/>
      <c r="M134" s="25"/>
      <c r="N134" s="25"/>
      <c r="O134" s="25"/>
      <c r="P134" s="25"/>
      <c r="Q134" s="25"/>
      <c r="R134" s="25"/>
      <c r="S134" s="25"/>
      <c r="T134" s="34"/>
      <c r="U134" s="34"/>
      <c r="V134" s="34"/>
      <c r="W134" s="25"/>
      <c r="X134" s="5"/>
    </row>
    <row r="135" spans="1:24" ht="15.6" x14ac:dyDescent="0.3">
      <c r="A135" s="6"/>
      <c r="B135" s="8"/>
      <c r="C135" s="8"/>
      <c r="D135" s="8"/>
      <c r="E135" s="8"/>
      <c r="F135" s="8"/>
      <c r="G135" s="8"/>
      <c r="H135" s="8"/>
      <c r="I135" s="8"/>
      <c r="J135" s="8"/>
      <c r="K135" s="8"/>
      <c r="L135" s="8"/>
      <c r="M135" s="8"/>
      <c r="N135" s="8"/>
      <c r="O135" s="8"/>
      <c r="P135" s="8"/>
      <c r="Q135" s="8"/>
      <c r="R135" s="8"/>
      <c r="S135" s="8"/>
      <c r="T135" s="8"/>
      <c r="U135" s="8"/>
      <c r="V135" s="52"/>
      <c r="W135" s="8"/>
      <c r="X135" s="5"/>
    </row>
    <row r="136" spans="1:24" ht="18" thickBot="1" x14ac:dyDescent="0.35">
      <c r="A136" s="101"/>
      <c r="B136" s="102" t="str">
        <f>B64</f>
        <v>PM12 INVESTOR REPORT QUARTER ENDING JANUARY 2010</v>
      </c>
      <c r="C136" s="103"/>
      <c r="D136" s="103"/>
      <c r="E136" s="103"/>
      <c r="F136" s="103"/>
      <c r="G136" s="103"/>
      <c r="H136" s="103"/>
      <c r="I136" s="103"/>
      <c r="J136" s="103"/>
      <c r="K136" s="103"/>
      <c r="L136" s="103"/>
      <c r="M136" s="103"/>
      <c r="N136" s="103"/>
      <c r="O136" s="103"/>
      <c r="P136" s="103"/>
      <c r="Q136" s="103"/>
      <c r="R136" s="103"/>
      <c r="S136" s="103"/>
      <c r="T136" s="103"/>
      <c r="U136" s="103"/>
      <c r="V136" s="106"/>
      <c r="W136" s="105"/>
      <c r="X136" s="5"/>
    </row>
    <row r="137" spans="1:24" ht="15.6" x14ac:dyDescent="0.3">
      <c r="A137" s="2"/>
      <c r="B137" s="60" t="s">
        <v>42</v>
      </c>
      <c r="C137" s="4"/>
      <c r="D137" s="4"/>
      <c r="E137" s="4"/>
      <c r="F137" s="4"/>
      <c r="G137" s="4"/>
      <c r="H137" s="4"/>
      <c r="I137" s="4"/>
      <c r="J137" s="4"/>
      <c r="K137" s="4"/>
      <c r="L137" s="4"/>
      <c r="M137" s="4"/>
      <c r="N137" s="4"/>
      <c r="O137" s="4"/>
      <c r="P137" s="4"/>
      <c r="Q137" s="4"/>
      <c r="R137" s="4"/>
      <c r="S137" s="4"/>
      <c r="T137" s="4"/>
      <c r="U137" s="4"/>
      <c r="V137" s="50"/>
      <c r="W137" s="4"/>
      <c r="X137" s="5"/>
    </row>
    <row r="138" spans="1:24" ht="15.6" x14ac:dyDescent="0.3">
      <c r="A138" s="6"/>
      <c r="B138" s="21"/>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6"/>
      <c r="B139" s="119" t="s">
        <v>43</v>
      </c>
      <c r="C139" s="8"/>
      <c r="D139" s="8"/>
      <c r="E139" s="8"/>
      <c r="F139" s="8"/>
      <c r="G139" s="8"/>
      <c r="H139" s="8"/>
      <c r="I139" s="8"/>
      <c r="J139" s="8"/>
      <c r="K139" s="8"/>
      <c r="L139" s="8"/>
      <c r="M139" s="8"/>
      <c r="N139" s="8"/>
      <c r="O139" s="8"/>
      <c r="P139" s="8"/>
      <c r="Q139" s="8"/>
      <c r="R139" s="8"/>
      <c r="S139" s="8"/>
      <c r="T139" s="8"/>
      <c r="U139" s="8"/>
      <c r="V139" s="52"/>
      <c r="W139" s="8"/>
      <c r="X139" s="5"/>
    </row>
    <row r="140" spans="1:24" ht="15.6" x14ac:dyDescent="0.3">
      <c r="A140" s="24"/>
      <c r="B140" s="25" t="s">
        <v>44</v>
      </c>
      <c r="C140" s="25"/>
      <c r="D140" s="25"/>
      <c r="E140" s="25"/>
      <c r="F140" s="25"/>
      <c r="G140" s="25"/>
      <c r="H140" s="25"/>
      <c r="I140" s="25"/>
      <c r="J140" s="25"/>
      <c r="K140" s="25"/>
      <c r="L140" s="25"/>
      <c r="M140" s="25"/>
      <c r="N140" s="25"/>
      <c r="O140" s="25"/>
      <c r="P140" s="25"/>
      <c r="Q140" s="25"/>
      <c r="R140" s="25"/>
      <c r="S140" s="25"/>
      <c r="T140" s="25"/>
      <c r="U140" s="25"/>
      <c r="V140" s="53">
        <f>+V34*0.019</f>
        <v>28503.895</v>
      </c>
      <c r="W140" s="25"/>
      <c r="X140" s="5"/>
    </row>
    <row r="141" spans="1:24" ht="15.6" x14ac:dyDescent="0.3">
      <c r="A141" s="24"/>
      <c r="B141" s="25" t="s">
        <v>45</v>
      </c>
      <c r="C141" s="25"/>
      <c r="D141" s="25"/>
      <c r="E141" s="25"/>
      <c r="F141" s="25"/>
      <c r="G141" s="25"/>
      <c r="H141" s="25"/>
      <c r="I141" s="25"/>
      <c r="J141" s="25"/>
      <c r="K141" s="25"/>
      <c r="L141" s="25"/>
      <c r="M141" s="25"/>
      <c r="N141" s="25"/>
      <c r="O141" s="25"/>
      <c r="P141" s="25"/>
      <c r="Q141" s="25"/>
      <c r="R141" s="25"/>
      <c r="S141" s="25"/>
      <c r="T141" s="25"/>
      <c r="U141" s="25"/>
      <c r="V141" s="53">
        <v>28504</v>
      </c>
      <c r="W141" s="25"/>
      <c r="X141" s="5"/>
    </row>
    <row r="142" spans="1:24" ht="15.6" x14ac:dyDescent="0.3">
      <c r="A142" s="24"/>
      <c r="B142" s="25" t="s">
        <v>141</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128</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129</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181</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46</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134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230</v>
      </c>
      <c r="C148" s="25"/>
      <c r="D148" s="25"/>
      <c r="E148" s="25"/>
      <c r="F148" s="25"/>
      <c r="G148" s="25"/>
      <c r="H148" s="25"/>
      <c r="I148" s="25"/>
      <c r="J148" s="25"/>
      <c r="K148" s="25"/>
      <c r="L148" s="25"/>
      <c r="M148" s="25"/>
      <c r="N148" s="25"/>
      <c r="O148" s="25"/>
      <c r="P148" s="25"/>
      <c r="Q148" s="25"/>
      <c r="R148" s="25"/>
      <c r="S148" s="25"/>
      <c r="T148" s="25"/>
      <c r="U148" s="25"/>
      <c r="V148" s="53">
        <v>0</v>
      </c>
      <c r="W148" s="25"/>
      <c r="X148" s="5"/>
      <c r="Y148" s="109"/>
    </row>
    <row r="149" spans="1:25" ht="15.6" x14ac:dyDescent="0.3">
      <c r="A149" s="24"/>
      <c r="B149" s="25" t="s">
        <v>47</v>
      </c>
      <c r="C149" s="25"/>
      <c r="D149" s="25"/>
      <c r="E149" s="25"/>
      <c r="F149" s="25"/>
      <c r="G149" s="25"/>
      <c r="H149" s="25"/>
      <c r="I149" s="25"/>
      <c r="J149" s="25"/>
      <c r="K149" s="25"/>
      <c r="L149" s="25"/>
      <c r="M149" s="25"/>
      <c r="N149" s="25"/>
      <c r="O149" s="25"/>
      <c r="P149" s="25"/>
      <c r="Q149" s="25"/>
      <c r="R149" s="25"/>
      <c r="S149" s="25"/>
      <c r="T149" s="25"/>
      <c r="U149" s="25"/>
      <c r="V149" s="53">
        <f>SUM(V141:V148)</f>
        <v>28504</v>
      </c>
      <c r="W149" s="25"/>
      <c r="X149" s="5"/>
    </row>
    <row r="150" spans="1:25" ht="15.6" x14ac:dyDescent="0.3">
      <c r="A150" s="24"/>
      <c r="B150" s="25"/>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138" t="s">
        <v>269</v>
      </c>
      <c r="C151" s="25"/>
      <c r="D151" s="25"/>
      <c r="E151" s="25"/>
      <c r="F151" s="25"/>
      <c r="G151" s="25"/>
      <c r="H151" s="25"/>
      <c r="I151" s="25"/>
      <c r="J151" s="25"/>
      <c r="K151" s="25"/>
      <c r="L151" s="25"/>
      <c r="M151" s="25"/>
      <c r="N151" s="25"/>
      <c r="O151" s="25"/>
      <c r="P151" s="25"/>
      <c r="Q151" s="25"/>
      <c r="R151" s="25"/>
      <c r="S151" s="25"/>
      <c r="T151" s="25"/>
      <c r="U151" s="25"/>
      <c r="V151" s="53"/>
      <c r="W151" s="25"/>
      <c r="X151" s="5"/>
    </row>
    <row r="152" spans="1:25" ht="15.6" x14ac:dyDescent="0.3">
      <c r="A152" s="24"/>
      <c r="B152" s="25" t="s">
        <v>160</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178</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t="s">
        <v>270</v>
      </c>
      <c r="C154" s="25"/>
      <c r="D154" s="25"/>
      <c r="E154" s="25"/>
      <c r="F154" s="25"/>
      <c r="G154" s="25"/>
      <c r="H154" s="25"/>
      <c r="I154" s="25"/>
      <c r="J154" s="25"/>
      <c r="K154" s="25"/>
      <c r="L154" s="25"/>
      <c r="M154" s="25"/>
      <c r="N154" s="25"/>
      <c r="O154" s="25"/>
      <c r="P154" s="25"/>
      <c r="Q154" s="25"/>
      <c r="R154" s="25"/>
      <c r="S154" s="25"/>
      <c r="T154" s="25"/>
      <c r="U154" s="25"/>
      <c r="V154" s="53">
        <v>0</v>
      </c>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53"/>
      <c r="W155" s="25"/>
      <c r="X155" s="5"/>
    </row>
    <row r="156" spans="1:25" ht="15.6" x14ac:dyDescent="0.3">
      <c r="A156" s="24"/>
      <c r="B156" s="25"/>
      <c r="C156" s="25"/>
      <c r="D156" s="25"/>
      <c r="E156" s="25"/>
      <c r="F156" s="25"/>
      <c r="G156" s="25"/>
      <c r="H156" s="25"/>
      <c r="I156" s="25"/>
      <c r="J156" s="25"/>
      <c r="K156" s="25"/>
      <c r="L156" s="25"/>
      <c r="M156" s="25"/>
      <c r="N156" s="25"/>
      <c r="O156" s="25"/>
      <c r="P156" s="25"/>
      <c r="Q156" s="25"/>
      <c r="R156" s="25"/>
      <c r="S156" s="25"/>
      <c r="T156" s="25"/>
      <c r="U156" s="25"/>
      <c r="V156" s="61"/>
      <c r="W156" s="25"/>
      <c r="X156" s="5"/>
    </row>
    <row r="157" spans="1:25" ht="15.6" x14ac:dyDescent="0.3">
      <c r="A157" s="6"/>
      <c r="B157" s="119" t="s">
        <v>24</v>
      </c>
      <c r="C157" s="8"/>
      <c r="D157" s="8"/>
      <c r="E157" s="8"/>
      <c r="F157" s="8"/>
      <c r="G157" s="8"/>
      <c r="H157" s="8"/>
      <c r="I157" s="8"/>
      <c r="J157" s="8"/>
      <c r="K157" s="8"/>
      <c r="L157" s="8"/>
      <c r="M157" s="8"/>
      <c r="N157" s="8"/>
      <c r="O157" s="8"/>
      <c r="P157" s="8"/>
      <c r="Q157" s="8"/>
      <c r="R157" s="8"/>
      <c r="S157" s="8"/>
      <c r="T157" s="8"/>
      <c r="U157" s="8"/>
      <c r="V157" s="52"/>
      <c r="W157" s="8"/>
      <c r="X157" s="5"/>
    </row>
    <row r="158" spans="1:25" ht="15.6" x14ac:dyDescent="0.3">
      <c r="A158" s="24"/>
      <c r="B158" s="25" t="s">
        <v>48</v>
      </c>
      <c r="C158" s="25"/>
      <c r="D158" s="25"/>
      <c r="E158" s="25"/>
      <c r="F158" s="25"/>
      <c r="G158" s="25"/>
      <c r="H158" s="25"/>
      <c r="I158" s="25"/>
      <c r="J158" s="25"/>
      <c r="K158" s="25"/>
      <c r="L158" s="25"/>
      <c r="M158" s="25"/>
      <c r="N158" s="25"/>
      <c r="O158" s="25"/>
      <c r="P158" s="25"/>
      <c r="Q158" s="25"/>
      <c r="R158" s="25"/>
      <c r="S158" s="25"/>
      <c r="T158" s="25"/>
      <c r="U158" s="25"/>
      <c r="V158" s="59" t="s">
        <v>123</v>
      </c>
      <c r="W158" s="25"/>
      <c r="X158" s="5"/>
    </row>
    <row r="159" spans="1:25" ht="15.6" x14ac:dyDescent="0.3">
      <c r="A159" s="24"/>
      <c r="B159" s="25" t="s">
        <v>49</v>
      </c>
      <c r="C159" s="163"/>
      <c r="D159" s="163"/>
      <c r="E159" s="163"/>
      <c r="F159" s="163"/>
      <c r="G159" s="163"/>
      <c r="H159" s="163"/>
      <c r="I159" s="163"/>
      <c r="J159" s="163"/>
      <c r="K159" s="163"/>
      <c r="L159" s="163"/>
      <c r="M159" s="163"/>
      <c r="N159" s="163"/>
      <c r="O159" s="163"/>
      <c r="P159" s="163"/>
      <c r="Q159" s="163"/>
      <c r="R159" s="163"/>
      <c r="S159" s="163"/>
      <c r="T159" s="163"/>
      <c r="U159" s="163"/>
      <c r="V159" s="59" t="s">
        <v>123</v>
      </c>
      <c r="W159" s="25"/>
      <c r="X159" s="5"/>
    </row>
    <row r="160" spans="1:25" ht="15.6" x14ac:dyDescent="0.3">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t="s">
        <v>51</v>
      </c>
      <c r="C161" s="25"/>
      <c r="D161" s="25"/>
      <c r="E161" s="25"/>
      <c r="F161" s="25"/>
      <c r="G161" s="25"/>
      <c r="H161" s="25"/>
      <c r="I161" s="25"/>
      <c r="J161" s="25"/>
      <c r="K161" s="25"/>
      <c r="L161" s="25"/>
      <c r="M161" s="25"/>
      <c r="N161" s="25"/>
      <c r="O161" s="25"/>
      <c r="P161" s="25"/>
      <c r="Q161" s="25"/>
      <c r="R161" s="25"/>
      <c r="S161" s="25"/>
      <c r="T161" s="25"/>
      <c r="U161" s="25"/>
      <c r="V161" s="59" t="s">
        <v>123</v>
      </c>
      <c r="W161" s="25"/>
      <c r="X161" s="5"/>
    </row>
    <row r="162" spans="1:24" ht="15.6" x14ac:dyDescent="0.3">
      <c r="A162" s="24"/>
      <c r="B162" s="25"/>
      <c r="C162" s="25"/>
      <c r="D162" s="25"/>
      <c r="E162" s="25"/>
      <c r="F162" s="25"/>
      <c r="G162" s="25"/>
      <c r="H162" s="25"/>
      <c r="I162" s="25"/>
      <c r="J162" s="25"/>
      <c r="K162" s="25"/>
      <c r="L162" s="25"/>
      <c r="M162" s="25"/>
      <c r="N162" s="25"/>
      <c r="O162" s="25"/>
      <c r="P162" s="25"/>
      <c r="Q162" s="25"/>
      <c r="R162" s="25"/>
      <c r="S162" s="25"/>
      <c r="T162" s="25"/>
      <c r="U162" s="25"/>
      <c r="V162" s="61"/>
      <c r="W162" s="25"/>
      <c r="X162" s="5"/>
    </row>
    <row r="163" spans="1:24" ht="15.6" x14ac:dyDescent="0.3">
      <c r="A163" s="6"/>
      <c r="B163" s="119" t="s">
        <v>52</v>
      </c>
      <c r="C163" s="8"/>
      <c r="D163" s="8"/>
      <c r="E163" s="8"/>
      <c r="F163" s="8"/>
      <c r="G163" s="8"/>
      <c r="H163" s="8"/>
      <c r="I163" s="8"/>
      <c r="J163" s="8"/>
      <c r="K163" s="8"/>
      <c r="L163" s="8"/>
      <c r="M163" s="8"/>
      <c r="N163" s="8"/>
      <c r="O163" s="8"/>
      <c r="P163" s="8"/>
      <c r="Q163" s="8"/>
      <c r="R163" s="8"/>
      <c r="S163" s="8"/>
      <c r="T163" s="8"/>
      <c r="U163" s="8"/>
      <c r="V163" s="63"/>
      <c r="W163" s="8"/>
      <c r="X163" s="5"/>
    </row>
    <row r="164" spans="1:24" ht="15.6" x14ac:dyDescent="0.3">
      <c r="A164" s="24"/>
      <c r="B164" s="25" t="s">
        <v>53</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4" ht="15.6" x14ac:dyDescent="0.3">
      <c r="A165" s="24"/>
      <c r="B165" s="25" t="s">
        <v>54</v>
      </c>
      <c r="C165" s="25"/>
      <c r="D165" s="25"/>
      <c r="E165" s="25"/>
      <c r="F165" s="25"/>
      <c r="G165" s="25"/>
      <c r="H165" s="25"/>
      <c r="I165" s="25"/>
      <c r="J165" s="25"/>
      <c r="K165" s="25"/>
      <c r="L165" s="25"/>
      <c r="M165" s="25"/>
      <c r="N165" s="25"/>
      <c r="O165" s="25"/>
      <c r="P165" s="25"/>
      <c r="Q165" s="25"/>
      <c r="R165" s="25"/>
      <c r="S165" s="25"/>
      <c r="T165" s="25"/>
      <c r="U165" s="25"/>
      <c r="V165" s="53">
        <f>-V114</f>
        <v>240</v>
      </c>
      <c r="W165" s="25"/>
      <c r="X165" s="5"/>
    </row>
    <row r="166" spans="1:24" ht="15.6" x14ac:dyDescent="0.3">
      <c r="A166" s="24"/>
      <c r="B166" s="25" t="s">
        <v>55</v>
      </c>
      <c r="C166" s="25"/>
      <c r="D166" s="25"/>
      <c r="E166" s="25"/>
      <c r="F166" s="25"/>
      <c r="G166" s="25"/>
      <c r="H166" s="25"/>
      <c r="I166" s="25"/>
      <c r="J166" s="25"/>
      <c r="K166" s="25"/>
      <c r="L166" s="25"/>
      <c r="M166" s="25"/>
      <c r="N166" s="25"/>
      <c r="O166" s="25"/>
      <c r="P166" s="25"/>
      <c r="Q166" s="25"/>
      <c r="R166" s="25"/>
      <c r="S166" s="25"/>
      <c r="T166" s="25"/>
      <c r="U166" s="25"/>
      <c r="V166" s="53">
        <f>V165+V164</f>
        <v>240</v>
      </c>
      <c r="W166" s="25"/>
      <c r="X166" s="5"/>
    </row>
    <row r="167" spans="1:24" ht="15.6" x14ac:dyDescent="0.3">
      <c r="A167" s="24"/>
      <c r="B167" s="25" t="s">
        <v>310</v>
      </c>
      <c r="C167" s="25"/>
      <c r="D167" s="25"/>
      <c r="E167" s="25"/>
      <c r="F167" s="25"/>
      <c r="G167" s="25"/>
      <c r="H167" s="25"/>
      <c r="I167" s="25"/>
      <c r="J167" s="25"/>
      <c r="K167" s="25"/>
      <c r="L167" s="25"/>
      <c r="M167" s="25"/>
      <c r="N167" s="25"/>
      <c r="O167" s="25"/>
      <c r="P167" s="25"/>
      <c r="Q167" s="25"/>
      <c r="R167" s="25"/>
      <c r="S167" s="25"/>
      <c r="T167" s="25"/>
      <c r="U167" s="25"/>
      <c r="V167" s="53">
        <f>V114</f>
        <v>-240</v>
      </c>
      <c r="W167" s="25"/>
      <c r="X167" s="5"/>
    </row>
    <row r="168" spans="1:24" ht="15.6" x14ac:dyDescent="0.3">
      <c r="A168" s="24"/>
      <c r="B168" s="25" t="s">
        <v>56</v>
      </c>
      <c r="C168" s="25"/>
      <c r="D168" s="25"/>
      <c r="E168" s="25"/>
      <c r="F168" s="25"/>
      <c r="G168" s="25"/>
      <c r="H168" s="25"/>
      <c r="I168" s="25"/>
      <c r="J168" s="25"/>
      <c r="K168" s="25"/>
      <c r="L168" s="25"/>
      <c r="M168" s="25"/>
      <c r="N168" s="25"/>
      <c r="O168" s="25"/>
      <c r="P168" s="25"/>
      <c r="Q168" s="25"/>
      <c r="R168" s="25"/>
      <c r="S168" s="25"/>
      <c r="T168" s="25"/>
      <c r="U168" s="25"/>
      <c r="V168" s="53">
        <f>V166+V167</f>
        <v>0</v>
      </c>
      <c r="W168" s="25"/>
      <c r="X168" s="5"/>
    </row>
    <row r="169" spans="1:24" ht="15.6" x14ac:dyDescent="0.3">
      <c r="A169" s="24"/>
      <c r="B169" s="25" t="s">
        <v>282</v>
      </c>
      <c r="C169" s="25"/>
      <c r="D169" s="25"/>
      <c r="E169" s="25"/>
      <c r="F169" s="25"/>
      <c r="G169" s="25"/>
      <c r="H169" s="25"/>
      <c r="I169" s="25"/>
      <c r="J169" s="25"/>
      <c r="K169" s="25"/>
      <c r="L169" s="25"/>
      <c r="M169" s="25"/>
      <c r="N169" s="25"/>
      <c r="O169" s="25"/>
      <c r="P169" s="25"/>
      <c r="Q169" s="25"/>
      <c r="R169" s="25"/>
      <c r="S169" s="25"/>
      <c r="T169" s="25"/>
      <c r="U169" s="25"/>
      <c r="V169" s="53">
        <f>-V100</f>
        <v>95</v>
      </c>
      <c r="W169" s="25"/>
      <c r="X169" s="5"/>
    </row>
    <row r="170" spans="1:24" ht="16.2" thickBot="1" x14ac:dyDescent="0.35">
      <c r="A170" s="24"/>
      <c r="B170" s="25"/>
      <c r="C170" s="25"/>
      <c r="D170" s="25"/>
      <c r="E170" s="25"/>
      <c r="F170" s="25"/>
      <c r="G170" s="25"/>
      <c r="H170" s="25"/>
      <c r="I170" s="25"/>
      <c r="J170" s="25"/>
      <c r="K170" s="25"/>
      <c r="L170" s="25"/>
      <c r="M170" s="25"/>
      <c r="N170" s="25"/>
      <c r="O170" s="25"/>
      <c r="P170" s="25"/>
      <c r="Q170" s="25"/>
      <c r="R170" s="25"/>
      <c r="S170" s="25"/>
      <c r="T170" s="25"/>
      <c r="U170" s="25"/>
      <c r="V170" s="61"/>
      <c r="W170" s="25"/>
      <c r="X170" s="5"/>
    </row>
    <row r="171" spans="1:24" ht="15.6" x14ac:dyDescent="0.3">
      <c r="A171" s="2"/>
      <c r="B171" s="4"/>
      <c r="C171" s="4"/>
      <c r="D171" s="4"/>
      <c r="E171" s="4"/>
      <c r="F171" s="4"/>
      <c r="G171" s="4"/>
      <c r="H171" s="4"/>
      <c r="I171" s="4"/>
      <c r="J171" s="4"/>
      <c r="K171" s="4"/>
      <c r="L171" s="4"/>
      <c r="M171" s="4"/>
      <c r="N171" s="4"/>
      <c r="O171" s="4"/>
      <c r="P171" s="4"/>
      <c r="Q171" s="4"/>
      <c r="R171" s="4"/>
      <c r="S171" s="4"/>
      <c r="T171" s="4"/>
      <c r="U171" s="4"/>
      <c r="V171" s="50"/>
      <c r="W171" s="4"/>
      <c r="X171" s="5"/>
    </row>
    <row r="172" spans="1:24" ht="15.6" x14ac:dyDescent="0.3">
      <c r="A172" s="6"/>
      <c r="B172" s="119" t="s">
        <v>57</v>
      </c>
      <c r="C172" s="8"/>
      <c r="D172" s="8"/>
      <c r="E172" s="8"/>
      <c r="F172" s="8"/>
      <c r="G172" s="8"/>
      <c r="H172" s="8"/>
      <c r="I172" s="8"/>
      <c r="J172" s="8"/>
      <c r="K172" s="8"/>
      <c r="L172" s="8"/>
      <c r="M172" s="8"/>
      <c r="N172" s="8"/>
      <c r="O172" s="8"/>
      <c r="P172" s="8"/>
      <c r="Q172" s="8"/>
      <c r="R172" s="8"/>
      <c r="S172" s="8"/>
      <c r="T172" s="8"/>
      <c r="U172" s="8"/>
      <c r="V172" s="52"/>
      <c r="W172" s="8"/>
      <c r="X172" s="5"/>
    </row>
    <row r="173" spans="1:24" ht="15.6" x14ac:dyDescent="0.3">
      <c r="A173" s="6"/>
      <c r="B173" s="21"/>
      <c r="C173" s="8"/>
      <c r="D173" s="8"/>
      <c r="E173" s="8"/>
      <c r="F173" s="8"/>
      <c r="G173" s="8"/>
      <c r="H173" s="8"/>
      <c r="I173" s="8"/>
      <c r="J173" s="8"/>
      <c r="K173" s="8"/>
      <c r="L173" s="8"/>
      <c r="M173" s="8"/>
      <c r="N173" s="8"/>
      <c r="O173" s="8"/>
      <c r="P173" s="8"/>
      <c r="Q173" s="8"/>
      <c r="R173" s="8"/>
      <c r="S173" s="8"/>
      <c r="T173" s="8"/>
      <c r="U173" s="8"/>
      <c r="V173" s="52"/>
      <c r="W173" s="8"/>
      <c r="X173" s="5"/>
    </row>
    <row r="174" spans="1:24" ht="15.6" x14ac:dyDescent="0.3">
      <c r="A174" s="24"/>
      <c r="B174" s="25" t="s">
        <v>58</v>
      </c>
      <c r="C174" s="25"/>
      <c r="D174" s="25"/>
      <c r="E174" s="25"/>
      <c r="F174" s="25"/>
      <c r="G174" s="25"/>
      <c r="H174" s="25"/>
      <c r="I174" s="25"/>
      <c r="J174" s="25"/>
      <c r="K174" s="25"/>
      <c r="L174" s="25"/>
      <c r="M174" s="25"/>
      <c r="N174" s="25"/>
      <c r="O174" s="25"/>
      <c r="P174" s="25"/>
      <c r="Q174" s="25"/>
      <c r="R174" s="25"/>
      <c r="S174" s="25"/>
      <c r="T174" s="25"/>
      <c r="U174" s="25"/>
      <c r="V174" s="53">
        <f>V72</f>
        <v>1047847</v>
      </c>
      <c r="W174" s="25"/>
      <c r="X174" s="5"/>
    </row>
    <row r="175" spans="1:24" ht="15.6" x14ac:dyDescent="0.3">
      <c r="A175" s="24"/>
      <c r="B175" s="25" t="s">
        <v>59</v>
      </c>
      <c r="C175" s="25"/>
      <c r="D175" s="25"/>
      <c r="E175" s="25"/>
      <c r="F175" s="25"/>
      <c r="G175" s="25"/>
      <c r="H175" s="25"/>
      <c r="I175" s="25"/>
      <c r="J175" s="25"/>
      <c r="K175" s="25"/>
      <c r="L175" s="25"/>
      <c r="M175" s="25"/>
      <c r="N175" s="25"/>
      <c r="O175" s="25"/>
      <c r="P175" s="25"/>
      <c r="Q175" s="25"/>
      <c r="R175" s="25"/>
      <c r="S175" s="25"/>
      <c r="T175" s="25"/>
      <c r="U175" s="25"/>
      <c r="V175" s="53">
        <f>V85</f>
        <v>1047847</v>
      </c>
      <c r="W175" s="25"/>
      <c r="X175" s="5"/>
    </row>
    <row r="176" spans="1:24" ht="16.2" thickBot="1" x14ac:dyDescent="0.35">
      <c r="A176" s="24"/>
      <c r="B176" s="25"/>
      <c r="C176" s="25"/>
      <c r="D176" s="25"/>
      <c r="E176" s="25"/>
      <c r="F176" s="25"/>
      <c r="G176" s="25"/>
      <c r="H176" s="25"/>
      <c r="I176" s="25"/>
      <c r="J176" s="25"/>
      <c r="K176" s="25"/>
      <c r="L176" s="25"/>
      <c r="M176" s="25"/>
      <c r="N176" s="25"/>
      <c r="O176" s="25"/>
      <c r="P176" s="25"/>
      <c r="Q176" s="25"/>
      <c r="R176" s="25"/>
      <c r="S176" s="25"/>
      <c r="T176" s="25"/>
      <c r="U176" s="25"/>
      <c r="V176" s="61"/>
      <c r="W176" s="25"/>
      <c r="X176" s="5"/>
    </row>
    <row r="177" spans="1:24" ht="15.6" x14ac:dyDescent="0.3">
      <c r="A177" s="2"/>
      <c r="B177" s="4"/>
      <c r="C177" s="4"/>
      <c r="D177" s="4"/>
      <c r="E177" s="4"/>
      <c r="F177" s="4"/>
      <c r="G177" s="4"/>
      <c r="H177" s="4"/>
      <c r="I177" s="4"/>
      <c r="J177" s="4"/>
      <c r="K177" s="4"/>
      <c r="L177" s="4"/>
      <c r="M177" s="4"/>
      <c r="N177" s="4"/>
      <c r="O177" s="4"/>
      <c r="P177" s="4"/>
      <c r="Q177" s="4"/>
      <c r="R177" s="4"/>
      <c r="S177" s="4"/>
      <c r="T177" s="4"/>
      <c r="U177" s="4"/>
      <c r="V177" s="50"/>
      <c r="W177" s="4"/>
      <c r="X177" s="5"/>
    </row>
    <row r="178" spans="1:24" ht="15.6" x14ac:dyDescent="0.3">
      <c r="A178" s="6"/>
      <c r="B178" s="119" t="s">
        <v>60</v>
      </c>
      <c r="C178" s="117"/>
      <c r="D178" s="117"/>
      <c r="E178" s="117"/>
      <c r="F178" s="117"/>
      <c r="G178" s="117"/>
      <c r="H178" s="120"/>
      <c r="I178" s="120"/>
      <c r="J178" s="120"/>
      <c r="K178" s="120"/>
      <c r="L178" s="120"/>
      <c r="M178" s="120"/>
      <c r="N178" s="120"/>
      <c r="O178" s="120"/>
      <c r="P178" s="120"/>
      <c r="Q178" s="120"/>
      <c r="R178" s="120"/>
      <c r="S178" s="120" t="s">
        <v>103</v>
      </c>
      <c r="T178" s="120" t="s">
        <v>182</v>
      </c>
      <c r="U178" s="111"/>
      <c r="V178" s="121" t="s">
        <v>119</v>
      </c>
      <c r="W178" s="10"/>
      <c r="X178" s="5"/>
    </row>
    <row r="179" spans="1:24" ht="15.6" x14ac:dyDescent="0.3">
      <c r="A179" s="24"/>
      <c r="B179" s="25" t="s">
        <v>61</v>
      </c>
      <c r="C179" s="25"/>
      <c r="D179" s="25"/>
      <c r="E179" s="25"/>
      <c r="F179" s="25"/>
      <c r="G179" s="25"/>
      <c r="H179" s="25"/>
      <c r="I179" s="25"/>
      <c r="J179" s="25"/>
      <c r="K179" s="25"/>
      <c r="L179" s="25"/>
      <c r="M179" s="25"/>
      <c r="N179" s="25"/>
      <c r="O179" s="25"/>
      <c r="P179" s="25"/>
      <c r="Q179" s="25"/>
      <c r="R179" s="25"/>
      <c r="S179" s="53">
        <f>+V34*0.16</f>
        <v>240032.80000000002</v>
      </c>
      <c r="T179" s="40"/>
      <c r="U179" s="25"/>
      <c r="V179" s="53"/>
      <c r="W179" s="25"/>
      <c r="X179" s="5"/>
    </row>
    <row r="180" spans="1:24" ht="15.6" x14ac:dyDescent="0.3">
      <c r="A180" s="24"/>
      <c r="B180" s="25" t="s">
        <v>62</v>
      </c>
      <c r="C180" s="25"/>
      <c r="D180" s="25"/>
      <c r="E180" s="25"/>
      <c r="F180" s="25"/>
      <c r="G180" s="25"/>
      <c r="H180" s="25"/>
      <c r="I180" s="25"/>
      <c r="J180" s="25"/>
      <c r="K180" s="25"/>
      <c r="L180" s="25"/>
      <c r="M180" s="25"/>
      <c r="N180" s="25"/>
      <c r="O180" s="25"/>
      <c r="P180" s="25"/>
      <c r="Q180" s="25"/>
      <c r="R180" s="25"/>
      <c r="S180" s="53">
        <f>+'Oct 09'!S182</f>
        <v>46388</v>
      </c>
      <c r="T180" s="53">
        <f>+'Oct 09'!T182</f>
        <v>6253</v>
      </c>
      <c r="U180" s="25"/>
      <c r="V180" s="53">
        <f>S180+T180</f>
        <v>52641</v>
      </c>
      <c r="W180" s="25"/>
      <c r="X180" s="5"/>
    </row>
    <row r="181" spans="1:24" ht="15.6" x14ac:dyDescent="0.3">
      <c r="A181" s="24"/>
      <c r="B181" s="25" t="s">
        <v>63</v>
      </c>
      <c r="C181" s="25"/>
      <c r="D181" s="25"/>
      <c r="E181" s="25"/>
      <c r="F181" s="25"/>
      <c r="G181" s="25"/>
      <c r="H181" s="25"/>
      <c r="I181" s="25"/>
      <c r="J181" s="25"/>
      <c r="K181" s="25"/>
      <c r="L181" s="25"/>
      <c r="M181" s="25"/>
      <c r="N181" s="25"/>
      <c r="O181" s="25"/>
      <c r="P181" s="25"/>
      <c r="Q181" s="25"/>
      <c r="R181" s="25"/>
      <c r="S181" s="34">
        <f>403</f>
        <v>403</v>
      </c>
      <c r="T181" s="34">
        <v>18</v>
      </c>
      <c r="U181" s="25"/>
      <c r="V181" s="53">
        <f>S181+T181</f>
        <v>421</v>
      </c>
      <c r="W181" s="25"/>
      <c r="X181" s="5"/>
    </row>
    <row r="182" spans="1:24" ht="15.6" x14ac:dyDescent="0.3">
      <c r="A182" s="24"/>
      <c r="B182" s="25" t="s">
        <v>64</v>
      </c>
      <c r="C182" s="25"/>
      <c r="D182" s="25"/>
      <c r="E182" s="25"/>
      <c r="F182" s="25"/>
      <c r="G182" s="25"/>
      <c r="H182" s="25"/>
      <c r="I182" s="25"/>
      <c r="J182" s="25"/>
      <c r="K182" s="25"/>
      <c r="L182" s="25"/>
      <c r="M182" s="25"/>
      <c r="N182" s="25"/>
      <c r="O182" s="25"/>
      <c r="P182" s="25"/>
      <c r="Q182" s="25"/>
      <c r="R182" s="25"/>
      <c r="S182" s="53">
        <f>S180+S181</f>
        <v>46791</v>
      </c>
      <c r="T182" s="53">
        <f>T181+T180</f>
        <v>6271</v>
      </c>
      <c r="U182" s="25"/>
      <c r="V182" s="53">
        <f>S182+T182</f>
        <v>53062</v>
      </c>
      <c r="W182" s="25"/>
      <c r="X182" s="5"/>
    </row>
    <row r="183" spans="1:24" ht="15.6" x14ac:dyDescent="0.3">
      <c r="A183" s="24"/>
      <c r="B183" s="25" t="s">
        <v>65</v>
      </c>
      <c r="C183" s="25"/>
      <c r="D183" s="25"/>
      <c r="E183" s="25"/>
      <c r="F183" s="25"/>
      <c r="G183" s="25"/>
      <c r="H183" s="25"/>
      <c r="I183" s="25"/>
      <c r="J183" s="25"/>
      <c r="K183" s="25"/>
      <c r="L183" s="25"/>
      <c r="M183" s="25"/>
      <c r="N183" s="25"/>
      <c r="O183" s="25"/>
      <c r="P183" s="25"/>
      <c r="Q183" s="25"/>
      <c r="R183" s="25"/>
      <c r="S183" s="53">
        <f>S179-S182-T182</f>
        <v>186970.80000000002</v>
      </c>
      <c r="T183" s="40"/>
      <c r="U183" s="25"/>
      <c r="V183" s="53"/>
      <c r="W183" s="25"/>
      <c r="X183" s="5"/>
    </row>
    <row r="184" spans="1:24" ht="16.2" thickBot="1" x14ac:dyDescent="0.35">
      <c r="A184" s="24"/>
      <c r="B184" s="25"/>
      <c r="C184" s="25"/>
      <c r="D184" s="25"/>
      <c r="E184" s="25"/>
      <c r="F184" s="25"/>
      <c r="G184" s="25"/>
      <c r="H184" s="25"/>
      <c r="I184" s="25"/>
      <c r="J184" s="25"/>
      <c r="K184" s="25"/>
      <c r="L184" s="25"/>
      <c r="M184" s="25"/>
      <c r="N184" s="25"/>
      <c r="O184" s="25"/>
      <c r="P184" s="25"/>
      <c r="Q184" s="25"/>
      <c r="R184" s="25"/>
      <c r="S184" s="25"/>
      <c r="T184" s="25"/>
      <c r="U184" s="25"/>
      <c r="V184" s="61"/>
      <c r="W184" s="25"/>
      <c r="X184" s="5"/>
    </row>
    <row r="185" spans="1:24" ht="15.6" x14ac:dyDescent="0.3">
      <c r="A185" s="2"/>
      <c r="B185" s="4"/>
      <c r="C185" s="4"/>
      <c r="D185" s="4"/>
      <c r="E185" s="4"/>
      <c r="F185" s="4"/>
      <c r="G185" s="4"/>
      <c r="H185" s="4"/>
      <c r="I185" s="4"/>
      <c r="J185" s="4"/>
      <c r="K185" s="4"/>
      <c r="L185" s="4"/>
      <c r="M185" s="4"/>
      <c r="N185" s="4"/>
      <c r="O185" s="4"/>
      <c r="P185" s="4"/>
      <c r="Q185" s="4"/>
      <c r="R185" s="4"/>
      <c r="S185" s="4"/>
      <c r="T185" s="4"/>
      <c r="U185" s="4"/>
      <c r="V185" s="50"/>
      <c r="W185" s="4"/>
      <c r="X185" s="5"/>
    </row>
    <row r="186" spans="1:24" ht="15.6" x14ac:dyDescent="0.3">
      <c r="A186" s="6"/>
      <c r="B186" s="119" t="s">
        <v>66</v>
      </c>
      <c r="C186" s="8"/>
      <c r="D186" s="8"/>
      <c r="E186" s="8"/>
      <c r="F186" s="8"/>
      <c r="G186" s="8"/>
      <c r="H186" s="8"/>
      <c r="I186" s="8"/>
      <c r="J186" s="8"/>
      <c r="K186" s="8"/>
      <c r="L186" s="8"/>
      <c r="M186" s="8"/>
      <c r="N186" s="8"/>
      <c r="O186" s="8"/>
      <c r="P186" s="8"/>
      <c r="Q186" s="8"/>
      <c r="R186" s="8"/>
      <c r="S186" s="8"/>
      <c r="T186" s="8"/>
      <c r="U186" s="8"/>
      <c r="V186" s="65"/>
      <c r="W186" s="8"/>
      <c r="X186" s="5"/>
    </row>
    <row r="187" spans="1:24" ht="15.6" x14ac:dyDescent="0.3">
      <c r="A187" s="24"/>
      <c r="B187" s="25" t="s">
        <v>67</v>
      </c>
      <c r="C187" s="25"/>
      <c r="D187" s="25"/>
      <c r="E187" s="25"/>
      <c r="F187" s="25"/>
      <c r="G187" s="25"/>
      <c r="H187" s="25"/>
      <c r="I187" s="25"/>
      <c r="J187" s="25"/>
      <c r="K187" s="25"/>
      <c r="L187" s="25"/>
      <c r="M187" s="25"/>
      <c r="N187" s="25"/>
      <c r="O187" s="25"/>
      <c r="P187" s="25"/>
      <c r="Q187" s="25"/>
      <c r="R187" s="25"/>
      <c r="S187" s="25"/>
      <c r="T187" s="25"/>
      <c r="U187" s="25"/>
      <c r="V187" s="59">
        <f>(V101+V103+V104+V105+V106)/-(V107+V108)</f>
        <v>3.2447073474470733</v>
      </c>
      <c r="W187" s="25" t="s">
        <v>120</v>
      </c>
      <c r="X187" s="5"/>
    </row>
    <row r="188" spans="1:24" ht="15.6" x14ac:dyDescent="0.3">
      <c r="A188" s="24"/>
      <c r="B188" s="25" t="s">
        <v>68</v>
      </c>
      <c r="C188" s="25"/>
      <c r="D188" s="25"/>
      <c r="E188" s="25"/>
      <c r="F188" s="25"/>
      <c r="G188" s="25"/>
      <c r="H188" s="25"/>
      <c r="I188" s="25"/>
      <c r="J188" s="25"/>
      <c r="K188" s="25"/>
      <c r="L188" s="25"/>
      <c r="M188" s="25"/>
      <c r="N188" s="25"/>
      <c r="O188" s="25"/>
      <c r="P188" s="25"/>
      <c r="Q188" s="25"/>
      <c r="R188" s="25"/>
      <c r="S188" s="25"/>
      <c r="T188" s="25"/>
      <c r="U188" s="25"/>
      <c r="V188" s="66">
        <v>1.46</v>
      </c>
      <c r="W188" s="25" t="s">
        <v>120</v>
      </c>
      <c r="X188" s="5"/>
    </row>
    <row r="189" spans="1:24" ht="15.6" x14ac:dyDescent="0.3">
      <c r="A189" s="24"/>
      <c r="B189" s="25" t="s">
        <v>69</v>
      </c>
      <c r="C189" s="25"/>
      <c r="D189" s="25"/>
      <c r="E189" s="25"/>
      <c r="F189" s="25"/>
      <c r="G189" s="25"/>
      <c r="H189" s="25"/>
      <c r="I189" s="25"/>
      <c r="J189" s="25"/>
      <c r="K189" s="25"/>
      <c r="L189" s="25"/>
      <c r="M189" s="25"/>
      <c r="N189" s="25"/>
      <c r="O189" s="25"/>
      <c r="P189" s="25"/>
      <c r="Q189" s="25"/>
      <c r="R189" s="25"/>
      <c r="S189" s="25"/>
      <c r="T189" s="25"/>
      <c r="U189" s="25"/>
      <c r="V189" s="59">
        <f>(V101+V103+V104+V105+V106+V107+V108)/-(V109+V110)</f>
        <v>14.835390946502057</v>
      </c>
      <c r="W189" s="25" t="s">
        <v>120</v>
      </c>
      <c r="X189" s="5"/>
    </row>
    <row r="190" spans="1:24" ht="15.6" x14ac:dyDescent="0.3">
      <c r="A190" s="24"/>
      <c r="B190" s="25" t="s">
        <v>70</v>
      </c>
      <c r="C190" s="25"/>
      <c r="D190" s="25"/>
      <c r="E190" s="25"/>
      <c r="F190" s="25"/>
      <c r="G190" s="25"/>
      <c r="H190" s="25"/>
      <c r="I190" s="25"/>
      <c r="J190" s="25"/>
      <c r="K190" s="25"/>
      <c r="L190" s="25"/>
      <c r="M190" s="25"/>
      <c r="N190" s="25"/>
      <c r="O190" s="25"/>
      <c r="P190" s="25"/>
      <c r="Q190" s="25"/>
      <c r="R190" s="25"/>
      <c r="S190" s="25"/>
      <c r="T190" s="25"/>
      <c r="U190" s="25"/>
      <c r="V190" s="66">
        <v>4.5</v>
      </c>
      <c r="W190" s="25" t="s">
        <v>120</v>
      </c>
      <c r="X190" s="5"/>
    </row>
    <row r="191" spans="1:24" ht="15.6" x14ac:dyDescent="0.3">
      <c r="A191" s="24"/>
      <c r="B191" s="25" t="s">
        <v>204</v>
      </c>
      <c r="C191" s="25"/>
      <c r="D191" s="25"/>
      <c r="E191" s="25"/>
      <c r="F191" s="25"/>
      <c r="G191" s="25"/>
      <c r="H191" s="25"/>
      <c r="I191" s="25"/>
      <c r="J191" s="25"/>
      <c r="K191" s="25"/>
      <c r="L191" s="25"/>
      <c r="M191" s="25"/>
      <c r="N191" s="25"/>
      <c r="O191" s="25"/>
      <c r="P191" s="25"/>
      <c r="Q191" s="25"/>
      <c r="R191" s="25"/>
      <c r="S191" s="25"/>
      <c r="T191" s="25"/>
      <c r="U191" s="25"/>
      <c r="V191" s="59">
        <f>(V101+V103+V104+V105+V106+V107+V108+V109+V110)/-(V111+V112)</f>
        <v>13.556451612903226</v>
      </c>
      <c r="W191" s="25" t="s">
        <v>120</v>
      </c>
      <c r="X191" s="5"/>
    </row>
    <row r="192" spans="1:24" ht="15.6" x14ac:dyDescent="0.3">
      <c r="A192" s="24"/>
      <c r="B192" s="25" t="s">
        <v>205</v>
      </c>
      <c r="C192" s="25"/>
      <c r="D192" s="25"/>
      <c r="E192" s="25"/>
      <c r="F192" s="25"/>
      <c r="G192" s="25"/>
      <c r="H192" s="25"/>
      <c r="I192" s="25"/>
      <c r="J192" s="25"/>
      <c r="K192" s="25"/>
      <c r="L192" s="25"/>
      <c r="M192" s="25"/>
      <c r="N192" s="25"/>
      <c r="O192" s="25"/>
      <c r="P192" s="25"/>
      <c r="Q192" s="25"/>
      <c r="R192" s="25"/>
      <c r="S192" s="25"/>
      <c r="T192" s="25"/>
      <c r="U192" s="25"/>
      <c r="V192" s="66">
        <v>4.13</v>
      </c>
      <c r="W192" s="25" t="s">
        <v>120</v>
      </c>
      <c r="X192" s="5"/>
    </row>
    <row r="193" spans="1:24" ht="15.6" x14ac:dyDescent="0.3">
      <c r="A193" s="24"/>
      <c r="B193" s="25"/>
      <c r="C193" s="25"/>
      <c r="D193" s="25"/>
      <c r="E193" s="25"/>
      <c r="F193" s="25"/>
      <c r="G193" s="25"/>
      <c r="H193" s="25"/>
      <c r="I193" s="25"/>
      <c r="J193" s="25"/>
      <c r="K193" s="25"/>
      <c r="L193" s="25"/>
      <c r="M193" s="25"/>
      <c r="N193" s="25"/>
      <c r="O193" s="25"/>
      <c r="P193" s="25"/>
      <c r="Q193" s="25"/>
      <c r="R193" s="25"/>
      <c r="S193" s="25"/>
      <c r="T193" s="25"/>
      <c r="U193" s="25"/>
      <c r="V193" s="25"/>
      <c r="W193" s="25"/>
      <c r="X193" s="5"/>
    </row>
    <row r="194" spans="1:24" ht="15.6" x14ac:dyDescent="0.3">
      <c r="A194" s="24"/>
      <c r="B194" s="25"/>
      <c r="C194" s="25"/>
      <c r="D194" s="25"/>
      <c r="E194" s="25"/>
      <c r="F194" s="25"/>
      <c r="G194" s="25"/>
      <c r="H194" s="25"/>
      <c r="I194" s="25"/>
      <c r="J194" s="25"/>
      <c r="K194" s="25"/>
      <c r="L194" s="25"/>
      <c r="M194" s="25"/>
      <c r="N194" s="25"/>
      <c r="O194" s="25"/>
      <c r="P194" s="25"/>
      <c r="Q194" s="25"/>
      <c r="R194" s="25"/>
      <c r="S194" s="25"/>
      <c r="T194" s="25"/>
      <c r="U194" s="25"/>
      <c r="V194" s="25"/>
      <c r="W194" s="25"/>
      <c r="X194" s="5"/>
    </row>
    <row r="195" spans="1:24" ht="15.6" x14ac:dyDescent="0.3">
      <c r="A195" s="6"/>
      <c r="B195" s="8"/>
      <c r="C195" s="8"/>
      <c r="D195" s="8"/>
      <c r="E195" s="8"/>
      <c r="F195" s="8"/>
      <c r="G195" s="8"/>
      <c r="H195" s="8"/>
      <c r="I195" s="8"/>
      <c r="J195" s="8"/>
      <c r="K195" s="8"/>
      <c r="L195" s="8"/>
      <c r="M195" s="8"/>
      <c r="N195" s="8"/>
      <c r="O195" s="8"/>
      <c r="P195" s="8"/>
      <c r="Q195" s="8"/>
      <c r="R195" s="8"/>
      <c r="S195" s="8"/>
      <c r="T195" s="8"/>
      <c r="U195" s="8"/>
      <c r="V195" s="8"/>
      <c r="W195" s="8"/>
      <c r="X195" s="5"/>
    </row>
    <row r="196" spans="1:24" ht="18" thickBot="1" x14ac:dyDescent="0.35">
      <c r="A196" s="101"/>
      <c r="B196" s="102" t="str">
        <f>B136</f>
        <v>PM12 INVESTOR REPORT QUARTER ENDING JANUARY 2010</v>
      </c>
      <c r="C196" s="165"/>
      <c r="D196" s="165"/>
      <c r="E196" s="165"/>
      <c r="F196" s="165"/>
      <c r="G196" s="165"/>
      <c r="H196" s="165"/>
      <c r="I196" s="165"/>
      <c r="J196" s="165"/>
      <c r="K196" s="165"/>
      <c r="L196" s="165"/>
      <c r="M196" s="165"/>
      <c r="N196" s="165"/>
      <c r="O196" s="165"/>
      <c r="P196" s="165"/>
      <c r="Q196" s="165"/>
      <c r="R196" s="165"/>
      <c r="S196" s="165"/>
      <c r="T196" s="165"/>
      <c r="U196" s="165"/>
      <c r="V196" s="165"/>
      <c r="W196" s="166"/>
      <c r="X196" s="5"/>
    </row>
    <row r="197" spans="1:24" ht="15.6" x14ac:dyDescent="0.3">
      <c r="A197" s="67"/>
      <c r="B197" s="60" t="s">
        <v>71</v>
      </c>
      <c r="C197" s="68"/>
      <c r="D197" s="68"/>
      <c r="E197" s="68"/>
      <c r="F197" s="68"/>
      <c r="G197" s="69"/>
      <c r="H197" s="69"/>
      <c r="I197" s="69"/>
      <c r="J197" s="69"/>
      <c r="K197" s="69"/>
      <c r="L197" s="69"/>
      <c r="M197" s="69"/>
      <c r="N197" s="69"/>
      <c r="O197" s="69"/>
      <c r="P197" s="69"/>
      <c r="Q197" s="69"/>
      <c r="R197" s="69"/>
      <c r="S197" s="69"/>
      <c r="T197" s="70">
        <v>40207</v>
      </c>
      <c r="U197" s="4"/>
      <c r="V197" s="4"/>
      <c r="W197" s="4"/>
      <c r="X197" s="5"/>
    </row>
    <row r="198" spans="1:24" ht="15.6" x14ac:dyDescent="0.3">
      <c r="A198" s="71"/>
      <c r="B198" s="72"/>
      <c r="C198" s="73"/>
      <c r="D198" s="73"/>
      <c r="E198" s="73"/>
      <c r="F198" s="73"/>
      <c r="G198" s="74"/>
      <c r="H198" s="74"/>
      <c r="I198" s="74"/>
      <c r="J198" s="74"/>
      <c r="K198" s="74"/>
      <c r="L198" s="74"/>
      <c r="M198" s="74"/>
      <c r="N198" s="74"/>
      <c r="O198" s="74"/>
      <c r="P198" s="74"/>
      <c r="Q198" s="74"/>
      <c r="R198" s="74"/>
      <c r="S198" s="74"/>
      <c r="T198" s="74"/>
      <c r="U198" s="8"/>
      <c r="V198" s="8"/>
      <c r="W198" s="8"/>
      <c r="X198" s="5"/>
    </row>
    <row r="199" spans="1:24" ht="15.6" x14ac:dyDescent="0.3">
      <c r="A199" s="75"/>
      <c r="B199" s="76" t="s">
        <v>72</v>
      </c>
      <c r="C199" s="77"/>
      <c r="D199" s="77"/>
      <c r="E199" s="77"/>
      <c r="F199" s="77"/>
      <c r="G199" s="64"/>
      <c r="H199" s="64"/>
      <c r="I199" s="64"/>
      <c r="J199" s="64"/>
      <c r="K199" s="64"/>
      <c r="L199" s="64"/>
      <c r="M199" s="64"/>
      <c r="N199" s="64"/>
      <c r="O199" s="64"/>
      <c r="P199" s="64"/>
      <c r="Q199" s="64"/>
      <c r="R199" s="64"/>
      <c r="S199" s="64"/>
      <c r="T199" s="78">
        <v>5.2060000000000002E-2</v>
      </c>
      <c r="U199" s="25"/>
      <c r="V199" s="25"/>
      <c r="W199" s="25"/>
      <c r="X199" s="5"/>
    </row>
    <row r="200" spans="1:24" ht="15.6" x14ac:dyDescent="0.3">
      <c r="A200" s="75"/>
      <c r="B200" s="76" t="s">
        <v>156</v>
      </c>
      <c r="C200" s="77"/>
      <c r="D200" s="77"/>
      <c r="E200" s="77"/>
      <c r="F200" s="77"/>
      <c r="G200" s="64"/>
      <c r="H200" s="64"/>
      <c r="I200" s="64"/>
      <c r="J200" s="64"/>
      <c r="K200" s="64"/>
      <c r="L200" s="64"/>
      <c r="M200" s="64"/>
      <c r="N200" s="64"/>
      <c r="O200" s="64"/>
      <c r="P200" s="64"/>
      <c r="Q200" s="64"/>
      <c r="R200" s="64"/>
      <c r="S200" s="64"/>
      <c r="T200" s="39">
        <f>'Oct 06'!T197</f>
        <v>4.8538814772447772E-2</v>
      </c>
      <c r="U200" s="25"/>
      <c r="V200" s="25"/>
      <c r="W200" s="25"/>
      <c r="X200" s="5"/>
    </row>
    <row r="201" spans="1:24" ht="15.6" x14ac:dyDescent="0.3">
      <c r="A201" s="75"/>
      <c r="B201" s="76" t="s">
        <v>73</v>
      </c>
      <c r="C201" s="77"/>
      <c r="D201" s="77"/>
      <c r="E201" s="77"/>
      <c r="F201" s="77"/>
      <c r="G201" s="64"/>
      <c r="H201" s="64"/>
      <c r="I201" s="64"/>
      <c r="J201" s="64"/>
      <c r="K201" s="64"/>
      <c r="L201" s="64"/>
      <c r="M201" s="64"/>
      <c r="N201" s="64"/>
      <c r="O201" s="64"/>
      <c r="P201" s="64"/>
      <c r="Q201" s="64"/>
      <c r="R201" s="64"/>
      <c r="S201" s="64"/>
      <c r="T201" s="78">
        <f>T199-T200</f>
        <v>3.5211852275522301E-3</v>
      </c>
      <c r="U201" s="25"/>
      <c r="V201" s="25"/>
      <c r="W201" s="25"/>
      <c r="X201" s="5"/>
    </row>
    <row r="202" spans="1:24" ht="15.6" x14ac:dyDescent="0.3">
      <c r="A202" s="75"/>
      <c r="B202" s="76" t="s">
        <v>74</v>
      </c>
      <c r="C202" s="77"/>
      <c r="D202" s="77"/>
      <c r="E202" s="77"/>
      <c r="F202" s="77"/>
      <c r="G202" s="64"/>
      <c r="H202" s="64"/>
      <c r="I202" s="64"/>
      <c r="J202" s="64"/>
      <c r="K202" s="64"/>
      <c r="L202" s="64"/>
      <c r="M202" s="64"/>
      <c r="N202" s="64"/>
      <c r="O202" s="64"/>
      <c r="P202" s="64"/>
      <c r="Q202" s="64"/>
      <c r="R202" s="64"/>
      <c r="S202" s="64"/>
      <c r="T202" s="78">
        <v>2.7969999999999998E-2</v>
      </c>
      <c r="U202" s="25"/>
      <c r="V202" s="25"/>
      <c r="W202" s="25"/>
      <c r="X202" s="5"/>
    </row>
    <row r="203" spans="1:24" ht="15.6" x14ac:dyDescent="0.3">
      <c r="A203" s="75"/>
      <c r="B203" s="76" t="s">
        <v>225</v>
      </c>
      <c r="C203" s="77"/>
      <c r="D203" s="77"/>
      <c r="E203" s="77"/>
      <c r="F203" s="77"/>
      <c r="G203" s="64"/>
      <c r="H203" s="64"/>
      <c r="I203" s="64"/>
      <c r="J203" s="64"/>
      <c r="K203" s="64"/>
      <c r="L203" s="64"/>
      <c r="M203" s="64"/>
      <c r="N203" s="64"/>
      <c r="O203" s="64"/>
      <c r="P203" s="64"/>
      <c r="Q203" s="64"/>
      <c r="R203" s="64"/>
      <c r="S203" s="64"/>
      <c r="T203" s="78">
        <f>V43</f>
        <v>7.8908426084560619E-3</v>
      </c>
      <c r="U203" s="25"/>
      <c r="V203" s="25"/>
      <c r="W203" s="25"/>
      <c r="X203" s="5"/>
    </row>
    <row r="204" spans="1:24" ht="15.6" x14ac:dyDescent="0.3">
      <c r="A204" s="75"/>
      <c r="B204" s="76" t="s">
        <v>75</v>
      </c>
      <c r="C204" s="77"/>
      <c r="D204" s="77"/>
      <c r="E204" s="77"/>
      <c r="F204" s="77"/>
      <c r="G204" s="64"/>
      <c r="H204" s="64"/>
      <c r="I204" s="64"/>
      <c r="J204" s="64"/>
      <c r="K204" s="64"/>
      <c r="L204" s="64"/>
      <c r="M204" s="64"/>
      <c r="N204" s="64"/>
      <c r="O204" s="64"/>
      <c r="P204" s="64"/>
      <c r="Q204" s="64"/>
      <c r="R204" s="64"/>
      <c r="S204" s="64"/>
      <c r="T204" s="78">
        <f>T202-T203</f>
        <v>2.0079157391543936E-2</v>
      </c>
      <c r="U204" s="25"/>
      <c r="V204" s="25"/>
      <c r="W204" s="25"/>
      <c r="X204" s="5"/>
    </row>
    <row r="205" spans="1:24" ht="15.6" x14ac:dyDescent="0.3">
      <c r="A205" s="75"/>
      <c r="B205" s="76" t="s">
        <v>271</v>
      </c>
      <c r="C205" s="77"/>
      <c r="D205" s="77"/>
      <c r="E205" s="77"/>
      <c r="F205" s="77"/>
      <c r="G205" s="64"/>
      <c r="H205" s="64"/>
      <c r="I205" s="64"/>
      <c r="J205" s="64"/>
      <c r="K205" s="64"/>
      <c r="L205" s="64"/>
      <c r="M205" s="64"/>
      <c r="N205" s="64"/>
      <c r="O205" s="64"/>
      <c r="P205" s="64"/>
      <c r="Q205" s="64"/>
      <c r="R205" s="64"/>
      <c r="S205" s="64"/>
      <c r="T205" s="78">
        <f>+V101/N72</f>
        <v>7.29486798972479E-3</v>
      </c>
      <c r="U205" s="25"/>
      <c r="V205" s="25"/>
      <c r="W205" s="25"/>
      <c r="X205" s="5"/>
    </row>
    <row r="206" spans="1:24" ht="15.6" x14ac:dyDescent="0.3">
      <c r="A206" s="75"/>
      <c r="B206" s="76" t="s">
        <v>214</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215</v>
      </c>
      <c r="C207" s="77"/>
      <c r="D207" s="77"/>
      <c r="E207" s="77"/>
      <c r="F207" s="77"/>
      <c r="G207" s="64"/>
      <c r="H207" s="64"/>
      <c r="I207" s="64"/>
      <c r="J207" s="64"/>
      <c r="K207" s="64"/>
      <c r="L207" s="64"/>
      <c r="M207" s="64"/>
      <c r="N207" s="64"/>
      <c r="O207" s="64"/>
      <c r="P207" s="64"/>
      <c r="Q207" s="64"/>
      <c r="R207" s="64"/>
      <c r="S207" s="64"/>
      <c r="T207" s="129">
        <v>50710</v>
      </c>
      <c r="U207" s="25"/>
      <c r="V207" s="25"/>
      <c r="W207" s="25"/>
      <c r="X207" s="5"/>
    </row>
    <row r="208" spans="1:24" ht="15.6" x14ac:dyDescent="0.3">
      <c r="A208" s="75"/>
      <c r="B208" s="76" t="s">
        <v>216</v>
      </c>
      <c r="C208" s="77"/>
      <c r="D208" s="77"/>
      <c r="E208" s="77"/>
      <c r="F208" s="77"/>
      <c r="G208" s="64"/>
      <c r="H208" s="64"/>
      <c r="I208" s="64"/>
      <c r="J208" s="64"/>
      <c r="K208" s="64"/>
      <c r="L208" s="64"/>
      <c r="M208" s="64"/>
      <c r="N208" s="64"/>
      <c r="O208" s="64"/>
      <c r="P208" s="64"/>
      <c r="Q208" s="64"/>
      <c r="R208" s="64"/>
      <c r="S208" s="64"/>
      <c r="T208" s="129">
        <v>50710</v>
      </c>
      <c r="U208" s="25"/>
      <c r="V208" s="25"/>
      <c r="W208" s="25"/>
      <c r="X208" s="5"/>
    </row>
    <row r="209" spans="1:24" ht="15.6" x14ac:dyDescent="0.3">
      <c r="A209" s="75"/>
      <c r="B209" s="76" t="s">
        <v>76</v>
      </c>
      <c r="C209" s="77"/>
      <c r="D209" s="77"/>
      <c r="E209" s="77"/>
      <c r="F209" s="77"/>
      <c r="G209" s="64"/>
      <c r="H209" s="64"/>
      <c r="I209" s="64"/>
      <c r="J209" s="64"/>
      <c r="K209" s="64"/>
      <c r="L209" s="64"/>
      <c r="M209" s="64"/>
      <c r="N209" s="64"/>
      <c r="O209" s="64"/>
      <c r="P209" s="64"/>
      <c r="Q209" s="64"/>
      <c r="R209" s="64"/>
      <c r="S209" s="64"/>
      <c r="T209" s="133">
        <v>21.06</v>
      </c>
      <c r="U209" s="25" t="s">
        <v>115</v>
      </c>
      <c r="V209" s="25"/>
      <c r="W209" s="25"/>
      <c r="X209" s="5"/>
    </row>
    <row r="210" spans="1:24" ht="15.6" x14ac:dyDescent="0.3">
      <c r="A210" s="75"/>
      <c r="B210" s="76" t="s">
        <v>77</v>
      </c>
      <c r="C210" s="77"/>
      <c r="D210" s="77"/>
      <c r="E210" s="77"/>
      <c r="F210" s="77"/>
      <c r="G210" s="64"/>
      <c r="H210" s="64"/>
      <c r="I210" s="64"/>
      <c r="J210" s="64"/>
      <c r="K210" s="64"/>
      <c r="L210" s="64"/>
      <c r="M210" s="64"/>
      <c r="N210" s="64"/>
      <c r="O210" s="64"/>
      <c r="P210" s="64"/>
      <c r="Q210" s="64"/>
      <c r="R210" s="64"/>
      <c r="S210" s="64"/>
      <c r="T210" s="133">
        <v>17.649999999999999</v>
      </c>
      <c r="U210" s="25" t="s">
        <v>115</v>
      </c>
      <c r="V210" s="25"/>
      <c r="W210" s="25"/>
      <c r="X210" s="5"/>
    </row>
    <row r="211" spans="1:24" ht="15.6" x14ac:dyDescent="0.3">
      <c r="A211" s="75"/>
      <c r="B211" s="76" t="s">
        <v>78</v>
      </c>
      <c r="C211" s="77"/>
      <c r="D211" s="77"/>
      <c r="E211" s="77"/>
      <c r="F211" s="77"/>
      <c r="G211" s="64"/>
      <c r="H211" s="64"/>
      <c r="I211" s="64"/>
      <c r="J211" s="64"/>
      <c r="K211" s="64"/>
      <c r="L211" s="64"/>
      <c r="M211" s="64"/>
      <c r="N211" s="64"/>
      <c r="O211" s="64"/>
      <c r="P211" s="64"/>
      <c r="Q211" s="64"/>
      <c r="R211" s="64"/>
      <c r="S211" s="64"/>
      <c r="T211" s="78">
        <f>+P69/N69</f>
        <v>6.8207442415300166E-3</v>
      </c>
      <c r="U211" s="25"/>
      <c r="V211" s="25"/>
      <c r="W211" s="25"/>
      <c r="X211" s="5"/>
    </row>
    <row r="212" spans="1:24" ht="15.6" x14ac:dyDescent="0.3">
      <c r="A212" s="75"/>
      <c r="B212" s="76" t="s">
        <v>79</v>
      </c>
      <c r="C212" s="77"/>
      <c r="D212" s="77"/>
      <c r="E212" s="77"/>
      <c r="F212" s="77"/>
      <c r="G212" s="64"/>
      <c r="H212" s="64"/>
      <c r="I212" s="64"/>
      <c r="J212" s="64"/>
      <c r="K212" s="64"/>
      <c r="L212" s="64"/>
      <c r="M212" s="64"/>
      <c r="N212" s="64"/>
      <c r="O212" s="64"/>
      <c r="P212" s="64"/>
      <c r="Q212" s="64"/>
      <c r="R212" s="64"/>
      <c r="S212" s="64"/>
      <c r="T212" s="78">
        <v>0.10680000000000001</v>
      </c>
      <c r="U212" s="25"/>
      <c r="V212" s="25"/>
      <c r="W212" s="25"/>
      <c r="X212" s="5"/>
    </row>
    <row r="213" spans="1:24" ht="15.6" x14ac:dyDescent="0.3">
      <c r="A213" s="75"/>
      <c r="B213" s="76"/>
      <c r="C213" s="76"/>
      <c r="D213" s="76"/>
      <c r="E213" s="76"/>
      <c r="F213" s="76"/>
      <c r="G213" s="25"/>
      <c r="H213" s="25"/>
      <c r="I213" s="25"/>
      <c r="J213" s="25"/>
      <c r="K213" s="25"/>
      <c r="L213" s="25"/>
      <c r="M213" s="25"/>
      <c r="N213" s="25"/>
      <c r="O213" s="25"/>
      <c r="P213" s="25"/>
      <c r="Q213" s="25"/>
      <c r="R213" s="25"/>
      <c r="S213" s="25"/>
      <c r="T213" s="61"/>
      <c r="U213" s="25"/>
      <c r="V213" s="79"/>
      <c r="W213" s="25"/>
      <c r="X213" s="5"/>
    </row>
    <row r="214" spans="1:24" ht="15.6" x14ac:dyDescent="0.3">
      <c r="A214" s="80"/>
      <c r="B214" s="14" t="s">
        <v>80</v>
      </c>
      <c r="C214" s="81"/>
      <c r="D214" s="81"/>
      <c r="E214" s="81"/>
      <c r="F214" s="82"/>
      <c r="G214" s="81"/>
      <c r="H214" s="17"/>
      <c r="I214" s="17"/>
      <c r="J214" s="17"/>
      <c r="K214" s="17"/>
      <c r="L214" s="17"/>
      <c r="M214" s="17"/>
      <c r="N214" s="17"/>
      <c r="O214" s="17"/>
      <c r="P214" s="17"/>
      <c r="Q214" s="17"/>
      <c r="R214" s="17"/>
      <c r="S214" s="17" t="s">
        <v>104</v>
      </c>
      <c r="T214" s="83" t="s">
        <v>111</v>
      </c>
      <c r="U214" s="8"/>
      <c r="V214" s="8"/>
      <c r="W214" s="8"/>
      <c r="X214" s="5"/>
    </row>
    <row r="215" spans="1:24" ht="15.6" x14ac:dyDescent="0.3">
      <c r="A215" s="84"/>
      <c r="B215" s="76" t="s">
        <v>81</v>
      </c>
      <c r="C215" s="54"/>
      <c r="D215" s="54"/>
      <c r="E215" s="54"/>
      <c r="F215" s="25"/>
      <c r="G215" s="25"/>
      <c r="H215" s="30"/>
      <c r="I215" s="30"/>
      <c r="J215" s="30"/>
      <c r="K215" s="30"/>
      <c r="L215" s="30"/>
      <c r="M215" s="30"/>
      <c r="N215" s="30"/>
      <c r="O215" s="30"/>
      <c r="P215" s="30"/>
      <c r="Q215" s="30"/>
      <c r="R215" s="30"/>
      <c r="S215" s="30">
        <v>2</v>
      </c>
      <c r="T215" s="172">
        <v>1476</v>
      </c>
      <c r="U215" s="25"/>
      <c r="V215" s="79"/>
      <c r="W215" s="86"/>
      <c r="X215" s="5"/>
    </row>
    <row r="216" spans="1:24" ht="15.6" x14ac:dyDescent="0.3">
      <c r="A216" s="84"/>
      <c r="B216" s="76" t="s">
        <v>150</v>
      </c>
      <c r="C216" s="54"/>
      <c r="D216" s="54"/>
      <c r="E216" s="54"/>
      <c r="F216" s="25"/>
      <c r="G216" s="25"/>
      <c r="H216" s="30"/>
      <c r="I216" s="30"/>
      <c r="J216" s="30"/>
      <c r="K216" s="30"/>
      <c r="L216" s="30"/>
      <c r="M216" s="30"/>
      <c r="N216" s="30"/>
      <c r="O216" s="30"/>
      <c r="P216" s="30"/>
      <c r="Q216" s="30"/>
      <c r="R216" s="30"/>
      <c r="S216" s="152">
        <f>+R256</f>
        <v>189</v>
      </c>
      <c r="T216" s="85">
        <f>+T256</f>
        <v>30886</v>
      </c>
      <c r="U216" s="25"/>
      <c r="V216" s="79"/>
      <c r="W216" s="86"/>
      <c r="X216" s="5"/>
    </row>
    <row r="217" spans="1:24" ht="15.6" x14ac:dyDescent="0.3">
      <c r="A217" s="84"/>
      <c r="B217" s="76" t="s">
        <v>82</v>
      </c>
      <c r="C217" s="54"/>
      <c r="D217" s="54"/>
      <c r="E217" s="54"/>
      <c r="F217" s="25"/>
      <c r="G217" s="25"/>
      <c r="H217" s="30"/>
      <c r="I217" s="30"/>
      <c r="J217" s="30"/>
      <c r="K217" s="30"/>
      <c r="L217" s="30"/>
      <c r="M217" s="30"/>
      <c r="N217" s="30"/>
      <c r="O217" s="30"/>
      <c r="P217" s="30"/>
      <c r="Q217" s="30"/>
      <c r="R217" s="30"/>
      <c r="S217" s="152">
        <f>+R268</f>
        <v>0</v>
      </c>
      <c r="T217" s="85">
        <f>+T268</f>
        <v>0</v>
      </c>
      <c r="U217" s="25"/>
      <c r="V217" s="79"/>
      <c r="W217" s="86"/>
      <c r="X217" s="5"/>
    </row>
    <row r="218" spans="1:24" ht="15.6" x14ac:dyDescent="0.3">
      <c r="A218" s="84"/>
      <c r="B218" s="122" t="s">
        <v>83</v>
      </c>
      <c r="C218" s="54"/>
      <c r="D218" s="54"/>
      <c r="E218" s="54"/>
      <c r="F218" s="25"/>
      <c r="G218" s="25"/>
      <c r="H218" s="25"/>
      <c r="I218" s="25"/>
      <c r="J218" s="25"/>
      <c r="K218" s="25"/>
      <c r="L218" s="25"/>
      <c r="M218" s="25"/>
      <c r="N218" s="25"/>
      <c r="O218" s="25"/>
      <c r="P218" s="25"/>
      <c r="Q218" s="25"/>
      <c r="R218" s="25"/>
      <c r="S218" s="25"/>
      <c r="T218" s="85">
        <v>0</v>
      </c>
      <c r="U218" s="25"/>
      <c r="V218" s="79"/>
      <c r="W218" s="86"/>
      <c r="X218" s="5"/>
    </row>
    <row r="219" spans="1:24" ht="15.6" x14ac:dyDescent="0.3">
      <c r="A219" s="84"/>
      <c r="B219" s="122" t="s">
        <v>84</v>
      </c>
      <c r="C219" s="54"/>
      <c r="D219" s="54"/>
      <c r="E219" s="54"/>
      <c r="F219" s="25"/>
      <c r="G219" s="25"/>
      <c r="H219" s="25"/>
      <c r="I219" s="25"/>
      <c r="J219" s="25"/>
      <c r="K219" s="25"/>
      <c r="L219" s="25"/>
      <c r="M219" s="25"/>
      <c r="N219" s="25"/>
      <c r="O219" s="25"/>
      <c r="P219" s="25"/>
      <c r="Q219" s="25"/>
      <c r="R219" s="25"/>
      <c r="S219" s="25"/>
      <c r="T219" s="62" t="s">
        <v>112</v>
      </c>
      <c r="U219" s="25"/>
      <c r="V219" s="79"/>
      <c r="W219" s="86"/>
      <c r="X219" s="5"/>
    </row>
    <row r="220" spans="1:24" ht="15.6" x14ac:dyDescent="0.3">
      <c r="A220" s="87"/>
      <c r="B220" s="122" t="s">
        <v>85</v>
      </c>
      <c r="C220" s="76"/>
      <c r="D220" s="76"/>
      <c r="E220" s="76"/>
      <c r="F220" s="76"/>
      <c r="G220" s="25"/>
      <c r="H220" s="25"/>
      <c r="I220" s="25"/>
      <c r="J220" s="25"/>
      <c r="K220" s="25"/>
      <c r="L220" s="25"/>
      <c r="M220" s="25"/>
      <c r="N220" s="25"/>
      <c r="O220" s="25"/>
      <c r="P220" s="25"/>
      <c r="Q220" s="25"/>
      <c r="R220" s="25"/>
      <c r="S220" s="25"/>
      <c r="T220" s="85"/>
      <c r="U220" s="25"/>
      <c r="V220" s="79"/>
      <c r="W220" s="88"/>
      <c r="X220" s="5"/>
    </row>
    <row r="221" spans="1:24" ht="15.6" x14ac:dyDescent="0.3">
      <c r="A221" s="87"/>
      <c r="B221" s="131" t="s">
        <v>86</v>
      </c>
      <c r="C221" s="76"/>
      <c r="D221" s="76"/>
      <c r="E221" s="76"/>
      <c r="F221" s="76"/>
      <c r="G221" s="25"/>
      <c r="H221" s="25"/>
      <c r="I221" s="25"/>
      <c r="J221" s="25"/>
      <c r="K221" s="25"/>
      <c r="L221" s="25"/>
      <c r="M221" s="25"/>
      <c r="N221" s="25"/>
      <c r="O221" s="25"/>
      <c r="P221" s="25"/>
      <c r="Q221" s="25"/>
      <c r="R221" s="25"/>
      <c r="S221" s="30"/>
      <c r="T221" s="85">
        <f>+V165</f>
        <v>240</v>
      </c>
      <c r="U221" s="25"/>
      <c r="V221" s="79"/>
      <c r="W221" s="88"/>
      <c r="X221" s="5"/>
    </row>
    <row r="222" spans="1:24" ht="15.6" x14ac:dyDescent="0.3">
      <c r="A222" s="84"/>
      <c r="B222" s="76" t="s">
        <v>87</v>
      </c>
      <c r="C222" s="54"/>
      <c r="D222" s="54"/>
      <c r="E222" s="54"/>
      <c r="F222" s="54"/>
      <c r="G222" s="25"/>
      <c r="H222" s="25"/>
      <c r="I222" s="25"/>
      <c r="J222" s="25"/>
      <c r="K222" s="25"/>
      <c r="L222" s="25"/>
      <c r="M222" s="25"/>
      <c r="N222" s="25"/>
      <c r="O222" s="25"/>
      <c r="P222" s="25"/>
      <c r="Q222" s="25"/>
      <c r="R222" s="25"/>
      <c r="S222" s="30"/>
      <c r="T222" s="85">
        <f>'Oct 09'!T222+'Jan 10'!T221</f>
        <v>1400</v>
      </c>
      <c r="U222" s="25"/>
      <c r="V222" s="79"/>
      <c r="W222" s="88"/>
      <c r="X222" s="5"/>
    </row>
    <row r="223" spans="1:24" ht="15.6" x14ac:dyDescent="0.3">
      <c r="A223" s="87"/>
      <c r="B223" s="122" t="s">
        <v>292</v>
      </c>
      <c r="C223" s="76"/>
      <c r="D223" s="76"/>
      <c r="E223" s="76"/>
      <c r="F223" s="76"/>
      <c r="G223" s="25"/>
      <c r="H223" s="25"/>
      <c r="I223" s="25"/>
      <c r="J223" s="25"/>
      <c r="K223" s="25"/>
      <c r="L223" s="25"/>
      <c r="M223" s="25"/>
      <c r="N223" s="25"/>
      <c r="O223" s="25"/>
      <c r="P223" s="25"/>
      <c r="Q223" s="25"/>
      <c r="R223" s="25"/>
      <c r="S223" s="30"/>
      <c r="T223" s="85"/>
      <c r="U223" s="25"/>
      <c r="V223" s="79"/>
      <c r="W223" s="88"/>
      <c r="X223" s="5"/>
    </row>
    <row r="224" spans="1:24" ht="15.6" x14ac:dyDescent="0.3">
      <c r="A224" s="87"/>
      <c r="B224" s="76" t="s">
        <v>290</v>
      </c>
      <c r="C224" s="76"/>
      <c r="D224" s="76"/>
      <c r="E224" s="76"/>
      <c r="F224" s="76"/>
      <c r="G224" s="25"/>
      <c r="H224" s="25"/>
      <c r="I224" s="25"/>
      <c r="J224" s="25"/>
      <c r="K224" s="25"/>
      <c r="L224" s="25"/>
      <c r="M224" s="25"/>
      <c r="N224" s="25"/>
      <c r="O224" s="25"/>
      <c r="P224" s="25"/>
      <c r="Q224" s="25"/>
      <c r="R224" s="25"/>
      <c r="S224" s="30">
        <v>0</v>
      </c>
      <c r="T224" s="172">
        <v>0</v>
      </c>
      <c r="U224" s="25"/>
      <c r="V224" s="79"/>
      <c r="W224" s="88"/>
      <c r="X224" s="5"/>
    </row>
    <row r="225" spans="1:25" ht="15.6" x14ac:dyDescent="0.3">
      <c r="A225" s="84"/>
      <c r="B225" s="76" t="s">
        <v>88</v>
      </c>
      <c r="C225" s="89"/>
      <c r="D225" s="89"/>
      <c r="E225" s="89"/>
      <c r="F225" s="90"/>
      <c r="G225" s="25"/>
      <c r="H225" s="25"/>
      <c r="I225" s="25"/>
      <c r="J225" s="25"/>
      <c r="K225" s="25"/>
      <c r="L225" s="25"/>
      <c r="M225" s="25"/>
      <c r="N225" s="25"/>
      <c r="O225" s="25"/>
      <c r="P225" s="25"/>
      <c r="Q225" s="25"/>
      <c r="R225" s="25"/>
      <c r="S225" s="25"/>
      <c r="T225" s="173">
        <v>0</v>
      </c>
      <c r="U225" s="25"/>
      <c r="V225" s="79"/>
      <c r="W225" s="88"/>
      <c r="X225" s="5"/>
    </row>
    <row r="226" spans="1:25" ht="15.6" x14ac:dyDescent="0.3">
      <c r="A226" s="84"/>
      <c r="B226" s="76" t="s">
        <v>89</v>
      </c>
      <c r="C226" s="89"/>
      <c r="D226" s="89"/>
      <c r="E226" s="89"/>
      <c r="F226" s="90"/>
      <c r="G226" s="25"/>
      <c r="H226" s="25"/>
      <c r="I226" s="25"/>
      <c r="J226" s="25"/>
      <c r="K226" s="25"/>
      <c r="L226" s="25"/>
      <c r="M226" s="25"/>
      <c r="N226" s="25"/>
      <c r="O226" s="25"/>
      <c r="P226" s="25"/>
      <c r="Q226" s="25"/>
      <c r="R226" s="25"/>
      <c r="S226" s="25"/>
      <c r="T226" s="173">
        <v>0</v>
      </c>
      <c r="U226" s="25"/>
      <c r="V226" s="79"/>
      <c r="W226" s="88"/>
      <c r="X226" s="5"/>
    </row>
    <row r="227" spans="1:25" ht="15.6" x14ac:dyDescent="0.3">
      <c r="A227" s="84"/>
      <c r="B227" s="122" t="s">
        <v>223</v>
      </c>
      <c r="C227" s="89"/>
      <c r="D227" s="89"/>
      <c r="E227" s="89"/>
      <c r="F227" s="90"/>
      <c r="G227" s="25"/>
      <c r="H227" s="25"/>
      <c r="I227" s="25"/>
      <c r="J227" s="25"/>
      <c r="K227" s="25"/>
      <c r="L227" s="25"/>
      <c r="M227" s="25"/>
      <c r="N227" s="25"/>
      <c r="O227" s="25"/>
      <c r="P227" s="25"/>
      <c r="Q227" s="25"/>
      <c r="R227" s="25"/>
      <c r="S227" s="25"/>
      <c r="T227" s="174"/>
      <c r="U227" s="25"/>
      <c r="V227" s="79"/>
      <c r="W227" s="88"/>
      <c r="X227" s="5"/>
    </row>
    <row r="228" spans="1:25" ht="15.6" x14ac:dyDescent="0.3">
      <c r="A228" s="84"/>
      <c r="B228" s="76" t="s">
        <v>290</v>
      </c>
      <c r="C228" s="89"/>
      <c r="D228" s="89"/>
      <c r="E228" s="89"/>
      <c r="F228" s="90"/>
      <c r="G228" s="25"/>
      <c r="H228" s="25"/>
      <c r="I228" s="25"/>
      <c r="J228" s="25"/>
      <c r="K228" s="25"/>
      <c r="L228" s="25"/>
      <c r="M228" s="25"/>
      <c r="N228" s="25"/>
      <c r="O228" s="25"/>
      <c r="P228" s="25"/>
      <c r="Q228" s="25"/>
      <c r="R228" s="25"/>
      <c r="S228" s="30">
        <v>6</v>
      </c>
      <c r="T228" s="172">
        <v>1168</v>
      </c>
      <c r="U228" s="25"/>
      <c r="V228" s="79"/>
      <c r="W228" s="88"/>
      <c r="X228" s="5"/>
    </row>
    <row r="229" spans="1:25" ht="15.6" x14ac:dyDescent="0.3">
      <c r="A229" s="84"/>
      <c r="B229" s="76" t="s">
        <v>224</v>
      </c>
      <c r="C229" s="89"/>
      <c r="D229" s="89"/>
      <c r="E229" s="89"/>
      <c r="F229" s="90"/>
      <c r="G229" s="25"/>
      <c r="H229" s="25"/>
      <c r="I229" s="25"/>
      <c r="J229" s="25"/>
      <c r="K229" s="25"/>
      <c r="L229" s="25"/>
      <c r="M229" s="25"/>
      <c r="N229" s="25"/>
      <c r="O229" s="25"/>
      <c r="P229" s="25"/>
      <c r="Q229" s="25"/>
      <c r="R229" s="25"/>
      <c r="S229" s="25"/>
      <c r="T229" s="173">
        <v>11.87</v>
      </c>
      <c r="U229" s="25"/>
      <c r="V229" s="79"/>
      <c r="W229" s="88"/>
      <c r="X229" s="5"/>
    </row>
    <row r="230" spans="1:25" ht="15.6" x14ac:dyDescent="0.3">
      <c r="A230" s="84"/>
      <c r="B230" s="76"/>
      <c r="C230" s="89"/>
      <c r="D230" s="89"/>
      <c r="E230" s="89"/>
      <c r="F230" s="90"/>
      <c r="G230" s="25"/>
      <c r="H230" s="25"/>
      <c r="I230" s="25"/>
      <c r="J230" s="25"/>
      <c r="K230" s="25"/>
      <c r="L230" s="25"/>
      <c r="M230" s="25"/>
      <c r="N230" s="25"/>
      <c r="O230" s="25"/>
      <c r="P230" s="25"/>
      <c r="Q230" s="25"/>
      <c r="R230" s="25"/>
      <c r="S230" s="25"/>
      <c r="T230" s="91"/>
      <c r="U230" s="25"/>
      <c r="V230" s="79"/>
      <c r="W230" s="88"/>
      <c r="X230" s="5"/>
    </row>
    <row r="231" spans="1:25" ht="15.6" x14ac:dyDescent="0.3">
      <c r="A231" s="84"/>
      <c r="B231" s="76"/>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7.399999999999999" x14ac:dyDescent="0.3">
      <c r="A232" s="84"/>
      <c r="B232" s="149" t="s">
        <v>174</v>
      </c>
      <c r="C232" s="89"/>
      <c r="D232" s="89"/>
      <c r="E232" s="89"/>
      <c r="F232" s="90"/>
      <c r="G232" s="25"/>
      <c r="H232" s="25"/>
      <c r="I232" s="25"/>
      <c r="J232" s="25"/>
      <c r="K232" s="25"/>
      <c r="L232" s="25"/>
      <c r="M232" s="25"/>
      <c r="N232" s="25"/>
      <c r="O232" s="25"/>
      <c r="P232" s="150" t="s">
        <v>173</v>
      </c>
      <c r="Q232" s="25"/>
      <c r="R232" s="25"/>
      <c r="S232" s="25"/>
      <c r="T232" s="91"/>
      <c r="U232" s="25"/>
      <c r="V232" s="79"/>
      <c r="W232" s="88"/>
      <c r="X232" s="5"/>
    </row>
    <row r="233" spans="1:25" ht="15.6" x14ac:dyDescent="0.3">
      <c r="A233" s="84"/>
      <c r="B233" s="76"/>
      <c r="C233" s="89"/>
      <c r="D233" s="89"/>
      <c r="E233" s="89"/>
      <c r="F233" s="90"/>
      <c r="G233" s="25"/>
      <c r="H233" s="25"/>
      <c r="I233" s="25"/>
      <c r="J233" s="25"/>
      <c r="K233" s="25"/>
      <c r="L233" s="25"/>
      <c r="M233" s="25"/>
      <c r="N233" s="25"/>
      <c r="O233" s="25"/>
      <c r="P233" s="25"/>
      <c r="Q233" s="25"/>
      <c r="R233" s="25"/>
      <c r="S233" s="25"/>
      <c r="T233" s="91"/>
      <c r="U233" s="25"/>
      <c r="V233" s="79"/>
      <c r="W233" s="88"/>
      <c r="X233" s="5"/>
    </row>
    <row r="234" spans="1:25" ht="15.6" x14ac:dyDescent="0.3">
      <c r="A234" s="6"/>
      <c r="B234" s="14" t="s">
        <v>167</v>
      </c>
      <c r="C234" s="81"/>
      <c r="D234" s="81"/>
      <c r="E234" s="81"/>
      <c r="F234" s="82"/>
      <c r="G234" s="81"/>
      <c r="H234" s="17"/>
      <c r="I234" s="17"/>
      <c r="J234" s="17"/>
      <c r="K234" s="17"/>
      <c r="L234" s="17"/>
      <c r="M234" s="17"/>
      <c r="N234" s="17"/>
      <c r="O234" s="17"/>
      <c r="P234" s="17"/>
      <c r="Q234" s="17"/>
      <c r="R234" s="83" t="s">
        <v>104</v>
      </c>
      <c r="S234" s="17" t="s">
        <v>105</v>
      </c>
      <c r="T234" s="83" t="s">
        <v>113</v>
      </c>
      <c r="U234" s="17" t="s">
        <v>105</v>
      </c>
      <c r="V234" s="8"/>
      <c r="W234" s="92"/>
      <c r="X234" s="5"/>
    </row>
    <row r="235" spans="1:25" ht="15.6" x14ac:dyDescent="0.3">
      <c r="A235" s="24"/>
      <c r="B235" s="54" t="s">
        <v>90</v>
      </c>
      <c r="C235" s="93"/>
      <c r="D235" s="93"/>
      <c r="E235" s="93"/>
      <c r="F235" s="25"/>
      <c r="G235" s="93"/>
      <c r="H235" s="93"/>
      <c r="I235" s="93"/>
      <c r="J235" s="93"/>
      <c r="K235" s="93"/>
      <c r="L235" s="93"/>
      <c r="M235" s="93"/>
      <c r="N235" s="93"/>
      <c r="O235" s="93"/>
      <c r="P235" s="93"/>
      <c r="Q235" s="93"/>
      <c r="R235" s="54">
        <v>7455</v>
      </c>
      <c r="S235" s="94">
        <f t="shared" ref="S235:S242" si="1">R235/$R$244</f>
        <v>0.98728645212554633</v>
      </c>
      <c r="T235" s="53">
        <v>995348</v>
      </c>
      <c r="U235" s="132">
        <f t="shared" ref="U235:U242" si="2">T235/$T$244</f>
        <v>0.97874746425870807</v>
      </c>
      <c r="V235" s="79"/>
      <c r="W235" s="88"/>
      <c r="X235" s="5"/>
    </row>
    <row r="236" spans="1:25" ht="15.6" x14ac:dyDescent="0.3">
      <c r="A236" s="24"/>
      <c r="B236" s="54" t="s">
        <v>91</v>
      </c>
      <c r="C236" s="93"/>
      <c r="D236" s="93"/>
      <c r="E236" s="93"/>
      <c r="F236" s="25"/>
      <c r="G236" s="94"/>
      <c r="H236" s="93"/>
      <c r="I236" s="93"/>
      <c r="J236" s="93"/>
      <c r="K236" s="93"/>
      <c r="L236" s="93"/>
      <c r="M236" s="93"/>
      <c r="N236" s="93"/>
      <c r="O236" s="93"/>
      <c r="P236" s="93"/>
      <c r="Q236" s="93"/>
      <c r="R236" s="54">
        <v>72</v>
      </c>
      <c r="S236" s="94">
        <f t="shared" si="1"/>
        <v>9.5351609058402856E-3</v>
      </c>
      <c r="T236" s="53">
        <v>14855</v>
      </c>
      <c r="U236" s="132">
        <f t="shared" si="2"/>
        <v>1.4607246492245032E-2</v>
      </c>
      <c r="V236" s="79"/>
      <c r="W236" s="88"/>
      <c r="X236" s="5"/>
      <c r="Y236" s="109"/>
    </row>
    <row r="237" spans="1:25" ht="15.6" x14ac:dyDescent="0.3">
      <c r="A237" s="24"/>
      <c r="B237" s="54" t="s">
        <v>92</v>
      </c>
      <c r="C237" s="93"/>
      <c r="D237" s="93"/>
      <c r="E237" s="93"/>
      <c r="F237" s="25"/>
      <c r="G237" s="94"/>
      <c r="H237" s="93"/>
      <c r="I237" s="93"/>
      <c r="J237" s="93"/>
      <c r="K237" s="93"/>
      <c r="L237" s="93"/>
      <c r="M237" s="93"/>
      <c r="N237" s="93"/>
      <c r="O237" s="93"/>
      <c r="P237" s="93"/>
      <c r="Q237" s="93"/>
      <c r="R237" s="54">
        <v>11</v>
      </c>
      <c r="S237" s="94">
        <f t="shared" si="1"/>
        <v>1.4567606939478214E-3</v>
      </c>
      <c r="T237" s="53">
        <v>1776</v>
      </c>
      <c r="U237" s="132">
        <f t="shared" si="2"/>
        <v>1.746379654677023E-3</v>
      </c>
      <c r="V237" s="79"/>
      <c r="W237" s="88"/>
      <c r="X237" s="5"/>
    </row>
    <row r="238" spans="1:25" ht="15.6" x14ac:dyDescent="0.3">
      <c r="A238" s="24"/>
      <c r="B238" s="54" t="s">
        <v>161</v>
      </c>
      <c r="C238" s="93"/>
      <c r="D238" s="93"/>
      <c r="E238" s="93"/>
      <c r="F238" s="25"/>
      <c r="G238" s="94"/>
      <c r="H238" s="93"/>
      <c r="I238" s="93"/>
      <c r="J238" s="93"/>
      <c r="K238" s="93"/>
      <c r="L238" s="93"/>
      <c r="M238" s="93"/>
      <c r="N238" s="93"/>
      <c r="O238" s="93"/>
      <c r="P238" s="93"/>
      <c r="Q238" s="93"/>
      <c r="R238" s="54">
        <v>6</v>
      </c>
      <c r="S238" s="94">
        <f t="shared" si="1"/>
        <v>7.9459674215335717E-4</v>
      </c>
      <c r="T238" s="53">
        <v>2663</v>
      </c>
      <c r="U238" s="132">
        <f t="shared" si="2"/>
        <v>2.6185861601379012E-3</v>
      </c>
      <c r="V238" s="79"/>
      <c r="W238" s="88"/>
      <c r="X238" s="5"/>
      <c r="Y238" s="109"/>
    </row>
    <row r="239" spans="1:25" ht="15.6" x14ac:dyDescent="0.3">
      <c r="A239" s="24"/>
      <c r="B239" s="54" t="s">
        <v>162</v>
      </c>
      <c r="C239" s="93"/>
      <c r="D239" s="93"/>
      <c r="E239" s="93"/>
      <c r="F239" s="25"/>
      <c r="G239" s="94"/>
      <c r="H239" s="93"/>
      <c r="I239" s="93"/>
      <c r="J239" s="93"/>
      <c r="K239" s="93"/>
      <c r="L239" s="93"/>
      <c r="M239" s="93"/>
      <c r="N239" s="93"/>
      <c r="O239" s="93"/>
      <c r="P239" s="93"/>
      <c r="Q239" s="93"/>
      <c r="R239" s="54">
        <v>2</v>
      </c>
      <c r="S239" s="94">
        <f t="shared" si="1"/>
        <v>2.6486558071778574E-4</v>
      </c>
      <c r="T239" s="53">
        <v>529</v>
      </c>
      <c r="U239" s="132">
        <f t="shared" si="2"/>
        <v>5.201772732680998E-4</v>
      </c>
      <c r="V239" s="79"/>
      <c r="W239" s="88"/>
      <c r="X239" s="5"/>
    </row>
    <row r="240" spans="1:25" ht="15.6" x14ac:dyDescent="0.3">
      <c r="A240" s="24"/>
      <c r="B240" s="54" t="s">
        <v>163</v>
      </c>
      <c r="C240" s="93"/>
      <c r="D240" s="93"/>
      <c r="E240" s="93"/>
      <c r="F240" s="25"/>
      <c r="G240" s="94"/>
      <c r="H240" s="93"/>
      <c r="I240" s="93"/>
      <c r="J240" s="93"/>
      <c r="K240" s="93"/>
      <c r="L240" s="93"/>
      <c r="M240" s="93"/>
      <c r="N240" s="93"/>
      <c r="O240" s="93"/>
      <c r="P240" s="93"/>
      <c r="Q240" s="93"/>
      <c r="R240" s="54">
        <v>1</v>
      </c>
      <c r="S240" s="94">
        <f t="shared" si="1"/>
        <v>1.3243279035889287E-4</v>
      </c>
      <c r="T240" s="53">
        <v>115</v>
      </c>
      <c r="U240" s="132">
        <f t="shared" si="2"/>
        <v>1.1308201592784777E-4</v>
      </c>
      <c r="V240" s="79"/>
      <c r="W240" s="88"/>
      <c r="X240" s="5"/>
      <c r="Y240" s="109"/>
    </row>
    <row r="241" spans="1:25" ht="15.6" x14ac:dyDescent="0.3">
      <c r="A241" s="24"/>
      <c r="B241" s="54" t="s">
        <v>164</v>
      </c>
      <c r="C241" s="93"/>
      <c r="D241" s="93"/>
      <c r="E241" s="93"/>
      <c r="F241" s="25"/>
      <c r="G241" s="94"/>
      <c r="H241" s="93"/>
      <c r="I241" s="93"/>
      <c r="J241" s="93"/>
      <c r="K241" s="93"/>
      <c r="L241" s="93"/>
      <c r="M241" s="93"/>
      <c r="N241" s="93"/>
      <c r="O241" s="93"/>
      <c r="P241" s="93"/>
      <c r="Q241" s="93"/>
      <c r="R241" s="54">
        <v>3</v>
      </c>
      <c r="S241" s="94">
        <f t="shared" si="1"/>
        <v>3.9729837107667858E-4</v>
      </c>
      <c r="T241" s="53">
        <v>888</v>
      </c>
      <c r="U241" s="132">
        <f t="shared" si="2"/>
        <v>8.7318982733851152E-4</v>
      </c>
      <c r="V241" s="79"/>
      <c r="W241" s="88"/>
      <c r="X241" s="5"/>
    </row>
    <row r="242" spans="1:25" ht="15.6" x14ac:dyDescent="0.3">
      <c r="A242" s="24"/>
      <c r="B242" s="54" t="s">
        <v>165</v>
      </c>
      <c r="C242" s="93"/>
      <c r="D242" s="93"/>
      <c r="E242" s="93"/>
      <c r="F242" s="25"/>
      <c r="G242" s="94"/>
      <c r="H242" s="93"/>
      <c r="I242" s="93"/>
      <c r="J242" s="93"/>
      <c r="K242" s="93"/>
      <c r="L242" s="93"/>
      <c r="M242" s="93"/>
      <c r="N242" s="93"/>
      <c r="O242" s="93"/>
      <c r="P242" s="93"/>
      <c r="Q242" s="93"/>
      <c r="R242" s="54">
        <v>1</v>
      </c>
      <c r="S242" s="94">
        <f t="shared" si="1"/>
        <v>1.3243279035889287E-4</v>
      </c>
      <c r="T242" s="53">
        <v>787</v>
      </c>
      <c r="U242" s="132">
        <f t="shared" si="2"/>
        <v>7.7387431769753215E-4</v>
      </c>
      <c r="V242" s="79"/>
      <c r="W242" s="88"/>
      <c r="X242" s="5"/>
      <c r="Y242" s="109"/>
    </row>
    <row r="243" spans="1:25" ht="15.6" x14ac:dyDescent="0.3">
      <c r="A243" s="24"/>
      <c r="B243" s="54"/>
      <c r="C243" s="93"/>
      <c r="D243" s="93"/>
      <c r="E243" s="93"/>
      <c r="F243" s="25"/>
      <c r="G243" s="94"/>
      <c r="H243" s="93"/>
      <c r="I243" s="93"/>
      <c r="J243" s="93"/>
      <c r="K243" s="93"/>
      <c r="L243" s="93"/>
      <c r="M243" s="93"/>
      <c r="N243" s="93"/>
      <c r="O243" s="93"/>
      <c r="P243" s="93"/>
      <c r="Q243" s="93"/>
      <c r="R243" s="54"/>
      <c r="S243" s="94"/>
      <c r="T243" s="53"/>
      <c r="U243" s="132"/>
      <c r="V243" s="79"/>
      <c r="W243" s="88"/>
      <c r="X243" s="5"/>
    </row>
    <row r="244" spans="1:25" ht="15.6" x14ac:dyDescent="0.3">
      <c r="A244" s="24"/>
      <c r="B244" s="25" t="s">
        <v>119</v>
      </c>
      <c r="C244" s="25"/>
      <c r="D244" s="25"/>
      <c r="E244" s="25"/>
      <c r="F244" s="25"/>
      <c r="G244" s="25"/>
      <c r="H244" s="95"/>
      <c r="I244" s="95"/>
      <c r="J244" s="95"/>
      <c r="K244" s="95"/>
      <c r="L244" s="95"/>
      <c r="M244" s="95"/>
      <c r="N244" s="95"/>
      <c r="O244" s="95"/>
      <c r="P244" s="95"/>
      <c r="Q244" s="95"/>
      <c r="R244" s="34">
        <f>SUM(R235:R243)</f>
        <v>7551</v>
      </c>
      <c r="S244" s="132">
        <f>SUM(S235:S243)</f>
        <v>1</v>
      </c>
      <c r="T244" s="53">
        <f>SUM(T235:T243)</f>
        <v>1016961</v>
      </c>
      <c r="U244" s="132">
        <f>SUM(U235:U243)</f>
        <v>1</v>
      </c>
      <c r="V244" s="25"/>
      <c r="W244" s="25"/>
      <c r="X244" s="5"/>
    </row>
    <row r="245" spans="1:25" ht="15.6" x14ac:dyDescent="0.3">
      <c r="A245" s="24"/>
      <c r="B245" s="25"/>
      <c r="C245" s="25"/>
      <c r="D245" s="25"/>
      <c r="E245" s="25"/>
      <c r="F245" s="25"/>
      <c r="G245" s="25"/>
      <c r="H245" s="95"/>
      <c r="I245" s="95"/>
      <c r="J245" s="95"/>
      <c r="K245" s="95"/>
      <c r="L245" s="95"/>
      <c r="M245" s="95"/>
      <c r="N245" s="95"/>
      <c r="O245" s="95"/>
      <c r="P245" s="95"/>
      <c r="Q245" s="95"/>
      <c r="R245" s="34"/>
      <c r="S245" s="132"/>
      <c r="T245" s="53"/>
      <c r="U245" s="132"/>
      <c r="V245" s="25"/>
      <c r="W245" s="25"/>
      <c r="X245" s="5"/>
    </row>
    <row r="246" spans="1:25" ht="15.6" x14ac:dyDescent="0.3">
      <c r="A246" s="141"/>
      <c r="B246" s="14" t="s">
        <v>283</v>
      </c>
      <c r="C246" s="81"/>
      <c r="D246" s="81"/>
      <c r="E246" s="81"/>
      <c r="F246" s="82"/>
      <c r="G246" s="81"/>
      <c r="H246" s="17"/>
      <c r="I246" s="17"/>
      <c r="J246" s="17"/>
      <c r="K246" s="17"/>
      <c r="L246" s="17"/>
      <c r="M246" s="17"/>
      <c r="N246" s="17"/>
      <c r="O246" s="17"/>
      <c r="P246" s="17"/>
      <c r="Q246" s="17"/>
      <c r="R246" s="83" t="s">
        <v>104</v>
      </c>
      <c r="S246" s="17" t="s">
        <v>105</v>
      </c>
      <c r="T246" s="83" t="s">
        <v>113</v>
      </c>
      <c r="U246" s="17" t="s">
        <v>105</v>
      </c>
      <c r="V246" s="139"/>
      <c r="W246" s="140"/>
      <c r="X246" s="5"/>
    </row>
    <row r="247" spans="1:25" ht="15.6" x14ac:dyDescent="0.3">
      <c r="A247" s="24"/>
      <c r="B247" s="54" t="s">
        <v>90</v>
      </c>
      <c r="C247" s="93"/>
      <c r="D247" s="93"/>
      <c r="E247" s="93"/>
      <c r="F247" s="25"/>
      <c r="G247" s="93"/>
      <c r="H247" s="93"/>
      <c r="I247" s="93"/>
      <c r="J247" s="93"/>
      <c r="K247" s="93"/>
      <c r="L247" s="93"/>
      <c r="M247" s="93"/>
      <c r="N247" s="93"/>
      <c r="O247" s="93"/>
      <c r="P247" s="93"/>
      <c r="Q247" s="93"/>
      <c r="R247" s="54">
        <v>100</v>
      </c>
      <c r="S247" s="94">
        <f t="shared" ref="S247:S254" si="3">R247/$R$256</f>
        <v>0.52910052910052907</v>
      </c>
      <c r="T247" s="53">
        <v>16930</v>
      </c>
      <c r="U247" s="132">
        <f t="shared" ref="U247:U254" si="4">T247/$T$256</f>
        <v>0.54814479051997667</v>
      </c>
      <c r="V247" s="25"/>
      <c r="W247" s="25"/>
      <c r="X247" s="5"/>
    </row>
    <row r="248" spans="1:25" ht="15.6" x14ac:dyDescent="0.3">
      <c r="A248" s="24"/>
      <c r="B248" s="54" t="s">
        <v>91</v>
      </c>
      <c r="C248" s="93"/>
      <c r="D248" s="93"/>
      <c r="E248" s="93"/>
      <c r="F248" s="25"/>
      <c r="G248" s="94"/>
      <c r="H248" s="93"/>
      <c r="I248" s="93"/>
      <c r="J248" s="93"/>
      <c r="K248" s="93"/>
      <c r="L248" s="93"/>
      <c r="M248" s="93"/>
      <c r="N248" s="93"/>
      <c r="O248" s="93"/>
      <c r="P248" s="93"/>
      <c r="Q248" s="93"/>
      <c r="R248" s="54">
        <v>10</v>
      </c>
      <c r="S248" s="94">
        <f t="shared" si="3"/>
        <v>5.2910052910052907E-2</v>
      </c>
      <c r="T248" s="53">
        <v>2276</v>
      </c>
      <c r="U248" s="132">
        <f t="shared" si="4"/>
        <v>7.3690345140192973E-2</v>
      </c>
      <c r="V248" s="25"/>
      <c r="W248" s="25"/>
      <c r="X248" s="5"/>
    </row>
    <row r="249" spans="1:25" ht="15.6" x14ac:dyDescent="0.3">
      <c r="A249" s="24"/>
      <c r="B249" s="54" t="s">
        <v>92</v>
      </c>
      <c r="C249" s="93"/>
      <c r="D249" s="93"/>
      <c r="E249" s="93"/>
      <c r="F249" s="25"/>
      <c r="G249" s="94"/>
      <c r="H249" s="93"/>
      <c r="I249" s="93"/>
      <c r="J249" s="93"/>
      <c r="K249" s="93"/>
      <c r="L249" s="93"/>
      <c r="M249" s="93"/>
      <c r="N249" s="93"/>
      <c r="O249" s="93"/>
      <c r="P249" s="93"/>
      <c r="Q249" s="93"/>
      <c r="R249" s="54">
        <v>9</v>
      </c>
      <c r="S249" s="94">
        <f t="shared" si="3"/>
        <v>4.7619047619047616E-2</v>
      </c>
      <c r="T249" s="53">
        <v>1142</v>
      </c>
      <c r="U249" s="132">
        <f t="shared" si="4"/>
        <v>3.6974681085281361E-2</v>
      </c>
      <c r="V249" s="25"/>
      <c r="W249" s="25"/>
      <c r="X249" s="5"/>
    </row>
    <row r="250" spans="1:25" ht="15.6" x14ac:dyDescent="0.3">
      <c r="A250" s="24"/>
      <c r="B250" s="54" t="s">
        <v>161</v>
      </c>
      <c r="C250" s="93"/>
      <c r="D250" s="93"/>
      <c r="E250" s="93"/>
      <c r="F250" s="25"/>
      <c r="G250" s="94"/>
      <c r="H250" s="93"/>
      <c r="I250" s="93"/>
      <c r="J250" s="93"/>
      <c r="K250" s="93"/>
      <c r="L250" s="93"/>
      <c r="M250" s="93"/>
      <c r="N250" s="93"/>
      <c r="O250" s="93"/>
      <c r="P250" s="93"/>
      <c r="Q250" s="93"/>
      <c r="R250" s="54">
        <v>5</v>
      </c>
      <c r="S250" s="94">
        <f t="shared" si="3"/>
        <v>2.6455026455026454E-2</v>
      </c>
      <c r="T250" s="53">
        <v>734</v>
      </c>
      <c r="U250" s="132">
        <f t="shared" si="4"/>
        <v>2.3764812536424269E-2</v>
      </c>
      <c r="V250" s="25"/>
      <c r="W250" s="25"/>
      <c r="X250" s="5"/>
    </row>
    <row r="251" spans="1:25" ht="15.6" x14ac:dyDescent="0.3">
      <c r="A251" s="24"/>
      <c r="B251" s="54" t="s">
        <v>162</v>
      </c>
      <c r="C251" s="93"/>
      <c r="D251" s="93"/>
      <c r="E251" s="93"/>
      <c r="F251" s="25"/>
      <c r="G251" s="94"/>
      <c r="H251" s="93"/>
      <c r="I251" s="93"/>
      <c r="J251" s="93"/>
      <c r="K251" s="93"/>
      <c r="L251" s="93"/>
      <c r="M251" s="93"/>
      <c r="N251" s="93"/>
      <c r="O251" s="93"/>
      <c r="P251" s="93"/>
      <c r="Q251" s="93"/>
      <c r="R251" s="54">
        <v>5</v>
      </c>
      <c r="S251" s="94">
        <f t="shared" si="3"/>
        <v>2.6455026455026454E-2</v>
      </c>
      <c r="T251" s="53">
        <v>1001</v>
      </c>
      <c r="U251" s="132">
        <f t="shared" si="4"/>
        <v>3.240950592501457E-2</v>
      </c>
      <c r="V251" s="25"/>
      <c r="W251" s="25"/>
      <c r="X251" s="5"/>
    </row>
    <row r="252" spans="1:25" ht="15.6" x14ac:dyDescent="0.3">
      <c r="A252" s="24"/>
      <c r="B252" s="54" t="s">
        <v>163</v>
      </c>
      <c r="C252" s="93"/>
      <c r="D252" s="93"/>
      <c r="E252" s="93"/>
      <c r="F252" s="25"/>
      <c r="G252" s="94"/>
      <c r="H252" s="93"/>
      <c r="I252" s="93"/>
      <c r="J252" s="93"/>
      <c r="K252" s="93"/>
      <c r="L252" s="93"/>
      <c r="M252" s="93"/>
      <c r="N252" s="93"/>
      <c r="O252" s="93"/>
      <c r="P252" s="93"/>
      <c r="Q252" s="93"/>
      <c r="R252" s="54">
        <v>1</v>
      </c>
      <c r="S252" s="94">
        <f t="shared" si="3"/>
        <v>5.2910052910052907E-3</v>
      </c>
      <c r="T252" s="53">
        <v>76</v>
      </c>
      <c r="U252" s="132">
        <f t="shared" si="4"/>
        <v>2.4606617885125949E-3</v>
      </c>
      <c r="V252" s="25"/>
      <c r="W252" s="25"/>
      <c r="X252" s="5"/>
    </row>
    <row r="253" spans="1:25" ht="15.6" x14ac:dyDescent="0.3">
      <c r="A253" s="24"/>
      <c r="B253" s="54" t="s">
        <v>164</v>
      </c>
      <c r="C253" s="93"/>
      <c r="D253" s="93"/>
      <c r="E253" s="93"/>
      <c r="F253" s="25"/>
      <c r="G253" s="94"/>
      <c r="H253" s="93"/>
      <c r="I253" s="93"/>
      <c r="J253" s="93"/>
      <c r="K253" s="93"/>
      <c r="L253" s="93"/>
      <c r="M253" s="93"/>
      <c r="N253" s="93"/>
      <c r="O253" s="93"/>
      <c r="P253" s="93"/>
      <c r="Q253" s="93"/>
      <c r="R253" s="54">
        <v>16</v>
      </c>
      <c r="S253" s="94">
        <f t="shared" si="3"/>
        <v>8.4656084656084651E-2</v>
      </c>
      <c r="T253" s="53">
        <v>2315</v>
      </c>
      <c r="U253" s="132">
        <f t="shared" si="4"/>
        <v>7.4953053163245478E-2</v>
      </c>
      <c r="V253" s="25"/>
      <c r="W253" s="25"/>
      <c r="X253" s="5"/>
    </row>
    <row r="254" spans="1:25" ht="15.6" x14ac:dyDescent="0.3">
      <c r="A254" s="24"/>
      <c r="B254" s="54" t="s">
        <v>165</v>
      </c>
      <c r="C254" s="93"/>
      <c r="D254" s="93"/>
      <c r="E254" s="93"/>
      <c r="F254" s="25"/>
      <c r="G254" s="94"/>
      <c r="H254" s="93"/>
      <c r="I254" s="93"/>
      <c r="J254" s="93"/>
      <c r="K254" s="93"/>
      <c r="L254" s="93"/>
      <c r="M254" s="93"/>
      <c r="N254" s="93"/>
      <c r="O254" s="93"/>
      <c r="P254" s="93"/>
      <c r="Q254" s="93"/>
      <c r="R254" s="54">
        <v>43</v>
      </c>
      <c r="S254" s="94">
        <f t="shared" si="3"/>
        <v>0.2275132275132275</v>
      </c>
      <c r="T254" s="53">
        <v>6412</v>
      </c>
      <c r="U254" s="132">
        <f t="shared" si="4"/>
        <v>0.20760214984135206</v>
      </c>
      <c r="V254" s="25"/>
      <c r="W254" s="25"/>
      <c r="X254" s="5"/>
    </row>
    <row r="255" spans="1:25" ht="15.6" x14ac:dyDescent="0.3">
      <c r="A255" s="24"/>
      <c r="B255" s="54"/>
      <c r="C255" s="93"/>
      <c r="D255" s="93"/>
      <c r="E255" s="93"/>
      <c r="F255" s="25"/>
      <c r="G255" s="94"/>
      <c r="H255" s="93"/>
      <c r="I255" s="93"/>
      <c r="J255" s="93"/>
      <c r="K255" s="93"/>
      <c r="L255" s="93"/>
      <c r="M255" s="93"/>
      <c r="N255" s="93"/>
      <c r="O255" s="93"/>
      <c r="P255" s="93"/>
      <c r="Q255" s="93"/>
      <c r="R255" s="54"/>
      <c r="S255" s="94"/>
      <c r="T255" s="53"/>
      <c r="U255" s="132"/>
      <c r="V255" s="25"/>
      <c r="W255" s="25"/>
      <c r="X255" s="5"/>
    </row>
    <row r="256" spans="1:25" ht="15.6" x14ac:dyDescent="0.3">
      <c r="A256" s="24"/>
      <c r="B256" s="25" t="s">
        <v>119</v>
      </c>
      <c r="C256" s="25"/>
      <c r="D256" s="25"/>
      <c r="E256" s="25"/>
      <c r="F256" s="25"/>
      <c r="G256" s="25"/>
      <c r="H256" s="95"/>
      <c r="I256" s="95"/>
      <c r="J256" s="95"/>
      <c r="K256" s="95"/>
      <c r="L256" s="95"/>
      <c r="M256" s="95"/>
      <c r="N256" s="95"/>
      <c r="O256" s="95"/>
      <c r="P256" s="95"/>
      <c r="Q256" s="95"/>
      <c r="R256" s="34">
        <f>SUM(R247:R255)</f>
        <v>189</v>
      </c>
      <c r="S256" s="132">
        <f>SUM(S247:S255)</f>
        <v>1</v>
      </c>
      <c r="T256" s="53">
        <f>SUM(T247:T255)</f>
        <v>30886</v>
      </c>
      <c r="U256" s="132">
        <f>SUM(U247:U255)</f>
        <v>1</v>
      </c>
      <c r="V256" s="25"/>
      <c r="W256" s="25"/>
      <c r="X256" s="5"/>
    </row>
    <row r="257" spans="1:24" ht="15.6" x14ac:dyDescent="0.3">
      <c r="A257" s="24"/>
      <c r="B257" s="25"/>
      <c r="C257" s="25"/>
      <c r="D257" s="25"/>
      <c r="E257" s="25"/>
      <c r="F257" s="25"/>
      <c r="G257" s="25"/>
      <c r="H257" s="95"/>
      <c r="I257" s="95"/>
      <c r="J257" s="95"/>
      <c r="K257" s="95"/>
      <c r="L257" s="95"/>
      <c r="M257" s="95"/>
      <c r="N257" s="95"/>
      <c r="O257" s="95"/>
      <c r="P257" s="95"/>
      <c r="Q257" s="95"/>
      <c r="R257" s="34"/>
      <c r="S257" s="132"/>
      <c r="T257" s="53"/>
      <c r="U257" s="132"/>
      <c r="V257" s="25"/>
      <c r="W257" s="25"/>
      <c r="X257" s="5"/>
    </row>
    <row r="258" spans="1:24" ht="15.6" x14ac:dyDescent="0.3">
      <c r="A258" s="141"/>
      <c r="B258" s="14" t="s">
        <v>169</v>
      </c>
      <c r="C258" s="139"/>
      <c r="D258" s="139"/>
      <c r="E258" s="139"/>
      <c r="F258" s="139"/>
      <c r="G258" s="139"/>
      <c r="H258" s="145"/>
      <c r="I258" s="145"/>
      <c r="J258" s="145"/>
      <c r="K258" s="145"/>
      <c r="L258" s="145"/>
      <c r="M258" s="145"/>
      <c r="N258" s="145"/>
      <c r="O258" s="145"/>
      <c r="P258" s="145"/>
      <c r="Q258" s="145"/>
      <c r="R258" s="83" t="s">
        <v>104</v>
      </c>
      <c r="S258" s="17" t="s">
        <v>105</v>
      </c>
      <c r="T258" s="83" t="s">
        <v>113</v>
      </c>
      <c r="U258" s="17" t="s">
        <v>105</v>
      </c>
      <c r="V258" s="139"/>
      <c r="W258" s="140"/>
      <c r="X258" s="5"/>
    </row>
    <row r="259" spans="1:24" ht="15.6" x14ac:dyDescent="0.3">
      <c r="A259" s="24"/>
      <c r="B259" s="54" t="s">
        <v>90</v>
      </c>
      <c r="C259" s="25"/>
      <c r="D259" s="25"/>
      <c r="E259" s="25"/>
      <c r="F259" s="25"/>
      <c r="G259" s="25"/>
      <c r="H259" s="95"/>
      <c r="I259" s="95"/>
      <c r="J259" s="95"/>
      <c r="K259" s="95"/>
      <c r="L259" s="95"/>
      <c r="M259" s="95"/>
      <c r="N259" s="95"/>
      <c r="O259" s="95"/>
      <c r="P259" s="95"/>
      <c r="Q259" s="95"/>
      <c r="R259" s="54">
        <v>0</v>
      </c>
      <c r="S259" s="94">
        <v>0</v>
      </c>
      <c r="T259" s="53">
        <v>0</v>
      </c>
      <c r="U259" s="94">
        <v>0</v>
      </c>
      <c r="V259" s="25"/>
      <c r="W259" s="25"/>
      <c r="X259" s="5"/>
    </row>
    <row r="260" spans="1:24" ht="15.6" x14ac:dyDescent="0.3">
      <c r="A260" s="24"/>
      <c r="B260" s="54" t="s">
        <v>91</v>
      </c>
      <c r="C260" s="25"/>
      <c r="D260" s="25"/>
      <c r="E260" s="25"/>
      <c r="F260" s="25"/>
      <c r="G260" s="25"/>
      <c r="H260" s="95"/>
      <c r="I260" s="95"/>
      <c r="J260" s="95"/>
      <c r="K260" s="95"/>
      <c r="L260" s="95"/>
      <c r="M260" s="95"/>
      <c r="N260" s="95"/>
      <c r="O260" s="95"/>
      <c r="P260" s="95"/>
      <c r="Q260" s="95"/>
      <c r="R260" s="54">
        <v>0</v>
      </c>
      <c r="S260" s="94">
        <v>0</v>
      </c>
      <c r="T260" s="53">
        <v>0</v>
      </c>
      <c r="U260" s="94">
        <v>0</v>
      </c>
      <c r="V260" s="25"/>
      <c r="W260" s="25"/>
      <c r="X260" s="5"/>
    </row>
    <row r="261" spans="1:24" ht="15.6" x14ac:dyDescent="0.3">
      <c r="A261" s="24"/>
      <c r="B261" s="54" t="s">
        <v>92</v>
      </c>
      <c r="C261" s="25"/>
      <c r="D261" s="25"/>
      <c r="E261" s="25"/>
      <c r="F261" s="25"/>
      <c r="G261" s="25"/>
      <c r="H261" s="95"/>
      <c r="I261" s="95"/>
      <c r="J261" s="95"/>
      <c r="K261" s="95"/>
      <c r="L261" s="95"/>
      <c r="M261" s="95"/>
      <c r="N261" s="95"/>
      <c r="O261" s="95"/>
      <c r="P261" s="95"/>
      <c r="Q261" s="95"/>
      <c r="R261" s="54">
        <v>0</v>
      </c>
      <c r="S261" s="94">
        <v>0</v>
      </c>
      <c r="T261" s="53">
        <v>0</v>
      </c>
      <c r="U261" s="94">
        <v>0</v>
      </c>
      <c r="V261" s="25"/>
      <c r="W261" s="25"/>
      <c r="X261" s="5"/>
    </row>
    <row r="262" spans="1:24" ht="15.6" x14ac:dyDescent="0.3">
      <c r="A262" s="24"/>
      <c r="B262" s="54" t="s">
        <v>161</v>
      </c>
      <c r="C262" s="25"/>
      <c r="D262" s="25"/>
      <c r="E262" s="25"/>
      <c r="F262" s="25"/>
      <c r="G262" s="25"/>
      <c r="H262" s="95"/>
      <c r="I262" s="95"/>
      <c r="J262" s="95"/>
      <c r="K262" s="95"/>
      <c r="L262" s="95"/>
      <c r="M262" s="95"/>
      <c r="N262" s="95"/>
      <c r="O262" s="95"/>
      <c r="P262" s="95"/>
      <c r="Q262" s="95"/>
      <c r="R262" s="54">
        <v>0</v>
      </c>
      <c r="S262" s="94">
        <v>0</v>
      </c>
      <c r="T262" s="53">
        <v>0</v>
      </c>
      <c r="U262" s="94">
        <v>0</v>
      </c>
      <c r="V262" s="25"/>
      <c r="W262" s="25"/>
      <c r="X262" s="5"/>
    </row>
    <row r="263" spans="1:24" ht="15.6" x14ac:dyDescent="0.3">
      <c r="A263" s="24"/>
      <c r="B263" s="54" t="s">
        <v>162</v>
      </c>
      <c r="C263" s="25"/>
      <c r="D263" s="25"/>
      <c r="E263" s="25"/>
      <c r="F263" s="25"/>
      <c r="G263" s="25"/>
      <c r="H263" s="95"/>
      <c r="I263" s="95"/>
      <c r="J263" s="95"/>
      <c r="K263" s="95"/>
      <c r="L263" s="95"/>
      <c r="M263" s="95"/>
      <c r="N263" s="95"/>
      <c r="O263" s="95"/>
      <c r="P263" s="95"/>
      <c r="Q263" s="95"/>
      <c r="R263" s="54">
        <v>0</v>
      </c>
      <c r="S263" s="94">
        <v>0</v>
      </c>
      <c r="T263" s="53">
        <v>0</v>
      </c>
      <c r="U263" s="94">
        <v>0</v>
      </c>
      <c r="V263" s="25"/>
      <c r="W263" s="25"/>
      <c r="X263" s="5"/>
    </row>
    <row r="264" spans="1:24" ht="15.6" x14ac:dyDescent="0.3">
      <c r="A264" s="24"/>
      <c r="B264" s="54" t="s">
        <v>163</v>
      </c>
      <c r="C264" s="25"/>
      <c r="D264" s="25"/>
      <c r="E264" s="25"/>
      <c r="F264" s="25"/>
      <c r="G264" s="25"/>
      <c r="H264" s="95"/>
      <c r="I264" s="95"/>
      <c r="J264" s="95"/>
      <c r="K264" s="95"/>
      <c r="L264" s="95"/>
      <c r="M264" s="95"/>
      <c r="N264" s="95"/>
      <c r="O264" s="95"/>
      <c r="P264" s="95"/>
      <c r="Q264" s="95"/>
      <c r="R264" s="54">
        <v>0</v>
      </c>
      <c r="S264" s="94">
        <v>0</v>
      </c>
      <c r="T264" s="53">
        <v>0</v>
      </c>
      <c r="U264" s="94">
        <v>0</v>
      </c>
      <c r="V264" s="25"/>
      <c r="W264" s="25"/>
      <c r="X264" s="5"/>
    </row>
    <row r="265" spans="1:24" ht="15.6" x14ac:dyDescent="0.3">
      <c r="A265" s="24"/>
      <c r="B265" s="54" t="s">
        <v>164</v>
      </c>
      <c r="C265" s="25"/>
      <c r="D265" s="25"/>
      <c r="E265" s="25"/>
      <c r="F265" s="25"/>
      <c r="G265" s="25"/>
      <c r="H265" s="95"/>
      <c r="I265" s="95"/>
      <c r="J265" s="95"/>
      <c r="K265" s="95"/>
      <c r="L265" s="95"/>
      <c r="M265" s="95"/>
      <c r="N265" s="95"/>
      <c r="O265" s="95"/>
      <c r="P265" s="95"/>
      <c r="Q265" s="95"/>
      <c r="R265" s="54">
        <v>0</v>
      </c>
      <c r="S265" s="94">
        <v>0</v>
      </c>
      <c r="T265" s="53">
        <v>0</v>
      </c>
      <c r="U265" s="94">
        <v>0</v>
      </c>
      <c r="V265" s="25"/>
      <c r="W265" s="25"/>
      <c r="X265" s="5"/>
    </row>
    <row r="266" spans="1:24" ht="15.6" x14ac:dyDescent="0.3">
      <c r="A266" s="24"/>
      <c r="B266" s="54" t="s">
        <v>165</v>
      </c>
      <c r="C266" s="25"/>
      <c r="D266" s="25"/>
      <c r="E266" s="25"/>
      <c r="F266" s="25"/>
      <c r="G266" s="25"/>
      <c r="H266" s="95"/>
      <c r="I266" s="95"/>
      <c r="J266" s="95"/>
      <c r="K266" s="95"/>
      <c r="L266" s="95"/>
      <c r="M266" s="95"/>
      <c r="N266" s="95"/>
      <c r="O266" s="95"/>
      <c r="P266" s="95"/>
      <c r="Q266" s="95"/>
      <c r="R266" s="54">
        <v>0</v>
      </c>
      <c r="S266" s="94">
        <v>0</v>
      </c>
      <c r="T266" s="53">
        <v>0</v>
      </c>
      <c r="U266" s="94">
        <v>0</v>
      </c>
      <c r="V266" s="25"/>
      <c r="W266" s="25"/>
      <c r="X266" s="5"/>
    </row>
    <row r="267" spans="1:24" ht="15.6" x14ac:dyDescent="0.3">
      <c r="A267" s="24"/>
      <c r="B267" s="54"/>
      <c r="C267" s="25"/>
      <c r="D267" s="25"/>
      <c r="E267" s="25"/>
      <c r="F267" s="25"/>
      <c r="G267" s="25"/>
      <c r="H267" s="95"/>
      <c r="I267" s="95"/>
      <c r="J267" s="95"/>
      <c r="K267" s="95"/>
      <c r="L267" s="95"/>
      <c r="M267" s="95"/>
      <c r="N267" s="95"/>
      <c r="O267" s="95"/>
      <c r="P267" s="95"/>
      <c r="Q267" s="95"/>
      <c r="R267" s="54"/>
      <c r="S267" s="94"/>
      <c r="T267" s="53"/>
      <c r="U267" s="132"/>
      <c r="V267" s="25"/>
      <c r="W267" s="25"/>
      <c r="X267" s="5"/>
    </row>
    <row r="268" spans="1:24" ht="15.6" x14ac:dyDescent="0.3">
      <c r="A268" s="24"/>
      <c r="B268" s="25" t="s">
        <v>119</v>
      </c>
      <c r="C268" s="25"/>
      <c r="D268" s="25"/>
      <c r="E268" s="25"/>
      <c r="F268" s="25"/>
      <c r="G268" s="25"/>
      <c r="H268" s="95"/>
      <c r="I268" s="95"/>
      <c r="J268" s="95"/>
      <c r="K268" s="95"/>
      <c r="L268" s="95"/>
      <c r="M268" s="95"/>
      <c r="N268" s="95"/>
      <c r="O268" s="95"/>
      <c r="P268" s="95"/>
      <c r="Q268" s="95"/>
      <c r="R268" s="34">
        <f>SUM(R259:R266)</f>
        <v>0</v>
      </c>
      <c r="S268" s="132">
        <f>SUM(S259:S267)</f>
        <v>0</v>
      </c>
      <c r="T268" s="53">
        <f>SUM(T259:T266)</f>
        <v>0</v>
      </c>
      <c r="U268" s="132">
        <f>SUM(U259:U267)</f>
        <v>0</v>
      </c>
      <c r="V268" s="25"/>
      <c r="W268" s="25"/>
      <c r="X268" s="5"/>
    </row>
    <row r="269" spans="1:24" ht="15.6" x14ac:dyDescent="0.3">
      <c r="A269" s="24"/>
      <c r="B269" s="25"/>
      <c r="C269" s="25"/>
      <c r="D269" s="25"/>
      <c r="E269" s="25"/>
      <c r="F269" s="25"/>
      <c r="G269" s="25"/>
      <c r="H269" s="95"/>
      <c r="I269" s="95"/>
      <c r="J269" s="95"/>
      <c r="K269" s="95"/>
      <c r="L269" s="95"/>
      <c r="M269" s="95"/>
      <c r="N269" s="95"/>
      <c r="O269" s="95"/>
      <c r="P269" s="95"/>
      <c r="Q269" s="95"/>
      <c r="R269" s="34"/>
      <c r="S269" s="132"/>
      <c r="T269" s="53"/>
      <c r="U269" s="132"/>
      <c r="V269" s="25"/>
      <c r="W269" s="25"/>
      <c r="X269" s="5"/>
    </row>
    <row r="270" spans="1:24" ht="15.6" x14ac:dyDescent="0.3">
      <c r="A270" s="24"/>
      <c r="B270" s="142" t="s">
        <v>170</v>
      </c>
      <c r="C270" s="25"/>
      <c r="D270" s="25"/>
      <c r="E270" s="25"/>
      <c r="F270" s="25"/>
      <c r="G270" s="25"/>
      <c r="H270" s="95"/>
      <c r="I270" s="95"/>
      <c r="J270" s="95"/>
      <c r="K270" s="95"/>
      <c r="L270" s="95"/>
      <c r="M270" s="95"/>
      <c r="N270" s="95"/>
      <c r="O270" s="95"/>
      <c r="P270" s="95"/>
      <c r="Q270" s="95"/>
      <c r="R270" s="161">
        <f>R268+R256+R244</f>
        <v>7740</v>
      </c>
      <c r="S270" s="143"/>
      <c r="T270" s="144">
        <f>+T268+T256+T244</f>
        <v>1047847</v>
      </c>
      <c r="U270" s="143"/>
      <c r="V270" s="25"/>
      <c r="W270" s="25"/>
      <c r="X270" s="5"/>
    </row>
    <row r="271" spans="1:24" ht="15.6" x14ac:dyDescent="0.3">
      <c r="A271" s="24"/>
      <c r="B271" s="25"/>
      <c r="C271" s="25"/>
      <c r="D271" s="25"/>
      <c r="E271" s="25"/>
      <c r="F271" s="25"/>
      <c r="G271" s="25"/>
      <c r="H271" s="95"/>
      <c r="I271" s="95"/>
      <c r="J271" s="95"/>
      <c r="K271" s="95"/>
      <c r="L271" s="95"/>
      <c r="M271" s="95"/>
      <c r="N271" s="95"/>
      <c r="O271" s="95"/>
      <c r="P271" s="95"/>
      <c r="Q271" s="95"/>
      <c r="R271" s="95"/>
      <c r="S271" s="95"/>
      <c r="T271" s="53"/>
      <c r="U271" s="95"/>
      <c r="V271" s="25"/>
      <c r="W271" s="25"/>
      <c r="X271" s="5"/>
    </row>
    <row r="272" spans="1:24" ht="15.6" x14ac:dyDescent="0.3">
      <c r="A272" s="6"/>
      <c r="B272" s="8"/>
      <c r="C272" s="8"/>
      <c r="D272" s="8"/>
      <c r="E272" s="8"/>
      <c r="F272" s="8"/>
      <c r="G272" s="8"/>
      <c r="H272" s="96"/>
      <c r="I272" s="96"/>
      <c r="J272" s="96"/>
      <c r="K272" s="96"/>
      <c r="L272" s="96"/>
      <c r="M272" s="96"/>
      <c r="N272" s="96"/>
      <c r="O272" s="96"/>
      <c r="P272" s="96"/>
      <c r="Q272" s="96"/>
      <c r="R272" s="96"/>
      <c r="S272" s="96"/>
      <c r="T272" s="97"/>
      <c r="U272" s="96"/>
      <c r="V272" s="8"/>
      <c r="W272" s="8"/>
      <c r="X272" s="5"/>
    </row>
    <row r="273" spans="1:24" ht="15.6" x14ac:dyDescent="0.3">
      <c r="A273" s="167"/>
      <c r="B273" s="14" t="s">
        <v>93</v>
      </c>
      <c r="C273" s="15"/>
      <c r="D273" s="15"/>
      <c r="E273" s="15"/>
      <c r="F273" s="17" t="s">
        <v>99</v>
      </c>
      <c r="G273" s="15"/>
      <c r="H273" s="14" t="s">
        <v>101</v>
      </c>
      <c r="I273" s="162"/>
      <c r="J273" s="162"/>
      <c r="K273" s="162"/>
      <c r="L273" s="162"/>
      <c r="M273" s="162"/>
      <c r="N273" s="162"/>
      <c r="O273" s="162"/>
      <c r="P273" s="162"/>
      <c r="Q273" s="162"/>
      <c r="R273" s="162"/>
      <c r="S273" s="162"/>
      <c r="T273" s="162"/>
      <c r="U273" s="162"/>
      <c r="V273" s="162"/>
      <c r="W273" s="162"/>
      <c r="X273" s="5"/>
    </row>
    <row r="274" spans="1:24" ht="15.6" x14ac:dyDescent="0.3">
      <c r="A274" s="167"/>
      <c r="B274" s="162"/>
      <c r="C274" s="8"/>
      <c r="D274" s="8"/>
      <c r="E274" s="8"/>
      <c r="F274" s="8"/>
      <c r="G274" s="8"/>
      <c r="H274" s="8"/>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94</v>
      </c>
      <c r="C275" s="13"/>
      <c r="D275" s="13"/>
      <c r="E275" s="13"/>
      <c r="F275" s="130" t="s">
        <v>153</v>
      </c>
      <c r="G275" s="13"/>
      <c r="H275" s="13" t="s">
        <v>157</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t="s">
        <v>277</v>
      </c>
      <c r="C276" s="13"/>
      <c r="D276" s="13"/>
      <c r="E276" s="13"/>
      <c r="F276" s="130" t="s">
        <v>278</v>
      </c>
      <c r="G276" s="13"/>
      <c r="H276" s="13" t="s">
        <v>279</v>
      </c>
      <c r="I276" s="162"/>
      <c r="J276" s="162"/>
      <c r="K276" s="162"/>
      <c r="L276" s="162"/>
      <c r="M276" s="162"/>
      <c r="N276" s="162"/>
      <c r="O276" s="162"/>
      <c r="P276" s="162"/>
      <c r="Q276" s="162"/>
      <c r="R276" s="162"/>
      <c r="S276" s="162"/>
      <c r="T276" s="162"/>
      <c r="U276" s="162"/>
      <c r="V276" s="162"/>
      <c r="W276" s="162"/>
      <c r="X276" s="5"/>
    </row>
    <row r="277" spans="1:24" ht="15.6" x14ac:dyDescent="0.3">
      <c r="A277" s="167"/>
      <c r="B277" s="13" t="s">
        <v>95</v>
      </c>
      <c r="C277" s="13"/>
      <c r="D277" s="13"/>
      <c r="E277" s="13"/>
      <c r="F277" s="130" t="s">
        <v>152</v>
      </c>
      <c r="G277" s="13"/>
      <c r="H277" s="13" t="s">
        <v>158</v>
      </c>
      <c r="I277" s="162"/>
      <c r="J277" s="162"/>
      <c r="K277" s="162"/>
      <c r="L277" s="162"/>
      <c r="M277" s="162"/>
      <c r="N277" s="162"/>
      <c r="O277" s="162"/>
      <c r="P277" s="162"/>
      <c r="Q277" s="162"/>
      <c r="R277" s="162"/>
      <c r="S277" s="162"/>
      <c r="T277" s="162"/>
      <c r="U277" s="162"/>
      <c r="V277" s="162"/>
      <c r="W277" s="162"/>
      <c r="X277" s="5"/>
    </row>
    <row r="278" spans="1:24" ht="15.6" x14ac:dyDescent="0.3">
      <c r="A278" s="167"/>
      <c r="B278" s="13"/>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ht="18" thickBot="1" x14ac:dyDescent="0.35">
      <c r="A279" s="167"/>
      <c r="B279" s="49" t="str">
        <f>B196</f>
        <v>PM12 INVESTOR REPORT QUARTER ENDING JANUARY 2010</v>
      </c>
      <c r="C279" s="13"/>
      <c r="D279" s="13"/>
      <c r="E279" s="13"/>
      <c r="F279" s="13"/>
      <c r="G279" s="99"/>
      <c r="H279" s="162"/>
      <c r="I279" s="162"/>
      <c r="J279" s="162"/>
      <c r="K279" s="162"/>
      <c r="L279" s="162"/>
      <c r="M279" s="162"/>
      <c r="N279" s="162"/>
      <c r="O279" s="162"/>
      <c r="P279" s="162"/>
      <c r="Q279" s="162"/>
      <c r="R279" s="162"/>
      <c r="S279" s="162"/>
      <c r="T279" s="162"/>
      <c r="U279" s="162"/>
      <c r="V279" s="162"/>
      <c r="W279" s="162"/>
      <c r="X279" s="5"/>
    </row>
    <row r="280" spans="1:24" x14ac:dyDescent="0.25">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row>
  </sheetData>
  <phoneticPr fontId="0" type="noConversion"/>
  <hyperlinks>
    <hyperlink ref="P232" r:id="rId1" xr:uid="{00000000-0004-0000-0D00-000000000000}"/>
    <hyperlink ref="I9" r:id="rId2" xr:uid="{00000000-0004-0000-0D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6" max="14" man="1"/>
    <brk id="196" max="14" man="1"/>
  </rowBreak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89CB31"/>
  </sheetPr>
  <dimension ref="A1:Y280"/>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0.64510000000000001</v>
      </c>
      <c r="T16" s="17" t="s">
        <v>145</v>
      </c>
      <c r="U16" s="137">
        <v>0.35489999999999999</v>
      </c>
      <c r="V16" s="16"/>
      <c r="W16" s="15"/>
      <c r="X16" s="5"/>
    </row>
    <row r="17" spans="1:25"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5" ht="15.6" x14ac:dyDescent="0.3">
      <c r="A18" s="6"/>
      <c r="B18" s="14" t="s">
        <v>5</v>
      </c>
      <c r="C18" s="15"/>
      <c r="D18" s="15"/>
      <c r="E18" s="15"/>
      <c r="F18" s="15"/>
      <c r="G18" s="15"/>
      <c r="H18" s="15"/>
      <c r="I18" s="15"/>
      <c r="J18" s="15"/>
      <c r="K18" s="15"/>
      <c r="L18" s="15"/>
      <c r="M18" s="15"/>
      <c r="N18" s="15"/>
      <c r="O18" s="15"/>
      <c r="P18" s="15"/>
      <c r="Q18" s="15"/>
      <c r="R18" s="15"/>
      <c r="S18" s="15"/>
      <c r="T18" s="15"/>
      <c r="U18" s="15"/>
      <c r="V18" s="19">
        <v>40317</v>
      </c>
      <c r="W18" s="15"/>
      <c r="X18" s="5"/>
      <c r="Y18" s="170"/>
    </row>
    <row r="19" spans="1:25"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5"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5"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5"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5"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5"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5"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5"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5"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5"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5"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5"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5"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5" ht="15.6" x14ac:dyDescent="0.3">
      <c r="A32" s="24"/>
      <c r="B32" s="25" t="s">
        <v>137</v>
      </c>
      <c r="C32" s="32"/>
      <c r="D32" s="146">
        <f>D31*D38</f>
        <v>977326.8</v>
      </c>
      <c r="E32" s="32"/>
      <c r="F32" s="31">
        <f>F31*F38</f>
        <v>94475.010999999999</v>
      </c>
      <c r="G32" s="31"/>
      <c r="H32" s="124">
        <f>H31*H38</f>
        <v>159630.19099999999</v>
      </c>
      <c r="I32" s="124"/>
      <c r="J32" s="146">
        <f>J31*J38</f>
        <v>202632.42319999999</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967671.29999999993</v>
      </c>
      <c r="E33" s="36"/>
      <c r="F33" s="35">
        <f>F37*F31</f>
        <v>93541.645999999993</v>
      </c>
      <c r="G33" s="35"/>
      <c r="H33" s="125">
        <f>H31*H37</f>
        <v>158053.12599999999</v>
      </c>
      <c r="I33" s="125"/>
      <c r="J33" s="151">
        <f>J37*J31</f>
        <v>200630.51619999998</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531155.61461040005</v>
      </c>
      <c r="E35" s="32"/>
      <c r="F35" s="31">
        <f>F34*F38</f>
        <v>94475.010999999999</v>
      </c>
      <c r="G35" s="31"/>
      <c r="H35" s="31">
        <f>H34*H38</f>
        <v>110090.1014388</v>
      </c>
      <c r="I35" s="31"/>
      <c r="J35" s="31">
        <f>J34*J38</f>
        <v>110126.4869264</v>
      </c>
      <c r="K35" s="31"/>
      <c r="L35" s="31">
        <f>+L34</f>
        <v>25000</v>
      </c>
      <c r="M35" s="31"/>
      <c r="N35" s="31">
        <f>+N34</f>
        <v>86897</v>
      </c>
      <c r="O35" s="31"/>
      <c r="P35" s="31">
        <f>+P34</f>
        <v>17000</v>
      </c>
      <c r="Q35" s="31"/>
      <c r="R35" s="31">
        <f>+R34</f>
        <v>73103</v>
      </c>
      <c r="S35" s="31"/>
      <c r="T35" s="31"/>
      <c r="U35" s="164"/>
      <c r="V35" s="154">
        <f>SUM(C35:R35)</f>
        <v>1047847.2139756</v>
      </c>
      <c r="W35" s="34"/>
      <c r="X35" s="5"/>
    </row>
    <row r="36" spans="1:24" ht="15.6" x14ac:dyDescent="0.3">
      <c r="A36" s="28"/>
      <c r="B36" s="29" t="s">
        <v>295</v>
      </c>
      <c r="C36" s="126"/>
      <c r="D36" s="35">
        <f>D34*D37</f>
        <v>525908.06278139993</v>
      </c>
      <c r="E36" s="36"/>
      <c r="F36" s="35">
        <f>F34*F37</f>
        <v>93541.645999999993</v>
      </c>
      <c r="G36" s="35"/>
      <c r="H36" s="35">
        <f>H34*H37</f>
        <v>109002.46729679999</v>
      </c>
      <c r="I36" s="35"/>
      <c r="J36" s="35">
        <f>J34*J37</f>
        <v>109038.49231239999</v>
      </c>
      <c r="K36" s="35"/>
      <c r="L36" s="35">
        <f>+L34</f>
        <v>25000</v>
      </c>
      <c r="M36" s="35"/>
      <c r="N36" s="35">
        <f>+N34</f>
        <v>86897</v>
      </c>
      <c r="O36" s="35"/>
      <c r="P36" s="35">
        <f>+P34</f>
        <v>17000</v>
      </c>
      <c r="Q36" s="35"/>
      <c r="R36" s="35">
        <f>+R34</f>
        <v>73103</v>
      </c>
      <c r="S36" s="128"/>
      <c r="T36" s="128"/>
      <c r="U36" s="164"/>
      <c r="V36" s="155">
        <f>SUM(C36:R36)-1</f>
        <v>1039489.6683905999</v>
      </c>
      <c r="W36" s="34"/>
      <c r="X36" s="5"/>
    </row>
    <row r="37" spans="1:24" ht="15.6" x14ac:dyDescent="0.3">
      <c r="A37" s="24"/>
      <c r="B37" s="122" t="s">
        <v>135</v>
      </c>
      <c r="C37" s="25"/>
      <c r="D37" s="168">
        <v>0.64511419999999997</v>
      </c>
      <c r="E37" s="169"/>
      <c r="F37" s="168">
        <v>0.64511479999999999</v>
      </c>
      <c r="G37" s="168"/>
      <c r="H37" s="168">
        <v>0.64511479999999999</v>
      </c>
      <c r="I37" s="168"/>
      <c r="J37" s="168">
        <v>0.64511419999999997</v>
      </c>
      <c r="K37" s="168"/>
      <c r="L37" s="168">
        <v>1</v>
      </c>
      <c r="M37" s="168"/>
      <c r="N37" s="168">
        <v>1</v>
      </c>
      <c r="O37" s="168"/>
      <c r="P37" s="168">
        <v>1</v>
      </c>
      <c r="Q37" s="168"/>
      <c r="R37" s="168">
        <v>1</v>
      </c>
      <c r="S37" s="30"/>
      <c r="T37" s="30"/>
      <c r="U37" s="163"/>
      <c r="V37" s="163"/>
      <c r="W37" s="25"/>
      <c r="X37" s="5"/>
    </row>
    <row r="38" spans="1:24" ht="15.6" x14ac:dyDescent="0.3">
      <c r="A38" s="24"/>
      <c r="B38" s="122" t="s">
        <v>136</v>
      </c>
      <c r="C38" s="25"/>
      <c r="D38" s="168">
        <v>0.6515512</v>
      </c>
      <c r="E38" s="169"/>
      <c r="F38" s="168">
        <v>0.65155180000000001</v>
      </c>
      <c r="G38" s="168"/>
      <c r="H38" s="168">
        <v>0.65155180000000001</v>
      </c>
      <c r="I38" s="168"/>
      <c r="J38" s="168">
        <v>0.6515512</v>
      </c>
      <c r="K38" s="168"/>
      <c r="L38" s="168">
        <v>1</v>
      </c>
      <c r="M38" s="168"/>
      <c r="N38" s="168">
        <v>1</v>
      </c>
      <c r="O38" s="168"/>
      <c r="P38" s="168">
        <v>1</v>
      </c>
      <c r="Q38" s="168"/>
      <c r="R38" s="168">
        <v>1</v>
      </c>
      <c r="S38" s="39"/>
      <c r="T38" s="38"/>
      <c r="U38" s="163"/>
      <c r="V38" s="39"/>
      <c r="W38" s="25"/>
      <c r="X38" s="5"/>
    </row>
    <row r="39" spans="1:24" ht="15.6" x14ac:dyDescent="0.3">
      <c r="A39" s="24"/>
      <c r="B39" s="25" t="s">
        <v>11</v>
      </c>
      <c r="C39" s="25"/>
      <c r="D39" s="30" t="s">
        <v>235</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3.7437999999999998E-3</v>
      </c>
      <c r="E40" s="25"/>
      <c r="F40" s="38">
        <v>7.6125000000000003E-3</v>
      </c>
      <c r="G40" s="39"/>
      <c r="H40" s="38">
        <v>7.8300000000000002E-3</v>
      </c>
      <c r="I40" s="38"/>
      <c r="J40" s="38">
        <v>3.5999999999999999E-3</v>
      </c>
      <c r="K40" s="39"/>
      <c r="L40" s="38">
        <v>8.8124999999999992E-3</v>
      </c>
      <c r="M40" s="39"/>
      <c r="N40" s="38">
        <v>9.0299999999999998E-3</v>
      </c>
      <c r="O40" s="39"/>
      <c r="P40" s="38">
        <v>1.10125E-2</v>
      </c>
      <c r="Q40" s="39"/>
      <c r="R40" s="38">
        <v>1.123E-2</v>
      </c>
      <c r="S40" s="39"/>
      <c r="T40" s="38"/>
      <c r="U40" s="163"/>
      <c r="V40" s="30"/>
      <c r="W40" s="25"/>
      <c r="X40" s="5"/>
    </row>
    <row r="41" spans="1:24" ht="15.6" x14ac:dyDescent="0.3">
      <c r="A41" s="24"/>
      <c r="B41" s="25" t="s">
        <v>13</v>
      </c>
      <c r="C41" s="25"/>
      <c r="D41" s="38">
        <v>3.5312999999999998E-3</v>
      </c>
      <c r="E41" s="25"/>
      <c r="F41" s="38">
        <v>7.3406000000000001E-3</v>
      </c>
      <c r="G41" s="39"/>
      <c r="H41" s="38">
        <v>8.3400000000000002E-3</v>
      </c>
      <c r="I41" s="38"/>
      <c r="J41" s="38">
        <v>3.8249999999999998E-3</v>
      </c>
      <c r="K41" s="39"/>
      <c r="L41" s="38">
        <v>8.5406000000000006E-3</v>
      </c>
      <c r="M41" s="39"/>
      <c r="N41" s="38">
        <v>9.5399999999999999E-3</v>
      </c>
      <c r="O41" s="39"/>
      <c r="P41" s="38">
        <v>1.0740599999999999E-2</v>
      </c>
      <c r="Q41" s="39"/>
      <c r="R41" s="38">
        <v>1.174E-2</v>
      </c>
      <c r="S41" s="39"/>
      <c r="T41" s="38"/>
      <c r="U41" s="163"/>
      <c r="V41" s="39" t="s">
        <v>199</v>
      </c>
      <c r="W41" s="25"/>
      <c r="X41" s="5"/>
    </row>
    <row r="42" spans="1:24" ht="15.6" x14ac:dyDescent="0.3">
      <c r="A42" s="24"/>
      <c r="B42" s="25" t="s">
        <v>296</v>
      </c>
      <c r="C42" s="25"/>
      <c r="D42" s="30" t="s">
        <v>286</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7.8157999999999995E-3</v>
      </c>
      <c r="E43" s="38"/>
      <c r="F43" s="38">
        <f>+F40</f>
        <v>7.6125000000000003E-3</v>
      </c>
      <c r="G43" s="38"/>
      <c r="H43" s="38">
        <v>7.5735000000000004E-3</v>
      </c>
      <c r="I43" s="38"/>
      <c r="J43" s="38">
        <v>7.6945E-3</v>
      </c>
      <c r="K43" s="38"/>
      <c r="L43" s="38">
        <f>+L40</f>
        <v>8.8124999999999992E-3</v>
      </c>
      <c r="M43" s="38"/>
      <c r="N43" s="38">
        <v>8.9134999999999995E-3</v>
      </c>
      <c r="O43" s="38"/>
      <c r="P43" s="38">
        <f>+P40</f>
        <v>1.10125E-2</v>
      </c>
      <c r="Q43" s="39"/>
      <c r="R43" s="38">
        <v>1.12485E-2</v>
      </c>
      <c r="S43" s="30"/>
      <c r="T43" s="30"/>
      <c r="U43" s="163"/>
      <c r="V43" s="39">
        <f>SUMPRODUCT(D43:R43,D35:R35)/V35</f>
        <v>8.1654205896572966E-3</v>
      </c>
      <c r="W43" s="25"/>
      <c r="X43" s="5"/>
    </row>
    <row r="44" spans="1:24" ht="15.6" x14ac:dyDescent="0.3">
      <c r="A44" s="24"/>
      <c r="B44" s="25" t="s">
        <v>298</v>
      </c>
      <c r="C44" s="110"/>
      <c r="D44" s="38">
        <v>7.5439000000000001E-3</v>
      </c>
      <c r="E44" s="38"/>
      <c r="F44" s="38">
        <f>+F41</f>
        <v>7.3406000000000001E-3</v>
      </c>
      <c r="G44" s="38"/>
      <c r="H44" s="38">
        <v>7.3016000000000001E-3</v>
      </c>
      <c r="I44" s="38"/>
      <c r="J44" s="38">
        <v>7.4225999999999997E-3</v>
      </c>
      <c r="K44" s="38"/>
      <c r="L44" s="38">
        <f>+L41</f>
        <v>8.5406000000000006E-3</v>
      </c>
      <c r="M44" s="38"/>
      <c r="N44" s="38">
        <v>8.6415999999999993E-3</v>
      </c>
      <c r="O44" s="38"/>
      <c r="P44" s="38">
        <f>+P41</f>
        <v>1.0740599999999999E-2</v>
      </c>
      <c r="Q44" s="39"/>
      <c r="R44" s="38">
        <v>1.09766E-2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0.24119671731767714</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40315</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92</v>
      </c>
      <c r="S57" s="25"/>
      <c r="T57" s="45">
        <v>40133</v>
      </c>
      <c r="U57" s="46"/>
      <c r="V57" s="45">
        <v>40224</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90</v>
      </c>
      <c r="S58" s="25"/>
      <c r="T58" s="45">
        <v>40225</v>
      </c>
      <c r="U58" s="46"/>
      <c r="V58" s="45">
        <v>40314</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40302</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302</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1047847</v>
      </c>
      <c r="O69" s="34"/>
      <c r="P69" s="34">
        <f>8357+430+117</f>
        <v>8904</v>
      </c>
      <c r="Q69" s="34"/>
      <c r="R69" s="34">
        <f>430+117</f>
        <v>547</v>
      </c>
      <c r="S69" s="34"/>
      <c r="T69" s="34">
        <v>0</v>
      </c>
      <c r="U69" s="34"/>
      <c r="V69" s="53">
        <f>+N69-P69+R69-T69</f>
        <v>1039490</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1047847</v>
      </c>
      <c r="O72" s="34"/>
      <c r="P72" s="34">
        <f>SUM(P69:P71)</f>
        <v>8904</v>
      </c>
      <c r="Q72" s="34"/>
      <c r="R72" s="34">
        <f>SUM(R69:R71)</f>
        <v>547</v>
      </c>
      <c r="S72" s="34"/>
      <c r="T72" s="34">
        <f>SUM(T69:T71)</f>
        <v>0</v>
      </c>
      <c r="U72" s="34"/>
      <c r="V72" s="54">
        <f>SUM(V69:V71)</f>
        <v>1039490</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1047847</v>
      </c>
      <c r="O85" s="34"/>
      <c r="P85" s="34"/>
      <c r="Q85" s="34"/>
      <c r="R85" s="34"/>
      <c r="S85" s="34"/>
      <c r="T85" s="54"/>
      <c r="U85" s="34"/>
      <c r="V85" s="54">
        <f>SUM(V72:V84)</f>
        <v>1039490</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+T197</f>
        <v>40298</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8904-234</f>
        <v>8670</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5756+3057-1153-363+91+6</f>
        <v>7394</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34+103</f>
        <v>137</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48</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v>0</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274</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8670</v>
      </c>
      <c r="U97" s="25"/>
      <c r="V97" s="54">
        <f>SUM(V89:V96)</f>
        <v>7853</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-20</v>
      </c>
      <c r="U98" s="25"/>
      <c r="V98" s="54">
        <v>20</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282</v>
      </c>
      <c r="C100" s="25"/>
      <c r="D100" s="25"/>
      <c r="E100" s="25"/>
      <c r="F100" s="25"/>
      <c r="G100" s="25"/>
      <c r="H100" s="25"/>
      <c r="I100" s="25"/>
      <c r="J100" s="25"/>
      <c r="K100" s="25"/>
      <c r="L100" s="25"/>
      <c r="M100" s="25"/>
      <c r="N100" s="25"/>
      <c r="O100" s="25"/>
      <c r="P100" s="25"/>
      <c r="Q100" s="25"/>
      <c r="R100" s="25"/>
      <c r="S100" s="25"/>
      <c r="T100" s="34"/>
      <c r="U100" s="25"/>
      <c r="V100" s="53">
        <v>-88</v>
      </c>
      <c r="W100" s="25"/>
      <c r="X100" s="5"/>
    </row>
    <row r="101" spans="1:25"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8650</v>
      </c>
      <c r="U101" s="25"/>
      <c r="V101" s="54">
        <f>V97+V99+V98+V100</f>
        <v>7785</v>
      </c>
      <c r="W101" s="25"/>
      <c r="X101" s="5"/>
    </row>
    <row r="102" spans="1:25"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5"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5" ht="15.6" x14ac:dyDescent="0.3">
      <c r="A104" s="24">
        <f>+A103+1</f>
        <v>2</v>
      </c>
      <c r="B104" s="25" t="s">
        <v>259</v>
      </c>
      <c r="C104" s="25"/>
      <c r="D104" s="25"/>
      <c r="E104" s="25"/>
      <c r="F104" s="25"/>
      <c r="G104" s="25"/>
      <c r="H104" s="25"/>
      <c r="I104" s="25"/>
      <c r="J104" s="25"/>
      <c r="K104" s="25"/>
      <c r="L104" s="25"/>
      <c r="M104" s="25"/>
      <c r="N104" s="25"/>
      <c r="O104" s="25"/>
      <c r="P104" s="25"/>
      <c r="Q104" s="25"/>
      <c r="R104" s="25"/>
      <c r="S104" s="25"/>
      <c r="T104" s="25"/>
      <c r="U104" s="25"/>
      <c r="V104" s="53">
        <v>-2</v>
      </c>
      <c r="W104" s="25"/>
      <c r="X104" s="5"/>
    </row>
    <row r="105" spans="1:25" ht="15.6" x14ac:dyDescent="0.3">
      <c r="A105" s="24">
        <f>+A104+1</f>
        <v>3</v>
      </c>
      <c r="B105" s="25" t="s">
        <v>210</v>
      </c>
      <c r="C105" s="25"/>
      <c r="D105" s="25"/>
      <c r="E105" s="25"/>
      <c r="F105" s="25"/>
      <c r="G105" s="25"/>
      <c r="H105" s="25"/>
      <c r="I105" s="25"/>
      <c r="J105" s="25"/>
      <c r="K105" s="25"/>
      <c r="L105" s="25"/>
      <c r="M105" s="25"/>
      <c r="N105" s="25"/>
      <c r="O105" s="25"/>
      <c r="P105" s="25"/>
      <c r="Q105" s="25"/>
      <c r="R105" s="25"/>
      <c r="S105" s="25"/>
      <c r="T105" s="25"/>
      <c r="U105" s="25"/>
      <c r="V105" s="53">
        <f>-385-403-12</f>
        <v>-800</v>
      </c>
      <c r="W105" s="25"/>
      <c r="X105" s="5"/>
    </row>
    <row r="106" spans="1:25" ht="15.6" x14ac:dyDescent="0.3">
      <c r="A106" s="24" t="s">
        <v>132</v>
      </c>
      <c r="B106" s="25" t="s">
        <v>121</v>
      </c>
      <c r="C106" s="25"/>
      <c r="D106" s="25"/>
      <c r="E106" s="25"/>
      <c r="F106" s="25"/>
      <c r="G106" s="25"/>
      <c r="H106" s="25"/>
      <c r="I106" s="25"/>
      <c r="J106" s="25"/>
      <c r="K106" s="25"/>
      <c r="L106" s="25"/>
      <c r="M106" s="25"/>
      <c r="N106" s="25"/>
      <c r="O106" s="25"/>
      <c r="P106" s="25"/>
      <c r="Q106" s="25"/>
      <c r="R106" s="25"/>
      <c r="S106" s="25"/>
      <c r="T106" s="25"/>
      <c r="U106" s="25"/>
      <c r="V106" s="53">
        <v>-1746</v>
      </c>
      <c r="W106" s="25"/>
      <c r="X106" s="5"/>
    </row>
    <row r="107" spans="1:25" ht="15.6" x14ac:dyDescent="0.3">
      <c r="A107" s="24" t="s">
        <v>133</v>
      </c>
      <c r="B107" s="25" t="s">
        <v>256</v>
      </c>
      <c r="C107" s="25"/>
      <c r="D107" s="25"/>
      <c r="E107" s="25"/>
      <c r="F107" s="25"/>
      <c r="G107" s="25"/>
      <c r="H107" s="25"/>
      <c r="I107" s="25"/>
      <c r="J107" s="25"/>
      <c r="K107" s="25"/>
      <c r="L107" s="25"/>
      <c r="M107" s="25"/>
      <c r="N107" s="25"/>
      <c r="O107" s="25"/>
      <c r="P107" s="25"/>
      <c r="Q107" s="25"/>
      <c r="R107" s="25"/>
      <c r="S107" s="25"/>
      <c r="T107" s="25"/>
      <c r="U107" s="25"/>
      <c r="V107" s="53">
        <f>-1616+177</f>
        <v>-1439</v>
      </c>
      <c r="W107" s="25"/>
      <c r="X107" s="171"/>
      <c r="Y107" s="109"/>
    </row>
    <row r="108" spans="1:25" ht="15.6" x14ac:dyDescent="0.3">
      <c r="A108" s="24" t="s">
        <v>155</v>
      </c>
      <c r="B108" s="25" t="s">
        <v>190</v>
      </c>
      <c r="C108" s="25"/>
      <c r="D108" s="25"/>
      <c r="E108" s="25"/>
      <c r="F108" s="25"/>
      <c r="G108" s="25"/>
      <c r="H108" s="25"/>
      <c r="I108" s="25"/>
      <c r="J108" s="25"/>
      <c r="K108" s="25"/>
      <c r="L108" s="25"/>
      <c r="M108" s="25"/>
      <c r="N108" s="25"/>
      <c r="O108" s="25"/>
      <c r="P108" s="25"/>
      <c r="Q108" s="25"/>
      <c r="R108" s="25"/>
      <c r="S108" s="25"/>
      <c r="T108" s="25"/>
      <c r="U108" s="25"/>
      <c r="V108" s="53">
        <v>-177</v>
      </c>
      <c r="W108" s="25"/>
      <c r="X108" s="5"/>
      <c r="Y108" s="109"/>
    </row>
    <row r="109" spans="1:25" ht="15.6" x14ac:dyDescent="0.3">
      <c r="A109" s="24" t="s">
        <v>211</v>
      </c>
      <c r="B109" s="25" t="s">
        <v>191</v>
      </c>
      <c r="C109" s="25"/>
      <c r="D109" s="25"/>
      <c r="E109" s="25"/>
      <c r="F109" s="25"/>
      <c r="G109" s="25"/>
      <c r="H109" s="25"/>
      <c r="I109" s="25"/>
      <c r="J109" s="25"/>
      <c r="K109" s="25"/>
      <c r="L109" s="25"/>
      <c r="M109" s="25"/>
      <c r="N109" s="25"/>
      <c r="O109" s="25"/>
      <c r="P109" s="25"/>
      <c r="Q109" s="25"/>
      <c r="R109" s="25"/>
      <c r="S109" s="25"/>
      <c r="T109" s="25"/>
      <c r="U109" s="25"/>
      <c r="V109" s="53">
        <v>-191</v>
      </c>
      <c r="W109" s="25"/>
      <c r="X109" s="5"/>
      <c r="Y109" s="109"/>
    </row>
    <row r="110" spans="1:25" ht="15.6" x14ac:dyDescent="0.3">
      <c r="A110" s="24" t="s">
        <v>212</v>
      </c>
      <c r="B110" s="25" t="s">
        <v>192</v>
      </c>
      <c r="C110" s="25"/>
      <c r="D110" s="25"/>
      <c r="E110" s="25"/>
      <c r="F110" s="25"/>
      <c r="G110" s="25"/>
      <c r="H110" s="25"/>
      <c r="I110" s="25"/>
      <c r="J110" s="25"/>
      <c r="K110" s="25"/>
      <c r="L110" s="25"/>
      <c r="M110" s="25"/>
      <c r="N110" s="25"/>
      <c r="O110" s="25"/>
      <c r="P110" s="25"/>
      <c r="Q110" s="25"/>
      <c r="R110" s="25"/>
      <c r="S110" s="25"/>
      <c r="T110" s="25"/>
      <c r="U110" s="25"/>
      <c r="V110" s="53">
        <v>-54</v>
      </c>
      <c r="W110" s="25"/>
      <c r="X110" s="5"/>
      <c r="Y110" s="109"/>
    </row>
    <row r="111" spans="1:25" ht="15.6" x14ac:dyDescent="0.3">
      <c r="A111" s="24" t="s">
        <v>213</v>
      </c>
      <c r="B111" s="25" t="s">
        <v>202</v>
      </c>
      <c r="C111" s="25"/>
      <c r="D111" s="25"/>
      <c r="E111" s="25"/>
      <c r="F111" s="25"/>
      <c r="G111" s="25"/>
      <c r="H111" s="25"/>
      <c r="I111" s="25"/>
      <c r="J111" s="25"/>
      <c r="K111" s="25"/>
      <c r="L111" s="25"/>
      <c r="M111" s="25"/>
      <c r="N111" s="25"/>
      <c r="O111" s="25"/>
      <c r="P111" s="25"/>
      <c r="Q111" s="25"/>
      <c r="R111" s="25"/>
      <c r="S111" s="25"/>
      <c r="T111" s="25"/>
      <c r="U111" s="25"/>
      <c r="V111" s="53">
        <v>-203</v>
      </c>
      <c r="W111" s="25"/>
      <c r="X111" s="5"/>
      <c r="Y111" s="109"/>
    </row>
    <row r="112" spans="1:25" ht="15.6" x14ac:dyDescent="0.3">
      <c r="A112" s="24" t="s">
        <v>258</v>
      </c>
      <c r="B112" s="25" t="s">
        <v>257</v>
      </c>
      <c r="C112" s="25"/>
      <c r="D112" s="25"/>
      <c r="E112" s="25"/>
      <c r="F112" s="25"/>
      <c r="G112" s="25"/>
      <c r="H112" s="25"/>
      <c r="I112" s="25"/>
      <c r="J112" s="25"/>
      <c r="K112" s="25"/>
      <c r="L112" s="25"/>
      <c r="M112" s="25"/>
      <c r="N112" s="25"/>
      <c r="O112" s="25"/>
      <c r="P112" s="25"/>
      <c r="Q112" s="25"/>
      <c r="R112" s="25"/>
      <c r="S112" s="25"/>
      <c r="T112" s="25"/>
      <c r="U112" s="25"/>
      <c r="V112" s="53">
        <v>-46</v>
      </c>
      <c r="W112" s="25"/>
      <c r="X112" s="5"/>
      <c r="Y112" s="109"/>
    </row>
    <row r="113" spans="1:24" ht="15.6" x14ac:dyDescent="0.3">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-10</v>
      </c>
      <c r="W113" s="25"/>
      <c r="X113" s="5"/>
    </row>
    <row r="114" spans="1:24" ht="15.6" x14ac:dyDescent="0.3">
      <c r="A114" s="24">
        <f t="shared" ref="A114:A119" si="0">+A113+1</f>
        <v>8</v>
      </c>
      <c r="B114" s="25" t="s">
        <v>46</v>
      </c>
      <c r="C114" s="25"/>
      <c r="D114" s="25"/>
      <c r="E114" s="25"/>
      <c r="F114" s="25"/>
      <c r="G114" s="25"/>
      <c r="H114" s="25"/>
      <c r="I114" s="25"/>
      <c r="J114" s="25"/>
      <c r="K114" s="25"/>
      <c r="L114" s="25"/>
      <c r="M114" s="25"/>
      <c r="N114" s="25"/>
      <c r="O114" s="25"/>
      <c r="P114" s="25"/>
      <c r="Q114" s="25"/>
      <c r="R114" s="25"/>
      <c r="S114" s="25"/>
      <c r="T114" s="34">
        <f>-V114</f>
        <v>234</v>
      </c>
      <c r="U114" s="25"/>
      <c r="V114" s="53">
        <v>-234</v>
      </c>
      <c r="W114" s="25"/>
      <c r="X114" s="5"/>
    </row>
    <row r="115" spans="1:24" ht="15.6" x14ac:dyDescent="0.3">
      <c r="A115" s="24">
        <f t="shared" si="0"/>
        <v>9</v>
      </c>
      <c r="B115" s="25" t="s">
        <v>130</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10</v>
      </c>
      <c r="B116" s="25" t="s">
        <v>36</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11</v>
      </c>
      <c r="B117" s="25" t="s">
        <v>37</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6" x14ac:dyDescent="0.3">
      <c r="A118" s="24">
        <f t="shared" si="0"/>
        <v>12</v>
      </c>
      <c r="B118" s="25" t="s">
        <v>154</v>
      </c>
      <c r="C118" s="25"/>
      <c r="D118" s="25"/>
      <c r="E118" s="25"/>
      <c r="F118" s="25"/>
      <c r="G118" s="25"/>
      <c r="H118" s="25"/>
      <c r="I118" s="25"/>
      <c r="J118" s="25"/>
      <c r="K118" s="25"/>
      <c r="L118" s="25"/>
      <c r="M118" s="25"/>
      <c r="N118" s="25"/>
      <c r="O118" s="25"/>
      <c r="P118" s="25"/>
      <c r="Q118" s="25"/>
      <c r="R118" s="25"/>
      <c r="S118" s="25"/>
      <c r="T118" s="25"/>
      <c r="U118" s="25"/>
      <c r="V118" s="53">
        <v>-384</v>
      </c>
      <c r="W118" s="25"/>
      <c r="X118" s="5"/>
    </row>
    <row r="119" spans="1:24" ht="15.6" x14ac:dyDescent="0.3">
      <c r="A119" s="24">
        <f t="shared" si="0"/>
        <v>13</v>
      </c>
      <c r="B119" s="25" t="s">
        <v>131</v>
      </c>
      <c r="C119" s="25"/>
      <c r="D119" s="25"/>
      <c r="E119" s="25"/>
      <c r="F119" s="25"/>
      <c r="G119" s="25"/>
      <c r="H119" s="25"/>
      <c r="I119" s="25"/>
      <c r="J119" s="25"/>
      <c r="K119" s="25"/>
      <c r="L119" s="25"/>
      <c r="M119" s="25"/>
      <c r="N119" s="25"/>
      <c r="O119" s="25"/>
      <c r="P119" s="25"/>
      <c r="Q119" s="25"/>
      <c r="R119" s="25"/>
      <c r="S119" s="25"/>
      <c r="T119" s="25"/>
      <c r="U119" s="25"/>
      <c r="V119" s="53">
        <f>-V101-SUM(V103:V118)</f>
        <v>-2499</v>
      </c>
      <c r="W119" s="25"/>
      <c r="X119" s="5"/>
    </row>
    <row r="120" spans="1:24" ht="15.6" x14ac:dyDescent="0.3">
      <c r="A120" s="24"/>
      <c r="B120" s="118" t="s">
        <v>38</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6" x14ac:dyDescent="0.3">
      <c r="A121" s="24"/>
      <c r="B121" s="25" t="s">
        <v>179</v>
      </c>
      <c r="C121" s="25"/>
      <c r="D121" s="25"/>
      <c r="E121" s="25"/>
      <c r="F121" s="25"/>
      <c r="G121" s="25"/>
      <c r="H121" s="25"/>
      <c r="I121" s="25"/>
      <c r="J121" s="25"/>
      <c r="K121" s="25"/>
      <c r="L121" s="25"/>
      <c r="M121" s="25"/>
      <c r="N121" s="25"/>
      <c r="O121" s="25"/>
      <c r="P121" s="25"/>
      <c r="Q121" s="25"/>
      <c r="R121" s="25"/>
      <c r="S121" s="25"/>
      <c r="T121" s="34">
        <f>-T181</f>
        <v>-6</v>
      </c>
      <c r="U121" s="34"/>
      <c r="V121" s="53"/>
      <c r="W121" s="25"/>
      <c r="X121" s="5"/>
    </row>
    <row r="122" spans="1:24" ht="15.6" x14ac:dyDescent="0.3">
      <c r="A122" s="24"/>
      <c r="B122" s="25" t="s">
        <v>180</v>
      </c>
      <c r="C122" s="25"/>
      <c r="D122" s="25"/>
      <c r="E122" s="25"/>
      <c r="F122" s="25"/>
      <c r="G122" s="25"/>
      <c r="H122" s="25"/>
      <c r="I122" s="25"/>
      <c r="J122" s="25"/>
      <c r="K122" s="25"/>
      <c r="L122" s="25"/>
      <c r="M122" s="25"/>
      <c r="N122" s="25"/>
      <c r="O122" s="25"/>
      <c r="P122" s="25"/>
      <c r="Q122" s="25"/>
      <c r="R122" s="25"/>
      <c r="S122" s="25"/>
      <c r="T122" s="34">
        <v>-19</v>
      </c>
      <c r="U122" s="34"/>
      <c r="V122" s="53"/>
      <c r="W122" s="25"/>
      <c r="X122" s="5"/>
    </row>
    <row r="123" spans="1:24" ht="15.6" x14ac:dyDescent="0.3">
      <c r="A123" s="24"/>
      <c r="B123" s="25" t="s">
        <v>39</v>
      </c>
      <c r="C123" s="25"/>
      <c r="D123" s="25"/>
      <c r="E123" s="25"/>
      <c r="F123" s="25"/>
      <c r="G123" s="25"/>
      <c r="H123" s="25"/>
      <c r="I123" s="25"/>
      <c r="J123" s="25"/>
      <c r="K123" s="25"/>
      <c r="L123" s="25"/>
      <c r="M123" s="25"/>
      <c r="N123" s="25"/>
      <c r="O123" s="25"/>
      <c r="P123" s="25"/>
      <c r="Q123" s="25"/>
      <c r="R123" s="25"/>
      <c r="S123" s="25"/>
      <c r="T123" s="34">
        <f>-S181</f>
        <v>-502</v>
      </c>
      <c r="U123" s="34"/>
      <c r="V123" s="53"/>
      <c r="W123" s="25"/>
      <c r="X123" s="5"/>
    </row>
    <row r="124" spans="1:24" ht="15.6" x14ac:dyDescent="0.3">
      <c r="A124" s="24"/>
      <c r="B124" s="25" t="s">
        <v>203</v>
      </c>
      <c r="C124" s="25"/>
      <c r="D124" s="25"/>
      <c r="E124" s="25"/>
      <c r="F124" s="25"/>
      <c r="G124" s="25"/>
      <c r="H124" s="25"/>
      <c r="I124" s="25"/>
      <c r="J124" s="25"/>
      <c r="K124" s="25"/>
      <c r="L124" s="25"/>
      <c r="M124" s="25"/>
      <c r="N124" s="25"/>
      <c r="O124" s="25"/>
      <c r="P124" s="25"/>
      <c r="Q124" s="25"/>
      <c r="R124" s="25"/>
      <c r="S124" s="25"/>
      <c r="T124" s="34">
        <v>-5248</v>
      </c>
      <c r="U124" s="34"/>
      <c r="V124" s="53"/>
      <c r="W124" s="25"/>
      <c r="X124" s="5"/>
    </row>
    <row r="125" spans="1:24" ht="15.6" x14ac:dyDescent="0.3">
      <c r="A125" s="24"/>
      <c r="B125" s="25" t="s">
        <v>201</v>
      </c>
      <c r="C125" s="25"/>
      <c r="D125" s="25"/>
      <c r="E125" s="25"/>
      <c r="F125" s="25"/>
      <c r="G125" s="25"/>
      <c r="H125" s="25"/>
      <c r="I125" s="25"/>
      <c r="J125" s="25"/>
      <c r="K125" s="25"/>
      <c r="L125" s="25"/>
      <c r="M125" s="25"/>
      <c r="N125" s="25"/>
      <c r="O125" s="25"/>
      <c r="P125" s="25"/>
      <c r="Q125" s="25"/>
      <c r="R125" s="25"/>
      <c r="S125" s="25"/>
      <c r="T125" s="34">
        <v>-933</v>
      </c>
      <c r="U125" s="34"/>
      <c r="V125" s="53"/>
      <c r="W125" s="25"/>
      <c r="X125" s="5"/>
    </row>
    <row r="126" spans="1:24" ht="15.6" x14ac:dyDescent="0.3">
      <c r="A126" s="24"/>
      <c r="B126" s="25" t="s">
        <v>200</v>
      </c>
      <c r="C126" s="25"/>
      <c r="D126" s="25"/>
      <c r="E126" s="25"/>
      <c r="F126" s="25"/>
      <c r="G126" s="25"/>
      <c r="H126" s="25"/>
      <c r="I126" s="25"/>
      <c r="J126" s="25"/>
      <c r="K126" s="25"/>
      <c r="L126" s="25"/>
      <c r="M126" s="25"/>
      <c r="N126" s="25"/>
      <c r="O126" s="25"/>
      <c r="P126" s="25"/>
      <c r="Q126" s="25"/>
      <c r="R126" s="25"/>
      <c r="S126" s="25"/>
      <c r="T126" s="34">
        <v>-1088</v>
      </c>
      <c r="U126" s="34"/>
      <c r="V126" s="53"/>
      <c r="W126" s="25"/>
      <c r="X126" s="5"/>
    </row>
    <row r="127" spans="1:24" ht="15.6" x14ac:dyDescent="0.3">
      <c r="A127" s="24"/>
      <c r="B127" s="25" t="s">
        <v>260</v>
      </c>
      <c r="C127" s="25"/>
      <c r="D127" s="25"/>
      <c r="E127" s="25"/>
      <c r="F127" s="25"/>
      <c r="G127" s="25"/>
      <c r="H127" s="25"/>
      <c r="I127" s="25"/>
      <c r="J127" s="25"/>
      <c r="K127" s="25"/>
      <c r="L127" s="25"/>
      <c r="M127" s="25"/>
      <c r="N127" s="25"/>
      <c r="O127" s="25"/>
      <c r="P127" s="25"/>
      <c r="Q127" s="25"/>
      <c r="R127" s="25"/>
      <c r="S127" s="25"/>
      <c r="T127" s="34">
        <v>-1088</v>
      </c>
      <c r="U127" s="34"/>
      <c r="V127" s="53"/>
      <c r="W127" s="25"/>
      <c r="X127" s="5"/>
    </row>
    <row r="128" spans="1:24" ht="15.6" x14ac:dyDescent="0.3">
      <c r="A128" s="24"/>
      <c r="B128" s="25" t="s">
        <v>195</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261</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193</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40</v>
      </c>
      <c r="C132" s="25"/>
      <c r="D132" s="25"/>
      <c r="E132" s="25"/>
      <c r="F132" s="25"/>
      <c r="G132" s="25"/>
      <c r="H132" s="25"/>
      <c r="I132" s="25"/>
      <c r="J132" s="25"/>
      <c r="K132" s="25"/>
      <c r="L132" s="25"/>
      <c r="M132" s="25"/>
      <c r="N132" s="25"/>
      <c r="O132" s="25"/>
      <c r="P132" s="25"/>
      <c r="Q132" s="25"/>
      <c r="R132" s="25"/>
      <c r="S132" s="25"/>
      <c r="T132" s="34">
        <f>SUM(T121:T131)</f>
        <v>-8884</v>
      </c>
      <c r="U132" s="34"/>
      <c r="V132" s="34">
        <f>SUM(V102:V129)</f>
        <v>-7785</v>
      </c>
      <c r="W132" s="25"/>
      <c r="X132" s="5"/>
    </row>
    <row r="133" spans="1:24" ht="15.6" x14ac:dyDescent="0.3">
      <c r="A133" s="24"/>
      <c r="B133" s="25" t="s">
        <v>41</v>
      </c>
      <c r="C133" s="25"/>
      <c r="D133" s="25"/>
      <c r="E133" s="25"/>
      <c r="F133" s="25"/>
      <c r="G133" s="25"/>
      <c r="H133" s="25"/>
      <c r="I133" s="25"/>
      <c r="J133" s="25"/>
      <c r="K133" s="25"/>
      <c r="L133" s="25"/>
      <c r="M133" s="25"/>
      <c r="N133" s="25"/>
      <c r="O133" s="25"/>
      <c r="P133" s="25"/>
      <c r="Q133" s="25"/>
      <c r="R133" s="25"/>
      <c r="S133" s="25"/>
      <c r="T133" s="34">
        <f>T101+T132+T114</f>
        <v>0</v>
      </c>
      <c r="U133" s="34"/>
      <c r="V133" s="34">
        <f>V101+V132</f>
        <v>0</v>
      </c>
      <c r="W133" s="25"/>
      <c r="X133" s="5"/>
    </row>
    <row r="134" spans="1:24" ht="15.6" x14ac:dyDescent="0.3">
      <c r="A134" s="24"/>
      <c r="B134" s="25"/>
      <c r="C134" s="25"/>
      <c r="D134" s="25"/>
      <c r="E134" s="25"/>
      <c r="F134" s="25"/>
      <c r="G134" s="25"/>
      <c r="H134" s="25"/>
      <c r="I134" s="25"/>
      <c r="J134" s="25"/>
      <c r="K134" s="25"/>
      <c r="L134" s="25"/>
      <c r="M134" s="25"/>
      <c r="N134" s="25"/>
      <c r="O134" s="25"/>
      <c r="P134" s="25"/>
      <c r="Q134" s="25"/>
      <c r="R134" s="25"/>
      <c r="S134" s="25"/>
      <c r="T134" s="34"/>
      <c r="U134" s="34"/>
      <c r="V134" s="34"/>
      <c r="W134" s="25"/>
      <c r="X134" s="5"/>
    </row>
    <row r="135" spans="1:24" ht="15.6" x14ac:dyDescent="0.3">
      <c r="A135" s="6"/>
      <c r="B135" s="8"/>
      <c r="C135" s="8"/>
      <c r="D135" s="8"/>
      <c r="E135" s="8"/>
      <c r="F135" s="8"/>
      <c r="G135" s="8"/>
      <c r="H135" s="8"/>
      <c r="I135" s="8"/>
      <c r="J135" s="8"/>
      <c r="K135" s="8"/>
      <c r="L135" s="8"/>
      <c r="M135" s="8"/>
      <c r="N135" s="8"/>
      <c r="O135" s="8"/>
      <c r="P135" s="8"/>
      <c r="Q135" s="8"/>
      <c r="R135" s="8"/>
      <c r="S135" s="8"/>
      <c r="T135" s="8"/>
      <c r="U135" s="8"/>
      <c r="V135" s="52"/>
      <c r="W135" s="8"/>
      <c r="X135" s="5"/>
    </row>
    <row r="136" spans="1:24" ht="18" thickBot="1" x14ac:dyDescent="0.35">
      <c r="A136" s="101"/>
      <c r="B136" s="102" t="str">
        <f>B64</f>
        <v>PM12 INVESTOR REPORT QUARTER ENDING APRIL 2010</v>
      </c>
      <c r="C136" s="103"/>
      <c r="D136" s="103"/>
      <c r="E136" s="103"/>
      <c r="F136" s="103"/>
      <c r="G136" s="103"/>
      <c r="H136" s="103"/>
      <c r="I136" s="103"/>
      <c r="J136" s="103"/>
      <c r="K136" s="103"/>
      <c r="L136" s="103"/>
      <c r="M136" s="103"/>
      <c r="N136" s="103"/>
      <c r="O136" s="103"/>
      <c r="P136" s="103"/>
      <c r="Q136" s="103"/>
      <c r="R136" s="103"/>
      <c r="S136" s="103"/>
      <c r="T136" s="103"/>
      <c r="U136" s="103"/>
      <c r="V136" s="106"/>
      <c r="W136" s="105"/>
      <c r="X136" s="5"/>
    </row>
    <row r="137" spans="1:24" ht="15.6" x14ac:dyDescent="0.3">
      <c r="A137" s="2"/>
      <c r="B137" s="60" t="s">
        <v>42</v>
      </c>
      <c r="C137" s="4"/>
      <c r="D137" s="4"/>
      <c r="E137" s="4"/>
      <c r="F137" s="4"/>
      <c r="G137" s="4"/>
      <c r="H137" s="4"/>
      <c r="I137" s="4"/>
      <c r="J137" s="4"/>
      <c r="K137" s="4"/>
      <c r="L137" s="4"/>
      <c r="M137" s="4"/>
      <c r="N137" s="4"/>
      <c r="O137" s="4"/>
      <c r="P137" s="4"/>
      <c r="Q137" s="4"/>
      <c r="R137" s="4"/>
      <c r="S137" s="4"/>
      <c r="T137" s="4"/>
      <c r="U137" s="4"/>
      <c r="V137" s="50"/>
      <c r="W137" s="4"/>
      <c r="X137" s="5"/>
    </row>
    <row r="138" spans="1:24" ht="15.6" x14ac:dyDescent="0.3">
      <c r="A138" s="6"/>
      <c r="B138" s="21"/>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6"/>
      <c r="B139" s="119" t="s">
        <v>43</v>
      </c>
      <c r="C139" s="8"/>
      <c r="D139" s="8"/>
      <c r="E139" s="8"/>
      <c r="F139" s="8"/>
      <c r="G139" s="8"/>
      <c r="H139" s="8"/>
      <c r="I139" s="8"/>
      <c r="J139" s="8"/>
      <c r="K139" s="8"/>
      <c r="L139" s="8"/>
      <c r="M139" s="8"/>
      <c r="N139" s="8"/>
      <c r="O139" s="8"/>
      <c r="P139" s="8"/>
      <c r="Q139" s="8"/>
      <c r="R139" s="8"/>
      <c r="S139" s="8"/>
      <c r="T139" s="8"/>
      <c r="U139" s="8"/>
      <c r="V139" s="52"/>
      <c r="W139" s="8"/>
      <c r="X139" s="5"/>
    </row>
    <row r="140" spans="1:24" ht="15.6" x14ac:dyDescent="0.3">
      <c r="A140" s="24"/>
      <c r="B140" s="25" t="s">
        <v>44</v>
      </c>
      <c r="C140" s="25"/>
      <c r="D140" s="25"/>
      <c r="E140" s="25"/>
      <c r="F140" s="25"/>
      <c r="G140" s="25"/>
      <c r="H140" s="25"/>
      <c r="I140" s="25"/>
      <c r="J140" s="25"/>
      <c r="K140" s="25"/>
      <c r="L140" s="25"/>
      <c r="M140" s="25"/>
      <c r="N140" s="25"/>
      <c r="O140" s="25"/>
      <c r="P140" s="25"/>
      <c r="Q140" s="25"/>
      <c r="R140" s="25"/>
      <c r="S140" s="25"/>
      <c r="T140" s="25"/>
      <c r="U140" s="25"/>
      <c r="V140" s="53">
        <f>+V34*0.019</f>
        <v>28503.895</v>
      </c>
      <c r="W140" s="25"/>
      <c r="X140" s="5"/>
    </row>
    <row r="141" spans="1:24" ht="15.6" x14ac:dyDescent="0.3">
      <c r="A141" s="24"/>
      <c r="B141" s="25" t="s">
        <v>45</v>
      </c>
      <c r="C141" s="25"/>
      <c r="D141" s="25"/>
      <c r="E141" s="25"/>
      <c r="F141" s="25"/>
      <c r="G141" s="25"/>
      <c r="H141" s="25"/>
      <c r="I141" s="25"/>
      <c r="J141" s="25"/>
      <c r="K141" s="25"/>
      <c r="L141" s="25"/>
      <c r="M141" s="25"/>
      <c r="N141" s="25"/>
      <c r="O141" s="25"/>
      <c r="P141" s="25"/>
      <c r="Q141" s="25"/>
      <c r="R141" s="25"/>
      <c r="S141" s="25"/>
      <c r="T141" s="25"/>
      <c r="U141" s="25"/>
      <c r="V141" s="53">
        <v>28504</v>
      </c>
      <c r="W141" s="25"/>
      <c r="X141" s="5"/>
    </row>
    <row r="142" spans="1:24" ht="15.6" x14ac:dyDescent="0.3">
      <c r="A142" s="24"/>
      <c r="B142" s="25" t="s">
        <v>141</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128</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129</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181</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46</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134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230</v>
      </c>
      <c r="C148" s="25"/>
      <c r="D148" s="25"/>
      <c r="E148" s="25"/>
      <c r="F148" s="25"/>
      <c r="G148" s="25"/>
      <c r="H148" s="25"/>
      <c r="I148" s="25"/>
      <c r="J148" s="25"/>
      <c r="K148" s="25"/>
      <c r="L148" s="25"/>
      <c r="M148" s="25"/>
      <c r="N148" s="25"/>
      <c r="O148" s="25"/>
      <c r="P148" s="25"/>
      <c r="Q148" s="25"/>
      <c r="R148" s="25"/>
      <c r="S148" s="25"/>
      <c r="T148" s="25"/>
      <c r="U148" s="25"/>
      <c r="V148" s="53">
        <v>0</v>
      </c>
      <c r="W148" s="25"/>
      <c r="X148" s="5"/>
      <c r="Y148" s="109"/>
    </row>
    <row r="149" spans="1:25" ht="15.6" x14ac:dyDescent="0.3">
      <c r="A149" s="24"/>
      <c r="B149" s="25" t="s">
        <v>47</v>
      </c>
      <c r="C149" s="25"/>
      <c r="D149" s="25"/>
      <c r="E149" s="25"/>
      <c r="F149" s="25"/>
      <c r="G149" s="25"/>
      <c r="H149" s="25"/>
      <c r="I149" s="25"/>
      <c r="J149" s="25"/>
      <c r="K149" s="25"/>
      <c r="L149" s="25"/>
      <c r="M149" s="25"/>
      <c r="N149" s="25"/>
      <c r="O149" s="25"/>
      <c r="P149" s="25"/>
      <c r="Q149" s="25"/>
      <c r="R149" s="25"/>
      <c r="S149" s="25"/>
      <c r="T149" s="25"/>
      <c r="U149" s="25"/>
      <c r="V149" s="53">
        <f>SUM(V141:V148)</f>
        <v>28504</v>
      </c>
      <c r="W149" s="25"/>
      <c r="X149" s="5"/>
    </row>
    <row r="150" spans="1:25" ht="15.6" x14ac:dyDescent="0.3">
      <c r="A150" s="24"/>
      <c r="B150" s="25"/>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138" t="s">
        <v>269</v>
      </c>
      <c r="C151" s="25"/>
      <c r="D151" s="25"/>
      <c r="E151" s="25"/>
      <c r="F151" s="25"/>
      <c r="G151" s="25"/>
      <c r="H151" s="25"/>
      <c r="I151" s="25"/>
      <c r="J151" s="25"/>
      <c r="K151" s="25"/>
      <c r="L151" s="25"/>
      <c r="M151" s="25"/>
      <c r="N151" s="25"/>
      <c r="O151" s="25"/>
      <c r="P151" s="25"/>
      <c r="Q151" s="25"/>
      <c r="R151" s="25"/>
      <c r="S151" s="25"/>
      <c r="T151" s="25"/>
      <c r="U151" s="25"/>
      <c r="V151" s="53"/>
      <c r="W151" s="25"/>
      <c r="X151" s="5"/>
    </row>
    <row r="152" spans="1:25" ht="15.6" x14ac:dyDescent="0.3">
      <c r="A152" s="24"/>
      <c r="B152" s="25" t="s">
        <v>160</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178</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t="s">
        <v>270</v>
      </c>
      <c r="C154" s="25"/>
      <c r="D154" s="25"/>
      <c r="E154" s="25"/>
      <c r="F154" s="25"/>
      <c r="G154" s="25"/>
      <c r="H154" s="25"/>
      <c r="I154" s="25"/>
      <c r="J154" s="25"/>
      <c r="K154" s="25"/>
      <c r="L154" s="25"/>
      <c r="M154" s="25"/>
      <c r="N154" s="25"/>
      <c r="O154" s="25"/>
      <c r="P154" s="25"/>
      <c r="Q154" s="25"/>
      <c r="R154" s="25"/>
      <c r="S154" s="25"/>
      <c r="T154" s="25"/>
      <c r="U154" s="25"/>
      <c r="V154" s="53">
        <v>0</v>
      </c>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53"/>
      <c r="W155" s="25"/>
      <c r="X155" s="5"/>
    </row>
    <row r="156" spans="1:25" ht="15.6" x14ac:dyDescent="0.3">
      <c r="A156" s="24"/>
      <c r="B156" s="25"/>
      <c r="C156" s="25"/>
      <c r="D156" s="25"/>
      <c r="E156" s="25"/>
      <c r="F156" s="25"/>
      <c r="G156" s="25"/>
      <c r="H156" s="25"/>
      <c r="I156" s="25"/>
      <c r="J156" s="25"/>
      <c r="K156" s="25"/>
      <c r="L156" s="25"/>
      <c r="M156" s="25"/>
      <c r="N156" s="25"/>
      <c r="O156" s="25"/>
      <c r="P156" s="25"/>
      <c r="Q156" s="25"/>
      <c r="R156" s="25"/>
      <c r="S156" s="25"/>
      <c r="T156" s="25"/>
      <c r="U156" s="25"/>
      <c r="V156" s="61"/>
      <c r="W156" s="25"/>
      <c r="X156" s="5"/>
    </row>
    <row r="157" spans="1:25" ht="15.6" x14ac:dyDescent="0.3">
      <c r="A157" s="6"/>
      <c r="B157" s="119" t="s">
        <v>24</v>
      </c>
      <c r="C157" s="8"/>
      <c r="D157" s="8"/>
      <c r="E157" s="8"/>
      <c r="F157" s="8"/>
      <c r="G157" s="8"/>
      <c r="H157" s="8"/>
      <c r="I157" s="8"/>
      <c r="J157" s="8"/>
      <c r="K157" s="8"/>
      <c r="L157" s="8"/>
      <c r="M157" s="8"/>
      <c r="N157" s="8"/>
      <c r="O157" s="8"/>
      <c r="P157" s="8"/>
      <c r="Q157" s="8"/>
      <c r="R157" s="8"/>
      <c r="S157" s="8"/>
      <c r="T157" s="8"/>
      <c r="U157" s="8"/>
      <c r="V157" s="52"/>
      <c r="W157" s="8"/>
      <c r="X157" s="5"/>
    </row>
    <row r="158" spans="1:25" ht="15.6" x14ac:dyDescent="0.3">
      <c r="A158" s="24"/>
      <c r="B158" s="25" t="s">
        <v>48</v>
      </c>
      <c r="C158" s="25"/>
      <c r="D158" s="25"/>
      <c r="E158" s="25"/>
      <c r="F158" s="25"/>
      <c r="G158" s="25"/>
      <c r="H158" s="25"/>
      <c r="I158" s="25"/>
      <c r="J158" s="25"/>
      <c r="K158" s="25"/>
      <c r="L158" s="25"/>
      <c r="M158" s="25"/>
      <c r="N158" s="25"/>
      <c r="O158" s="25"/>
      <c r="P158" s="25"/>
      <c r="Q158" s="25"/>
      <c r="R158" s="25"/>
      <c r="S158" s="25"/>
      <c r="T158" s="25"/>
      <c r="U158" s="25"/>
      <c r="V158" s="59" t="s">
        <v>123</v>
      </c>
      <c r="W158" s="25"/>
      <c r="X158" s="5"/>
    </row>
    <row r="159" spans="1:25" ht="15.6" x14ac:dyDescent="0.3">
      <c r="A159" s="24"/>
      <c r="B159" s="25" t="s">
        <v>49</v>
      </c>
      <c r="C159" s="163"/>
      <c r="D159" s="163"/>
      <c r="E159" s="163"/>
      <c r="F159" s="163"/>
      <c r="G159" s="163"/>
      <c r="H159" s="163"/>
      <c r="I159" s="163"/>
      <c r="J159" s="163"/>
      <c r="K159" s="163"/>
      <c r="L159" s="163"/>
      <c r="M159" s="163"/>
      <c r="N159" s="163"/>
      <c r="O159" s="163"/>
      <c r="P159" s="163"/>
      <c r="Q159" s="163"/>
      <c r="R159" s="163"/>
      <c r="S159" s="163"/>
      <c r="T159" s="163"/>
      <c r="U159" s="163"/>
      <c r="V159" s="59" t="s">
        <v>123</v>
      </c>
      <c r="W159" s="25"/>
      <c r="X159" s="5"/>
    </row>
    <row r="160" spans="1:25" ht="15.6" x14ac:dyDescent="0.3">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t="s">
        <v>51</v>
      </c>
      <c r="C161" s="25"/>
      <c r="D161" s="25"/>
      <c r="E161" s="25"/>
      <c r="F161" s="25"/>
      <c r="G161" s="25"/>
      <c r="H161" s="25"/>
      <c r="I161" s="25"/>
      <c r="J161" s="25"/>
      <c r="K161" s="25"/>
      <c r="L161" s="25"/>
      <c r="M161" s="25"/>
      <c r="N161" s="25"/>
      <c r="O161" s="25"/>
      <c r="P161" s="25"/>
      <c r="Q161" s="25"/>
      <c r="R161" s="25"/>
      <c r="S161" s="25"/>
      <c r="T161" s="25"/>
      <c r="U161" s="25"/>
      <c r="V161" s="59" t="s">
        <v>123</v>
      </c>
      <c r="W161" s="25"/>
      <c r="X161" s="5"/>
    </row>
    <row r="162" spans="1:24" ht="15.6" x14ac:dyDescent="0.3">
      <c r="A162" s="24"/>
      <c r="B162" s="25"/>
      <c r="C162" s="25"/>
      <c r="D162" s="25"/>
      <c r="E162" s="25"/>
      <c r="F162" s="25"/>
      <c r="G162" s="25"/>
      <c r="H162" s="25"/>
      <c r="I162" s="25"/>
      <c r="J162" s="25"/>
      <c r="K162" s="25"/>
      <c r="L162" s="25"/>
      <c r="M162" s="25"/>
      <c r="N162" s="25"/>
      <c r="O162" s="25"/>
      <c r="P162" s="25"/>
      <c r="Q162" s="25"/>
      <c r="R162" s="25"/>
      <c r="S162" s="25"/>
      <c r="T162" s="25"/>
      <c r="U162" s="25"/>
      <c r="V162" s="61"/>
      <c r="W162" s="25"/>
      <c r="X162" s="5"/>
    </row>
    <row r="163" spans="1:24" ht="15.6" x14ac:dyDescent="0.3">
      <c r="A163" s="6"/>
      <c r="B163" s="119" t="s">
        <v>52</v>
      </c>
      <c r="C163" s="8"/>
      <c r="D163" s="8"/>
      <c r="E163" s="8"/>
      <c r="F163" s="8"/>
      <c r="G163" s="8"/>
      <c r="H163" s="8"/>
      <c r="I163" s="8"/>
      <c r="J163" s="8"/>
      <c r="K163" s="8"/>
      <c r="L163" s="8"/>
      <c r="M163" s="8"/>
      <c r="N163" s="8"/>
      <c r="O163" s="8"/>
      <c r="P163" s="8"/>
      <c r="Q163" s="8"/>
      <c r="R163" s="8"/>
      <c r="S163" s="8"/>
      <c r="T163" s="8"/>
      <c r="U163" s="8"/>
      <c r="V163" s="63"/>
      <c r="W163" s="8"/>
      <c r="X163" s="5"/>
    </row>
    <row r="164" spans="1:24" ht="15.6" x14ac:dyDescent="0.3">
      <c r="A164" s="24"/>
      <c r="B164" s="25" t="s">
        <v>53</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4" ht="15.6" x14ac:dyDescent="0.3">
      <c r="A165" s="24"/>
      <c r="B165" s="25" t="s">
        <v>54</v>
      </c>
      <c r="C165" s="25"/>
      <c r="D165" s="25"/>
      <c r="E165" s="25"/>
      <c r="F165" s="25"/>
      <c r="G165" s="25"/>
      <c r="H165" s="25"/>
      <c r="I165" s="25"/>
      <c r="J165" s="25"/>
      <c r="K165" s="25"/>
      <c r="L165" s="25"/>
      <c r="M165" s="25"/>
      <c r="N165" s="25"/>
      <c r="O165" s="25"/>
      <c r="P165" s="25"/>
      <c r="Q165" s="25"/>
      <c r="R165" s="25"/>
      <c r="S165" s="25"/>
      <c r="T165" s="25"/>
      <c r="U165" s="25"/>
      <c r="V165" s="53">
        <f>-V114</f>
        <v>234</v>
      </c>
      <c r="W165" s="25"/>
      <c r="X165" s="5"/>
    </row>
    <row r="166" spans="1:24" ht="15.6" x14ac:dyDescent="0.3">
      <c r="A166" s="24"/>
      <c r="B166" s="25" t="s">
        <v>55</v>
      </c>
      <c r="C166" s="25"/>
      <c r="D166" s="25"/>
      <c r="E166" s="25"/>
      <c r="F166" s="25"/>
      <c r="G166" s="25"/>
      <c r="H166" s="25"/>
      <c r="I166" s="25"/>
      <c r="J166" s="25"/>
      <c r="K166" s="25"/>
      <c r="L166" s="25"/>
      <c r="M166" s="25"/>
      <c r="N166" s="25"/>
      <c r="O166" s="25"/>
      <c r="P166" s="25"/>
      <c r="Q166" s="25"/>
      <c r="R166" s="25"/>
      <c r="S166" s="25"/>
      <c r="T166" s="25"/>
      <c r="U166" s="25"/>
      <c r="V166" s="53">
        <f>V165+V164</f>
        <v>234</v>
      </c>
      <c r="W166" s="25"/>
      <c r="X166" s="5"/>
    </row>
    <row r="167" spans="1:24" ht="15.6" x14ac:dyDescent="0.3">
      <c r="A167" s="24"/>
      <c r="B167" s="25" t="s">
        <v>310</v>
      </c>
      <c r="C167" s="25"/>
      <c r="D167" s="25"/>
      <c r="E167" s="25"/>
      <c r="F167" s="25"/>
      <c r="G167" s="25"/>
      <c r="H167" s="25"/>
      <c r="I167" s="25"/>
      <c r="J167" s="25"/>
      <c r="K167" s="25"/>
      <c r="L167" s="25"/>
      <c r="M167" s="25"/>
      <c r="N167" s="25"/>
      <c r="O167" s="25"/>
      <c r="P167" s="25"/>
      <c r="Q167" s="25"/>
      <c r="R167" s="25"/>
      <c r="S167" s="25"/>
      <c r="T167" s="25"/>
      <c r="U167" s="25"/>
      <c r="V167" s="53">
        <f>V114</f>
        <v>-234</v>
      </c>
      <c r="W167" s="25"/>
      <c r="X167" s="5"/>
    </row>
    <row r="168" spans="1:24" ht="15.6" x14ac:dyDescent="0.3">
      <c r="A168" s="24"/>
      <c r="B168" s="25" t="s">
        <v>56</v>
      </c>
      <c r="C168" s="25"/>
      <c r="D168" s="25"/>
      <c r="E168" s="25"/>
      <c r="F168" s="25"/>
      <c r="G168" s="25"/>
      <c r="H168" s="25"/>
      <c r="I168" s="25"/>
      <c r="J168" s="25"/>
      <c r="K168" s="25"/>
      <c r="L168" s="25"/>
      <c r="M168" s="25"/>
      <c r="N168" s="25"/>
      <c r="O168" s="25"/>
      <c r="P168" s="25"/>
      <c r="Q168" s="25"/>
      <c r="R168" s="25"/>
      <c r="S168" s="25"/>
      <c r="T168" s="25"/>
      <c r="U168" s="25"/>
      <c r="V168" s="53">
        <f>V166+V167</f>
        <v>0</v>
      </c>
      <c r="W168" s="25"/>
      <c r="X168" s="5"/>
    </row>
    <row r="169" spans="1:24" ht="15.6" x14ac:dyDescent="0.3">
      <c r="A169" s="24"/>
      <c r="B169" s="25" t="s">
        <v>282</v>
      </c>
      <c r="C169" s="25"/>
      <c r="D169" s="25"/>
      <c r="E169" s="25"/>
      <c r="F169" s="25"/>
      <c r="G169" s="25"/>
      <c r="H169" s="25"/>
      <c r="I169" s="25"/>
      <c r="J169" s="25"/>
      <c r="K169" s="25"/>
      <c r="L169" s="25"/>
      <c r="M169" s="25"/>
      <c r="N169" s="25"/>
      <c r="O169" s="25"/>
      <c r="P169" s="25"/>
      <c r="Q169" s="25"/>
      <c r="R169" s="25"/>
      <c r="S169" s="25"/>
      <c r="T169" s="25"/>
      <c r="U169" s="25"/>
      <c r="V169" s="53">
        <f>-V100</f>
        <v>88</v>
      </c>
      <c r="W169" s="25"/>
      <c r="X169" s="5"/>
    </row>
    <row r="170" spans="1:24" ht="16.2" thickBot="1" x14ac:dyDescent="0.35">
      <c r="A170" s="24"/>
      <c r="B170" s="25"/>
      <c r="C170" s="25"/>
      <c r="D170" s="25"/>
      <c r="E170" s="25"/>
      <c r="F170" s="25"/>
      <c r="G170" s="25"/>
      <c r="H170" s="25"/>
      <c r="I170" s="25"/>
      <c r="J170" s="25"/>
      <c r="K170" s="25"/>
      <c r="L170" s="25"/>
      <c r="M170" s="25"/>
      <c r="N170" s="25"/>
      <c r="O170" s="25"/>
      <c r="P170" s="25"/>
      <c r="Q170" s="25"/>
      <c r="R170" s="25"/>
      <c r="S170" s="25"/>
      <c r="T170" s="25"/>
      <c r="U170" s="25"/>
      <c r="V170" s="61"/>
      <c r="W170" s="25"/>
      <c r="X170" s="5"/>
    </row>
    <row r="171" spans="1:24" ht="15.6" x14ac:dyDescent="0.3">
      <c r="A171" s="2"/>
      <c r="B171" s="4"/>
      <c r="C171" s="4"/>
      <c r="D171" s="4"/>
      <c r="E171" s="4"/>
      <c r="F171" s="4"/>
      <c r="G171" s="4"/>
      <c r="H171" s="4"/>
      <c r="I171" s="4"/>
      <c r="J171" s="4"/>
      <c r="K171" s="4"/>
      <c r="L171" s="4"/>
      <c r="M171" s="4"/>
      <c r="N171" s="4"/>
      <c r="O171" s="4"/>
      <c r="P171" s="4"/>
      <c r="Q171" s="4"/>
      <c r="R171" s="4"/>
      <c r="S171" s="4"/>
      <c r="T171" s="4"/>
      <c r="U171" s="4"/>
      <c r="V171" s="50"/>
      <c r="W171" s="4"/>
      <c r="X171" s="5"/>
    </row>
    <row r="172" spans="1:24" ht="15.6" x14ac:dyDescent="0.3">
      <c r="A172" s="6"/>
      <c r="B172" s="119" t="s">
        <v>57</v>
      </c>
      <c r="C172" s="8"/>
      <c r="D172" s="8"/>
      <c r="E172" s="8"/>
      <c r="F172" s="8"/>
      <c r="G172" s="8"/>
      <c r="H172" s="8"/>
      <c r="I172" s="8"/>
      <c r="J172" s="8"/>
      <c r="K172" s="8"/>
      <c r="L172" s="8"/>
      <c r="M172" s="8"/>
      <c r="N172" s="8"/>
      <c r="O172" s="8"/>
      <c r="P172" s="8"/>
      <c r="Q172" s="8"/>
      <c r="R172" s="8"/>
      <c r="S172" s="8"/>
      <c r="T172" s="8"/>
      <c r="U172" s="8"/>
      <c r="V172" s="52"/>
      <c r="W172" s="8"/>
      <c r="X172" s="5"/>
    </row>
    <row r="173" spans="1:24" ht="15.6" x14ac:dyDescent="0.3">
      <c r="A173" s="6"/>
      <c r="B173" s="21"/>
      <c r="C173" s="8"/>
      <c r="D173" s="8"/>
      <c r="E173" s="8"/>
      <c r="F173" s="8"/>
      <c r="G173" s="8"/>
      <c r="H173" s="8"/>
      <c r="I173" s="8"/>
      <c r="J173" s="8"/>
      <c r="K173" s="8"/>
      <c r="L173" s="8"/>
      <c r="M173" s="8"/>
      <c r="N173" s="8"/>
      <c r="O173" s="8"/>
      <c r="P173" s="8"/>
      <c r="Q173" s="8"/>
      <c r="R173" s="8"/>
      <c r="S173" s="8"/>
      <c r="T173" s="8"/>
      <c r="U173" s="8"/>
      <c r="V173" s="52"/>
      <c r="W173" s="8"/>
      <c r="X173" s="5"/>
    </row>
    <row r="174" spans="1:24" ht="15.6" x14ac:dyDescent="0.3">
      <c r="A174" s="24"/>
      <c r="B174" s="25" t="s">
        <v>58</v>
      </c>
      <c r="C174" s="25"/>
      <c r="D174" s="25"/>
      <c r="E174" s="25"/>
      <c r="F174" s="25"/>
      <c r="G174" s="25"/>
      <c r="H174" s="25"/>
      <c r="I174" s="25"/>
      <c r="J174" s="25"/>
      <c r="K174" s="25"/>
      <c r="L174" s="25"/>
      <c r="M174" s="25"/>
      <c r="N174" s="25"/>
      <c r="O174" s="25"/>
      <c r="P174" s="25"/>
      <c r="Q174" s="25"/>
      <c r="R174" s="25"/>
      <c r="S174" s="25"/>
      <c r="T174" s="25"/>
      <c r="U174" s="25"/>
      <c r="V174" s="53">
        <f>V72</f>
        <v>1039490</v>
      </c>
      <c r="W174" s="25"/>
      <c r="X174" s="5"/>
    </row>
    <row r="175" spans="1:24" ht="15.6" x14ac:dyDescent="0.3">
      <c r="A175" s="24"/>
      <c r="B175" s="25" t="s">
        <v>59</v>
      </c>
      <c r="C175" s="25"/>
      <c r="D175" s="25"/>
      <c r="E175" s="25"/>
      <c r="F175" s="25"/>
      <c r="G175" s="25"/>
      <c r="H175" s="25"/>
      <c r="I175" s="25"/>
      <c r="J175" s="25"/>
      <c r="K175" s="25"/>
      <c r="L175" s="25"/>
      <c r="M175" s="25"/>
      <c r="N175" s="25"/>
      <c r="O175" s="25"/>
      <c r="P175" s="25"/>
      <c r="Q175" s="25"/>
      <c r="R175" s="25"/>
      <c r="S175" s="25"/>
      <c r="T175" s="25"/>
      <c r="U175" s="25"/>
      <c r="V175" s="53">
        <f>V85</f>
        <v>1039490</v>
      </c>
      <c r="W175" s="25"/>
      <c r="X175" s="5"/>
    </row>
    <row r="176" spans="1:24" ht="16.2" thickBot="1" x14ac:dyDescent="0.35">
      <c r="A176" s="24"/>
      <c r="B176" s="25"/>
      <c r="C176" s="25"/>
      <c r="D176" s="25"/>
      <c r="E176" s="25"/>
      <c r="F176" s="25"/>
      <c r="G176" s="25"/>
      <c r="H176" s="25"/>
      <c r="I176" s="25"/>
      <c r="J176" s="25"/>
      <c r="K176" s="25"/>
      <c r="L176" s="25"/>
      <c r="M176" s="25"/>
      <c r="N176" s="25"/>
      <c r="O176" s="25"/>
      <c r="P176" s="25"/>
      <c r="Q176" s="25"/>
      <c r="R176" s="25"/>
      <c r="S176" s="25"/>
      <c r="T176" s="25"/>
      <c r="U176" s="25"/>
      <c r="V176" s="61"/>
      <c r="W176" s="25"/>
      <c r="X176" s="5"/>
    </row>
    <row r="177" spans="1:24" ht="15.6" x14ac:dyDescent="0.3">
      <c r="A177" s="2"/>
      <c r="B177" s="4"/>
      <c r="C177" s="4"/>
      <c r="D177" s="4"/>
      <c r="E177" s="4"/>
      <c r="F177" s="4"/>
      <c r="G177" s="4"/>
      <c r="H177" s="4"/>
      <c r="I177" s="4"/>
      <c r="J177" s="4"/>
      <c r="K177" s="4"/>
      <c r="L177" s="4"/>
      <c r="M177" s="4"/>
      <c r="N177" s="4"/>
      <c r="O177" s="4"/>
      <c r="P177" s="4"/>
      <c r="Q177" s="4"/>
      <c r="R177" s="4"/>
      <c r="S177" s="4"/>
      <c r="T177" s="4"/>
      <c r="U177" s="4"/>
      <c r="V177" s="50"/>
      <c r="W177" s="4"/>
      <c r="X177" s="5"/>
    </row>
    <row r="178" spans="1:24" ht="15.6" x14ac:dyDescent="0.3">
      <c r="A178" s="6"/>
      <c r="B178" s="119" t="s">
        <v>60</v>
      </c>
      <c r="C178" s="117"/>
      <c r="D178" s="117"/>
      <c r="E178" s="117"/>
      <c r="F178" s="117"/>
      <c r="G178" s="117"/>
      <c r="H178" s="120"/>
      <c r="I178" s="120"/>
      <c r="J178" s="120"/>
      <c r="K178" s="120"/>
      <c r="L178" s="120"/>
      <c r="M178" s="120"/>
      <c r="N178" s="120"/>
      <c r="O178" s="120"/>
      <c r="P178" s="120"/>
      <c r="Q178" s="120"/>
      <c r="R178" s="120"/>
      <c r="S178" s="120" t="s">
        <v>103</v>
      </c>
      <c r="T178" s="120" t="s">
        <v>182</v>
      </c>
      <c r="U178" s="111"/>
      <c r="V178" s="121" t="s">
        <v>119</v>
      </c>
      <c r="W178" s="10"/>
      <c r="X178" s="5"/>
    </row>
    <row r="179" spans="1:24" ht="15.6" x14ac:dyDescent="0.3">
      <c r="A179" s="24"/>
      <c r="B179" s="25" t="s">
        <v>61</v>
      </c>
      <c r="C179" s="25"/>
      <c r="D179" s="25"/>
      <c r="E179" s="25"/>
      <c r="F179" s="25"/>
      <c r="G179" s="25"/>
      <c r="H179" s="25"/>
      <c r="I179" s="25"/>
      <c r="J179" s="25"/>
      <c r="K179" s="25"/>
      <c r="L179" s="25"/>
      <c r="M179" s="25"/>
      <c r="N179" s="25"/>
      <c r="O179" s="25"/>
      <c r="P179" s="25"/>
      <c r="Q179" s="25"/>
      <c r="R179" s="25"/>
      <c r="S179" s="53">
        <f>+V34*0.16</f>
        <v>240032.80000000002</v>
      </c>
      <c r="T179" s="40"/>
      <c r="U179" s="25"/>
      <c r="V179" s="53"/>
      <c r="W179" s="25"/>
      <c r="X179" s="5"/>
    </row>
    <row r="180" spans="1:24" ht="15.6" x14ac:dyDescent="0.3">
      <c r="A180" s="24"/>
      <c r="B180" s="25" t="s">
        <v>62</v>
      </c>
      <c r="C180" s="25"/>
      <c r="D180" s="25"/>
      <c r="E180" s="25"/>
      <c r="F180" s="25"/>
      <c r="G180" s="25"/>
      <c r="H180" s="25"/>
      <c r="I180" s="25"/>
      <c r="J180" s="25"/>
      <c r="K180" s="25"/>
      <c r="L180" s="25"/>
      <c r="M180" s="25"/>
      <c r="N180" s="25"/>
      <c r="O180" s="25"/>
      <c r="P180" s="25"/>
      <c r="Q180" s="25"/>
      <c r="R180" s="25"/>
      <c r="S180" s="53">
        <f>+'Jan 10'!S182</f>
        <v>46791</v>
      </c>
      <c r="T180" s="53">
        <f>+'Jan 10'!T182</f>
        <v>6271</v>
      </c>
      <c r="U180" s="25"/>
      <c r="V180" s="53">
        <f>S180+T180</f>
        <v>53062</v>
      </c>
      <c r="W180" s="25"/>
      <c r="X180" s="5"/>
    </row>
    <row r="181" spans="1:24" ht="15.6" x14ac:dyDescent="0.3">
      <c r="A181" s="24"/>
      <c r="B181" s="25" t="s">
        <v>63</v>
      </c>
      <c r="C181" s="25"/>
      <c r="D181" s="25"/>
      <c r="E181" s="25"/>
      <c r="F181" s="25"/>
      <c r="G181" s="25"/>
      <c r="H181" s="25"/>
      <c r="I181" s="25"/>
      <c r="J181" s="25"/>
      <c r="K181" s="25"/>
      <c r="L181" s="25"/>
      <c r="M181" s="25"/>
      <c r="N181" s="25"/>
      <c r="O181" s="25"/>
      <c r="P181" s="25"/>
      <c r="Q181" s="25"/>
      <c r="R181" s="25"/>
      <c r="S181" s="34">
        <f>424+78</f>
        <v>502</v>
      </c>
      <c r="T181" s="34">
        <v>6</v>
      </c>
      <c r="U181" s="25"/>
      <c r="V181" s="53">
        <f>S181+T181</f>
        <v>508</v>
      </c>
      <c r="W181" s="25"/>
      <c r="X181" s="5"/>
    </row>
    <row r="182" spans="1:24" ht="15.6" x14ac:dyDescent="0.3">
      <c r="A182" s="24"/>
      <c r="B182" s="25" t="s">
        <v>64</v>
      </c>
      <c r="C182" s="25"/>
      <c r="D182" s="25"/>
      <c r="E182" s="25"/>
      <c r="F182" s="25"/>
      <c r="G182" s="25"/>
      <c r="H182" s="25"/>
      <c r="I182" s="25"/>
      <c r="J182" s="25"/>
      <c r="K182" s="25"/>
      <c r="L182" s="25"/>
      <c r="M182" s="25"/>
      <c r="N182" s="25"/>
      <c r="O182" s="25"/>
      <c r="P182" s="25"/>
      <c r="Q182" s="25"/>
      <c r="R182" s="25"/>
      <c r="S182" s="53">
        <f>S180+S181</f>
        <v>47293</v>
      </c>
      <c r="T182" s="53">
        <f>T181+T180</f>
        <v>6277</v>
      </c>
      <c r="U182" s="25"/>
      <c r="V182" s="53">
        <f>S182+T182</f>
        <v>53570</v>
      </c>
      <c r="W182" s="25"/>
      <c r="X182" s="5"/>
    </row>
    <row r="183" spans="1:24" ht="15.6" x14ac:dyDescent="0.3">
      <c r="A183" s="24"/>
      <c r="B183" s="25" t="s">
        <v>65</v>
      </c>
      <c r="C183" s="25"/>
      <c r="D183" s="25"/>
      <c r="E183" s="25"/>
      <c r="F183" s="25"/>
      <c r="G183" s="25"/>
      <c r="H183" s="25"/>
      <c r="I183" s="25"/>
      <c r="J183" s="25"/>
      <c r="K183" s="25"/>
      <c r="L183" s="25"/>
      <c r="M183" s="25"/>
      <c r="N183" s="25"/>
      <c r="O183" s="25"/>
      <c r="P183" s="25"/>
      <c r="Q183" s="25"/>
      <c r="R183" s="25"/>
      <c r="S183" s="53">
        <f>S179-S182-T182</f>
        <v>186462.80000000002</v>
      </c>
      <c r="T183" s="40"/>
      <c r="U183" s="25"/>
      <c r="V183" s="53"/>
      <c r="W183" s="25"/>
      <c r="X183" s="5"/>
    </row>
    <row r="184" spans="1:24" ht="16.2" thickBot="1" x14ac:dyDescent="0.35">
      <c r="A184" s="24"/>
      <c r="B184" s="25"/>
      <c r="C184" s="25"/>
      <c r="D184" s="25"/>
      <c r="E184" s="25"/>
      <c r="F184" s="25"/>
      <c r="G184" s="25"/>
      <c r="H184" s="25"/>
      <c r="I184" s="25"/>
      <c r="J184" s="25"/>
      <c r="K184" s="25"/>
      <c r="L184" s="25"/>
      <c r="M184" s="25"/>
      <c r="N184" s="25"/>
      <c r="O184" s="25"/>
      <c r="P184" s="25"/>
      <c r="Q184" s="25"/>
      <c r="R184" s="25"/>
      <c r="S184" s="25"/>
      <c r="T184" s="25"/>
      <c r="U184" s="25"/>
      <c r="V184" s="61"/>
      <c r="W184" s="25"/>
      <c r="X184" s="5"/>
    </row>
    <row r="185" spans="1:24" ht="15.6" x14ac:dyDescent="0.3">
      <c r="A185" s="2"/>
      <c r="B185" s="4"/>
      <c r="C185" s="4"/>
      <c r="D185" s="4"/>
      <c r="E185" s="4"/>
      <c r="F185" s="4"/>
      <c r="G185" s="4"/>
      <c r="H185" s="4"/>
      <c r="I185" s="4"/>
      <c r="J185" s="4"/>
      <c r="K185" s="4"/>
      <c r="L185" s="4"/>
      <c r="M185" s="4"/>
      <c r="N185" s="4"/>
      <c r="O185" s="4"/>
      <c r="P185" s="4"/>
      <c r="Q185" s="4"/>
      <c r="R185" s="4"/>
      <c r="S185" s="4"/>
      <c r="T185" s="4"/>
      <c r="U185" s="4"/>
      <c r="V185" s="50"/>
      <c r="W185" s="4"/>
      <c r="X185" s="5"/>
    </row>
    <row r="186" spans="1:24" ht="15.6" x14ac:dyDescent="0.3">
      <c r="A186" s="6"/>
      <c r="B186" s="119" t="s">
        <v>66</v>
      </c>
      <c r="C186" s="8"/>
      <c r="D186" s="8"/>
      <c r="E186" s="8"/>
      <c r="F186" s="8"/>
      <c r="G186" s="8"/>
      <c r="H186" s="8"/>
      <c r="I186" s="8"/>
      <c r="J186" s="8"/>
      <c r="K186" s="8"/>
      <c r="L186" s="8"/>
      <c r="M186" s="8"/>
      <c r="N186" s="8"/>
      <c r="O186" s="8"/>
      <c r="P186" s="8"/>
      <c r="Q186" s="8"/>
      <c r="R186" s="8"/>
      <c r="S186" s="8"/>
      <c r="T186" s="8"/>
      <c r="U186" s="8"/>
      <c r="V186" s="65"/>
      <c r="W186" s="8"/>
      <c r="X186" s="5"/>
    </row>
    <row r="187" spans="1:24" ht="15.6" x14ac:dyDescent="0.3">
      <c r="A187" s="24"/>
      <c r="B187" s="25" t="s">
        <v>67</v>
      </c>
      <c r="C187" s="25"/>
      <c r="D187" s="25"/>
      <c r="E187" s="25"/>
      <c r="F187" s="25"/>
      <c r="G187" s="25"/>
      <c r="H187" s="25"/>
      <c r="I187" s="25"/>
      <c r="J187" s="25"/>
      <c r="K187" s="25"/>
      <c r="L187" s="25"/>
      <c r="M187" s="25"/>
      <c r="N187" s="25"/>
      <c r="O187" s="25"/>
      <c r="P187" s="25"/>
      <c r="Q187" s="25"/>
      <c r="R187" s="25"/>
      <c r="S187" s="25"/>
      <c r="T187" s="25"/>
      <c r="U187" s="25"/>
      <c r="V187" s="59">
        <f>(V101+V103+V104+V105+V106)/-(V107+V108)</f>
        <v>3.2407178217821784</v>
      </c>
      <c r="W187" s="25" t="s">
        <v>120</v>
      </c>
      <c r="X187" s="5"/>
    </row>
    <row r="188" spans="1:24" ht="15.6" x14ac:dyDescent="0.3">
      <c r="A188" s="24"/>
      <c r="B188" s="25" t="s">
        <v>68</v>
      </c>
      <c r="C188" s="25"/>
      <c r="D188" s="25"/>
      <c r="E188" s="25"/>
      <c r="F188" s="25"/>
      <c r="G188" s="25"/>
      <c r="H188" s="25"/>
      <c r="I188" s="25"/>
      <c r="J188" s="25"/>
      <c r="K188" s="25"/>
      <c r="L188" s="25"/>
      <c r="M188" s="25"/>
      <c r="N188" s="25"/>
      <c r="O188" s="25"/>
      <c r="P188" s="25"/>
      <c r="Q188" s="25"/>
      <c r="R188" s="25"/>
      <c r="S188" s="25"/>
      <c r="T188" s="25"/>
      <c r="U188" s="25"/>
      <c r="V188" s="66">
        <v>1.48</v>
      </c>
      <c r="W188" s="25" t="s">
        <v>120</v>
      </c>
      <c r="X188" s="5"/>
    </row>
    <row r="189" spans="1:24" ht="15.6" x14ac:dyDescent="0.3">
      <c r="A189" s="24"/>
      <c r="B189" s="25" t="s">
        <v>69</v>
      </c>
      <c r="C189" s="25"/>
      <c r="D189" s="25"/>
      <c r="E189" s="25"/>
      <c r="F189" s="25"/>
      <c r="G189" s="25"/>
      <c r="H189" s="25"/>
      <c r="I189" s="25"/>
      <c r="J189" s="25"/>
      <c r="K189" s="25"/>
      <c r="L189" s="25"/>
      <c r="M189" s="25"/>
      <c r="N189" s="25"/>
      <c r="O189" s="25"/>
      <c r="P189" s="25"/>
      <c r="Q189" s="25"/>
      <c r="R189" s="25"/>
      <c r="S189" s="25"/>
      <c r="T189" s="25"/>
      <c r="U189" s="25"/>
      <c r="V189" s="59">
        <f>(V101+V103+V104+V105+V106+V107+V108)/-(V109+V110)</f>
        <v>14.779591836734694</v>
      </c>
      <c r="W189" s="25" t="s">
        <v>120</v>
      </c>
      <c r="X189" s="5"/>
    </row>
    <row r="190" spans="1:24" ht="15.6" x14ac:dyDescent="0.3">
      <c r="A190" s="24"/>
      <c r="B190" s="25" t="s">
        <v>70</v>
      </c>
      <c r="C190" s="25"/>
      <c r="D190" s="25"/>
      <c r="E190" s="25"/>
      <c r="F190" s="25"/>
      <c r="G190" s="25"/>
      <c r="H190" s="25"/>
      <c r="I190" s="25"/>
      <c r="J190" s="25"/>
      <c r="K190" s="25"/>
      <c r="L190" s="25"/>
      <c r="M190" s="25"/>
      <c r="N190" s="25"/>
      <c r="O190" s="25"/>
      <c r="P190" s="25"/>
      <c r="Q190" s="25"/>
      <c r="R190" s="25"/>
      <c r="S190" s="25"/>
      <c r="T190" s="25"/>
      <c r="U190" s="25"/>
      <c r="V190" s="66">
        <v>4.63</v>
      </c>
      <c r="W190" s="25" t="s">
        <v>120</v>
      </c>
      <c r="X190" s="5"/>
    </row>
    <row r="191" spans="1:24" ht="15.6" x14ac:dyDescent="0.3">
      <c r="A191" s="24"/>
      <c r="B191" s="25" t="s">
        <v>204</v>
      </c>
      <c r="C191" s="25"/>
      <c r="D191" s="25"/>
      <c r="E191" s="25"/>
      <c r="F191" s="25"/>
      <c r="G191" s="25"/>
      <c r="H191" s="25"/>
      <c r="I191" s="25"/>
      <c r="J191" s="25"/>
      <c r="K191" s="25"/>
      <c r="L191" s="25"/>
      <c r="M191" s="25"/>
      <c r="N191" s="25"/>
      <c r="O191" s="25"/>
      <c r="P191" s="25"/>
      <c r="Q191" s="25"/>
      <c r="R191" s="25"/>
      <c r="S191" s="25"/>
      <c r="T191" s="25"/>
      <c r="U191" s="25"/>
      <c r="V191" s="59">
        <f>(V101+V103+V104+V105+V106+V107+V108+V109+V110)/-(V111+V112)</f>
        <v>13.558232931726907</v>
      </c>
      <c r="W191" s="25" t="s">
        <v>120</v>
      </c>
      <c r="X191" s="5"/>
    </row>
    <row r="192" spans="1:24" ht="15.6" x14ac:dyDescent="0.3">
      <c r="A192" s="24"/>
      <c r="B192" s="25" t="s">
        <v>205</v>
      </c>
      <c r="C192" s="25"/>
      <c r="D192" s="25"/>
      <c r="E192" s="25"/>
      <c r="F192" s="25"/>
      <c r="G192" s="25"/>
      <c r="H192" s="25"/>
      <c r="I192" s="25"/>
      <c r="J192" s="25"/>
      <c r="K192" s="25"/>
      <c r="L192" s="25"/>
      <c r="M192" s="25"/>
      <c r="N192" s="25"/>
      <c r="O192" s="25"/>
      <c r="P192" s="25"/>
      <c r="Q192" s="25"/>
      <c r="R192" s="25"/>
      <c r="S192" s="25"/>
      <c r="T192" s="25"/>
      <c r="U192" s="25"/>
      <c r="V192" s="66">
        <v>4.28</v>
      </c>
      <c r="W192" s="25" t="s">
        <v>120</v>
      </c>
      <c r="X192" s="5"/>
    </row>
    <row r="193" spans="1:24" ht="15.6" x14ac:dyDescent="0.3">
      <c r="A193" s="24"/>
      <c r="B193" s="25"/>
      <c r="C193" s="25"/>
      <c r="D193" s="25"/>
      <c r="E193" s="25"/>
      <c r="F193" s="25"/>
      <c r="G193" s="25"/>
      <c r="H193" s="25"/>
      <c r="I193" s="25"/>
      <c r="J193" s="25"/>
      <c r="K193" s="25"/>
      <c r="L193" s="25"/>
      <c r="M193" s="25"/>
      <c r="N193" s="25"/>
      <c r="O193" s="25"/>
      <c r="P193" s="25"/>
      <c r="Q193" s="25"/>
      <c r="R193" s="25"/>
      <c r="S193" s="25"/>
      <c r="T193" s="25"/>
      <c r="U193" s="25"/>
      <c r="V193" s="25"/>
      <c r="W193" s="25"/>
      <c r="X193" s="5"/>
    </row>
    <row r="194" spans="1:24" ht="15.6" x14ac:dyDescent="0.3">
      <c r="A194" s="24"/>
      <c r="B194" s="25"/>
      <c r="C194" s="25"/>
      <c r="D194" s="25"/>
      <c r="E194" s="25"/>
      <c r="F194" s="25"/>
      <c r="G194" s="25"/>
      <c r="H194" s="25"/>
      <c r="I194" s="25"/>
      <c r="J194" s="25"/>
      <c r="K194" s="25"/>
      <c r="L194" s="25"/>
      <c r="M194" s="25"/>
      <c r="N194" s="25"/>
      <c r="O194" s="25"/>
      <c r="P194" s="25"/>
      <c r="Q194" s="25"/>
      <c r="R194" s="25"/>
      <c r="S194" s="25"/>
      <c r="T194" s="25"/>
      <c r="U194" s="25"/>
      <c r="V194" s="25"/>
      <c r="W194" s="25"/>
      <c r="X194" s="5"/>
    </row>
    <row r="195" spans="1:24" ht="15.6" x14ac:dyDescent="0.3">
      <c r="A195" s="6"/>
      <c r="B195" s="8"/>
      <c r="C195" s="8"/>
      <c r="D195" s="8"/>
      <c r="E195" s="8"/>
      <c r="F195" s="8"/>
      <c r="G195" s="8"/>
      <c r="H195" s="8"/>
      <c r="I195" s="8"/>
      <c r="J195" s="8"/>
      <c r="K195" s="8"/>
      <c r="L195" s="8"/>
      <c r="M195" s="8"/>
      <c r="N195" s="8"/>
      <c r="O195" s="8"/>
      <c r="P195" s="8"/>
      <c r="Q195" s="8"/>
      <c r="R195" s="8"/>
      <c r="S195" s="8"/>
      <c r="T195" s="8"/>
      <c r="U195" s="8"/>
      <c r="V195" s="8"/>
      <c r="W195" s="8"/>
      <c r="X195" s="5"/>
    </row>
    <row r="196" spans="1:24" ht="18" thickBot="1" x14ac:dyDescent="0.35">
      <c r="A196" s="101"/>
      <c r="B196" s="102" t="str">
        <f>B136</f>
        <v>PM12 INVESTOR REPORT QUARTER ENDING APRIL 2010</v>
      </c>
      <c r="C196" s="165"/>
      <c r="D196" s="165"/>
      <c r="E196" s="165"/>
      <c r="F196" s="165"/>
      <c r="G196" s="165"/>
      <c r="H196" s="165"/>
      <c r="I196" s="165"/>
      <c r="J196" s="165"/>
      <c r="K196" s="165"/>
      <c r="L196" s="165"/>
      <c r="M196" s="165"/>
      <c r="N196" s="165"/>
      <c r="O196" s="165"/>
      <c r="P196" s="165"/>
      <c r="Q196" s="165"/>
      <c r="R196" s="165"/>
      <c r="S196" s="165"/>
      <c r="T196" s="165"/>
      <c r="U196" s="165"/>
      <c r="V196" s="165"/>
      <c r="W196" s="166"/>
      <c r="X196" s="5"/>
    </row>
    <row r="197" spans="1:24" ht="15.6" x14ac:dyDescent="0.3">
      <c r="A197" s="67"/>
      <c r="B197" s="60" t="s">
        <v>71</v>
      </c>
      <c r="C197" s="68"/>
      <c r="D197" s="68"/>
      <c r="E197" s="68"/>
      <c r="F197" s="68"/>
      <c r="G197" s="69"/>
      <c r="H197" s="69"/>
      <c r="I197" s="69"/>
      <c r="J197" s="69"/>
      <c r="K197" s="69"/>
      <c r="L197" s="69"/>
      <c r="M197" s="69"/>
      <c r="N197" s="69"/>
      <c r="O197" s="69"/>
      <c r="P197" s="69"/>
      <c r="Q197" s="69"/>
      <c r="R197" s="69"/>
      <c r="S197" s="69"/>
      <c r="T197" s="70">
        <v>40298</v>
      </c>
      <c r="U197" s="4"/>
      <c r="V197" s="4"/>
      <c r="W197" s="4"/>
      <c r="X197" s="5"/>
    </row>
    <row r="198" spans="1:24" ht="15.6" x14ac:dyDescent="0.3">
      <c r="A198" s="71"/>
      <c r="B198" s="72"/>
      <c r="C198" s="73"/>
      <c r="D198" s="73"/>
      <c r="E198" s="73"/>
      <c r="F198" s="73"/>
      <c r="G198" s="74"/>
      <c r="H198" s="74"/>
      <c r="I198" s="74"/>
      <c r="J198" s="74"/>
      <c r="K198" s="74"/>
      <c r="L198" s="74"/>
      <c r="M198" s="74"/>
      <c r="N198" s="74"/>
      <c r="O198" s="74"/>
      <c r="P198" s="74"/>
      <c r="Q198" s="74"/>
      <c r="R198" s="74"/>
      <c r="S198" s="74"/>
      <c r="T198" s="74"/>
      <c r="U198" s="8"/>
      <c r="V198" s="8"/>
      <c r="W198" s="8"/>
      <c r="X198" s="5"/>
    </row>
    <row r="199" spans="1:24" ht="15.6" x14ac:dyDescent="0.3">
      <c r="A199" s="75"/>
      <c r="B199" s="76" t="s">
        <v>72</v>
      </c>
      <c r="C199" s="77"/>
      <c r="D199" s="77"/>
      <c r="E199" s="77"/>
      <c r="F199" s="77"/>
      <c r="G199" s="64"/>
      <c r="H199" s="64"/>
      <c r="I199" s="64"/>
      <c r="J199" s="64"/>
      <c r="K199" s="64"/>
      <c r="L199" s="64"/>
      <c r="M199" s="64"/>
      <c r="N199" s="64"/>
      <c r="O199" s="64"/>
      <c r="P199" s="64"/>
      <c r="Q199" s="64"/>
      <c r="R199" s="64"/>
      <c r="S199" s="64"/>
      <c r="T199" s="78">
        <v>5.2060000000000002E-2</v>
      </c>
      <c r="U199" s="25"/>
      <c r="V199" s="25"/>
      <c r="W199" s="25"/>
      <c r="X199" s="5"/>
    </row>
    <row r="200" spans="1:24" ht="15.6" x14ac:dyDescent="0.3">
      <c r="A200" s="75"/>
      <c r="B200" s="76" t="s">
        <v>156</v>
      </c>
      <c r="C200" s="77"/>
      <c r="D200" s="77"/>
      <c r="E200" s="77"/>
      <c r="F200" s="77"/>
      <c r="G200" s="64"/>
      <c r="H200" s="64"/>
      <c r="I200" s="64"/>
      <c r="J200" s="64"/>
      <c r="K200" s="64"/>
      <c r="L200" s="64"/>
      <c r="M200" s="64"/>
      <c r="N200" s="64"/>
      <c r="O200" s="64"/>
      <c r="P200" s="64"/>
      <c r="Q200" s="64"/>
      <c r="R200" s="64"/>
      <c r="S200" s="64"/>
      <c r="T200" s="39">
        <f>'Oct 06'!T197</f>
        <v>4.8538814772447772E-2</v>
      </c>
      <c r="U200" s="25"/>
      <c r="V200" s="25"/>
      <c r="W200" s="25"/>
      <c r="X200" s="5"/>
    </row>
    <row r="201" spans="1:24" ht="15.6" x14ac:dyDescent="0.3">
      <c r="A201" s="75"/>
      <c r="B201" s="76" t="s">
        <v>73</v>
      </c>
      <c r="C201" s="77"/>
      <c r="D201" s="77"/>
      <c r="E201" s="77"/>
      <c r="F201" s="77"/>
      <c r="G201" s="64"/>
      <c r="H201" s="64"/>
      <c r="I201" s="64"/>
      <c r="J201" s="64"/>
      <c r="K201" s="64"/>
      <c r="L201" s="64"/>
      <c r="M201" s="64"/>
      <c r="N201" s="64"/>
      <c r="O201" s="64"/>
      <c r="P201" s="64"/>
      <c r="Q201" s="64"/>
      <c r="R201" s="64"/>
      <c r="S201" s="64"/>
      <c r="T201" s="78">
        <f>T199-T200</f>
        <v>3.5211852275522301E-3</v>
      </c>
      <c r="U201" s="25"/>
      <c r="V201" s="25"/>
      <c r="W201" s="25"/>
      <c r="X201" s="5"/>
    </row>
    <row r="202" spans="1:24" ht="15.6" x14ac:dyDescent="0.3">
      <c r="A202" s="75"/>
      <c r="B202" s="76" t="s">
        <v>74</v>
      </c>
      <c r="C202" s="77"/>
      <c r="D202" s="77"/>
      <c r="E202" s="77"/>
      <c r="F202" s="77"/>
      <c r="G202" s="64"/>
      <c r="H202" s="64"/>
      <c r="I202" s="64"/>
      <c r="J202" s="64"/>
      <c r="K202" s="64"/>
      <c r="L202" s="64"/>
      <c r="M202" s="64"/>
      <c r="N202" s="64"/>
      <c r="O202" s="64"/>
      <c r="P202" s="64"/>
      <c r="Q202" s="64"/>
      <c r="R202" s="64"/>
      <c r="S202" s="64"/>
      <c r="T202" s="78">
        <v>2.6630000000000001E-2</v>
      </c>
      <c r="U202" s="25"/>
      <c r="V202" s="25"/>
      <c r="W202" s="25"/>
      <c r="X202" s="5"/>
    </row>
    <row r="203" spans="1:24" ht="15.6" x14ac:dyDescent="0.3">
      <c r="A203" s="75"/>
      <c r="B203" s="76" t="s">
        <v>225</v>
      </c>
      <c r="C203" s="77"/>
      <c r="D203" s="77"/>
      <c r="E203" s="77"/>
      <c r="F203" s="77"/>
      <c r="G203" s="64"/>
      <c r="H203" s="64"/>
      <c r="I203" s="64"/>
      <c r="J203" s="64"/>
      <c r="K203" s="64"/>
      <c r="L203" s="64"/>
      <c r="M203" s="64"/>
      <c r="N203" s="64"/>
      <c r="O203" s="64"/>
      <c r="P203" s="64"/>
      <c r="Q203" s="64"/>
      <c r="R203" s="64"/>
      <c r="S203" s="64"/>
      <c r="T203" s="78">
        <f>V43</f>
        <v>8.1654205896572966E-3</v>
      </c>
      <c r="U203" s="25"/>
      <c r="V203" s="25"/>
      <c r="W203" s="25"/>
      <c r="X203" s="5"/>
    </row>
    <row r="204" spans="1:24" ht="15.6" x14ac:dyDescent="0.3">
      <c r="A204" s="75"/>
      <c r="B204" s="76" t="s">
        <v>75</v>
      </c>
      <c r="C204" s="77"/>
      <c r="D204" s="77"/>
      <c r="E204" s="77"/>
      <c r="F204" s="77"/>
      <c r="G204" s="64"/>
      <c r="H204" s="64"/>
      <c r="I204" s="64"/>
      <c r="J204" s="64"/>
      <c r="K204" s="64"/>
      <c r="L204" s="64"/>
      <c r="M204" s="64"/>
      <c r="N204" s="64"/>
      <c r="O204" s="64"/>
      <c r="P204" s="64"/>
      <c r="Q204" s="64"/>
      <c r="R204" s="64"/>
      <c r="S204" s="64"/>
      <c r="T204" s="78">
        <f>T202-T203</f>
        <v>1.8464579410342706E-2</v>
      </c>
      <c r="U204" s="25"/>
      <c r="V204" s="25"/>
      <c r="W204" s="25"/>
      <c r="X204" s="5"/>
    </row>
    <row r="205" spans="1:24" ht="15.6" x14ac:dyDescent="0.3">
      <c r="A205" s="75"/>
      <c r="B205" s="76" t="s">
        <v>271</v>
      </c>
      <c r="C205" s="77"/>
      <c r="D205" s="77"/>
      <c r="E205" s="77"/>
      <c r="F205" s="77"/>
      <c r="G205" s="64"/>
      <c r="H205" s="64"/>
      <c r="I205" s="64"/>
      <c r="J205" s="64"/>
      <c r="K205" s="64"/>
      <c r="L205" s="64"/>
      <c r="M205" s="64"/>
      <c r="N205" s="64"/>
      <c r="O205" s="64"/>
      <c r="P205" s="64"/>
      <c r="Q205" s="64"/>
      <c r="R205" s="64"/>
      <c r="S205" s="64"/>
      <c r="T205" s="78">
        <f>+V101/N72</f>
        <v>7.429519767676006E-3</v>
      </c>
      <c r="U205" s="25"/>
      <c r="V205" s="25"/>
      <c r="W205" s="25"/>
      <c r="X205" s="5"/>
    </row>
    <row r="206" spans="1:24" ht="15.6" x14ac:dyDescent="0.3">
      <c r="A206" s="75"/>
      <c r="B206" s="76" t="s">
        <v>214</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215</v>
      </c>
      <c r="C207" s="77"/>
      <c r="D207" s="77"/>
      <c r="E207" s="77"/>
      <c r="F207" s="77"/>
      <c r="G207" s="64"/>
      <c r="H207" s="64"/>
      <c r="I207" s="64"/>
      <c r="J207" s="64"/>
      <c r="K207" s="64"/>
      <c r="L207" s="64"/>
      <c r="M207" s="64"/>
      <c r="N207" s="64"/>
      <c r="O207" s="64"/>
      <c r="P207" s="64"/>
      <c r="Q207" s="64"/>
      <c r="R207" s="64"/>
      <c r="S207" s="64"/>
      <c r="T207" s="129">
        <v>50710</v>
      </c>
      <c r="U207" s="25"/>
      <c r="V207" s="25"/>
      <c r="W207" s="25"/>
      <c r="X207" s="5"/>
    </row>
    <row r="208" spans="1:24" ht="15.6" x14ac:dyDescent="0.3">
      <c r="A208" s="75"/>
      <c r="B208" s="76" t="s">
        <v>216</v>
      </c>
      <c r="C208" s="77"/>
      <c r="D208" s="77"/>
      <c r="E208" s="77"/>
      <c r="F208" s="77"/>
      <c r="G208" s="64"/>
      <c r="H208" s="64"/>
      <c r="I208" s="64"/>
      <c r="J208" s="64"/>
      <c r="K208" s="64"/>
      <c r="L208" s="64"/>
      <c r="M208" s="64"/>
      <c r="N208" s="64"/>
      <c r="O208" s="64"/>
      <c r="P208" s="64"/>
      <c r="Q208" s="64"/>
      <c r="R208" s="64"/>
      <c r="S208" s="64"/>
      <c r="T208" s="129">
        <v>50710</v>
      </c>
      <c r="U208" s="25"/>
      <c r="V208" s="25"/>
      <c r="W208" s="25"/>
      <c r="X208" s="5"/>
    </row>
    <row r="209" spans="1:24" ht="15.6" x14ac:dyDescent="0.3">
      <c r="A209" s="75"/>
      <c r="B209" s="76" t="s">
        <v>76</v>
      </c>
      <c r="C209" s="77"/>
      <c r="D209" s="77"/>
      <c r="E209" s="77"/>
      <c r="F209" s="77"/>
      <c r="G209" s="64"/>
      <c r="H209" s="64"/>
      <c r="I209" s="64"/>
      <c r="J209" s="64"/>
      <c r="K209" s="64"/>
      <c r="L209" s="64"/>
      <c r="M209" s="64"/>
      <c r="N209" s="64"/>
      <c r="O209" s="64"/>
      <c r="P209" s="64"/>
      <c r="Q209" s="64"/>
      <c r="R209" s="64"/>
      <c r="S209" s="64"/>
      <c r="T209" s="133">
        <v>21.06</v>
      </c>
      <c r="U209" s="25" t="s">
        <v>115</v>
      </c>
      <c r="V209" s="25"/>
      <c r="W209" s="25"/>
      <c r="X209" s="5"/>
    </row>
    <row r="210" spans="1:24" ht="15.6" x14ac:dyDescent="0.3">
      <c r="A210" s="75"/>
      <c r="B210" s="76" t="s">
        <v>77</v>
      </c>
      <c r="C210" s="77"/>
      <c r="D210" s="77"/>
      <c r="E210" s="77"/>
      <c r="F210" s="77"/>
      <c r="G210" s="64"/>
      <c r="H210" s="64"/>
      <c r="I210" s="64"/>
      <c r="J210" s="64"/>
      <c r="K210" s="64"/>
      <c r="L210" s="64"/>
      <c r="M210" s="64"/>
      <c r="N210" s="64"/>
      <c r="O210" s="64"/>
      <c r="P210" s="64"/>
      <c r="Q210" s="64"/>
      <c r="R210" s="64"/>
      <c r="S210" s="64"/>
      <c r="T210" s="133">
        <v>17.38</v>
      </c>
      <c r="U210" s="25" t="s">
        <v>115</v>
      </c>
      <c r="V210" s="25"/>
      <c r="W210" s="25"/>
      <c r="X210" s="5"/>
    </row>
    <row r="211" spans="1:24" ht="15.6" x14ac:dyDescent="0.3">
      <c r="A211" s="75"/>
      <c r="B211" s="76" t="s">
        <v>78</v>
      </c>
      <c r="C211" s="77"/>
      <c r="D211" s="77"/>
      <c r="E211" s="77"/>
      <c r="F211" s="77"/>
      <c r="G211" s="64"/>
      <c r="H211" s="64"/>
      <c r="I211" s="64"/>
      <c r="J211" s="64"/>
      <c r="K211" s="64"/>
      <c r="L211" s="64"/>
      <c r="M211" s="64"/>
      <c r="N211" s="64"/>
      <c r="O211" s="64"/>
      <c r="P211" s="64"/>
      <c r="Q211" s="64"/>
      <c r="R211" s="64"/>
      <c r="S211" s="64"/>
      <c r="T211" s="78">
        <f>+P69/N69</f>
        <v>8.4974237651107461E-3</v>
      </c>
      <c r="U211" s="25"/>
      <c r="V211" s="25"/>
      <c r="W211" s="25"/>
      <c r="X211" s="5"/>
    </row>
    <row r="212" spans="1:24" ht="15.6" x14ac:dyDescent="0.3">
      <c r="A212" s="75"/>
      <c r="B212" s="76" t="s">
        <v>79</v>
      </c>
      <c r="C212" s="77"/>
      <c r="D212" s="77"/>
      <c r="E212" s="77"/>
      <c r="F212" s="77"/>
      <c r="G212" s="64"/>
      <c r="H212" s="64"/>
      <c r="I212" s="64"/>
      <c r="J212" s="64"/>
      <c r="K212" s="64"/>
      <c r="L212" s="64"/>
      <c r="M212" s="64"/>
      <c r="N212" s="64"/>
      <c r="O212" s="64"/>
      <c r="P212" s="64"/>
      <c r="Q212" s="64"/>
      <c r="R212" s="64"/>
      <c r="S212" s="64"/>
      <c r="T212" s="78">
        <v>0.1021</v>
      </c>
      <c r="U212" s="25"/>
      <c r="V212" s="25"/>
      <c r="W212" s="25"/>
      <c r="X212" s="5"/>
    </row>
    <row r="213" spans="1:24" ht="15.6" x14ac:dyDescent="0.3">
      <c r="A213" s="75"/>
      <c r="B213" s="76"/>
      <c r="C213" s="76"/>
      <c r="D213" s="76"/>
      <c r="E213" s="76"/>
      <c r="F213" s="76"/>
      <c r="G213" s="25"/>
      <c r="H213" s="25"/>
      <c r="I213" s="25"/>
      <c r="J213" s="25"/>
      <c r="K213" s="25"/>
      <c r="L213" s="25"/>
      <c r="M213" s="25"/>
      <c r="N213" s="25"/>
      <c r="O213" s="25"/>
      <c r="P213" s="25"/>
      <c r="Q213" s="25"/>
      <c r="R213" s="25"/>
      <c r="S213" s="25"/>
      <c r="T213" s="61"/>
      <c r="U213" s="25"/>
      <c r="V213" s="79"/>
      <c r="W213" s="25"/>
      <c r="X213" s="5"/>
    </row>
    <row r="214" spans="1:24" ht="15.6" x14ac:dyDescent="0.3">
      <c r="A214" s="80"/>
      <c r="B214" s="14" t="s">
        <v>80</v>
      </c>
      <c r="C214" s="81"/>
      <c r="D214" s="81"/>
      <c r="E214" s="81"/>
      <c r="F214" s="82"/>
      <c r="G214" s="81"/>
      <c r="H214" s="17"/>
      <c r="I214" s="17"/>
      <c r="J214" s="17"/>
      <c r="K214" s="17"/>
      <c r="L214" s="17"/>
      <c r="M214" s="17"/>
      <c r="N214" s="17"/>
      <c r="O214" s="17"/>
      <c r="P214" s="17"/>
      <c r="Q214" s="17"/>
      <c r="R214" s="17"/>
      <c r="S214" s="17" t="s">
        <v>104</v>
      </c>
      <c r="T214" s="83" t="s">
        <v>111</v>
      </c>
      <c r="U214" s="8"/>
      <c r="V214" s="8"/>
      <c r="W214" s="8"/>
      <c r="X214" s="5"/>
    </row>
    <row r="215" spans="1:24" ht="15.6" x14ac:dyDescent="0.3">
      <c r="A215" s="84"/>
      <c r="B215" s="76" t="s">
        <v>81</v>
      </c>
      <c r="C215" s="54"/>
      <c r="D215" s="54"/>
      <c r="E215" s="54"/>
      <c r="F215" s="25"/>
      <c r="G215" s="25"/>
      <c r="H215" s="30"/>
      <c r="I215" s="30"/>
      <c r="J215" s="30"/>
      <c r="K215" s="30"/>
      <c r="L215" s="30"/>
      <c r="M215" s="30"/>
      <c r="N215" s="30"/>
      <c r="O215" s="30"/>
      <c r="P215" s="30"/>
      <c r="Q215" s="30"/>
      <c r="R215" s="30"/>
      <c r="S215" s="30">
        <v>3</v>
      </c>
      <c r="T215" s="172">
        <v>1673</v>
      </c>
      <c r="U215" s="25"/>
      <c r="V215" s="79"/>
      <c r="W215" s="86"/>
      <c r="X215" s="5"/>
    </row>
    <row r="216" spans="1:24" ht="15.6" x14ac:dyDescent="0.3">
      <c r="A216" s="84"/>
      <c r="B216" s="76" t="s">
        <v>150</v>
      </c>
      <c r="C216" s="54"/>
      <c r="D216" s="54"/>
      <c r="E216" s="54"/>
      <c r="F216" s="25"/>
      <c r="G216" s="25"/>
      <c r="H216" s="30"/>
      <c r="I216" s="30"/>
      <c r="J216" s="30"/>
      <c r="K216" s="30"/>
      <c r="L216" s="30"/>
      <c r="M216" s="30"/>
      <c r="N216" s="30"/>
      <c r="O216" s="30"/>
      <c r="P216" s="30"/>
      <c r="Q216" s="30"/>
      <c r="R216" s="30"/>
      <c r="S216" s="152">
        <f>+R256</f>
        <v>157</v>
      </c>
      <c r="T216" s="85">
        <f>+T256</f>
        <v>26536</v>
      </c>
      <c r="U216" s="25"/>
      <c r="V216" s="79"/>
      <c r="W216" s="86"/>
      <c r="X216" s="5"/>
    </row>
    <row r="217" spans="1:24" ht="15.6" x14ac:dyDescent="0.3">
      <c r="A217" s="84"/>
      <c r="B217" s="76" t="s">
        <v>82</v>
      </c>
      <c r="C217" s="54"/>
      <c r="D217" s="54"/>
      <c r="E217" s="54"/>
      <c r="F217" s="25"/>
      <c r="G217" s="25"/>
      <c r="H217" s="30"/>
      <c r="I217" s="30"/>
      <c r="J217" s="30"/>
      <c r="K217" s="30"/>
      <c r="L217" s="30"/>
      <c r="M217" s="30"/>
      <c r="N217" s="30"/>
      <c r="O217" s="30"/>
      <c r="P217" s="30"/>
      <c r="Q217" s="30"/>
      <c r="R217" s="30"/>
      <c r="S217" s="152">
        <f>+R268</f>
        <v>0</v>
      </c>
      <c r="T217" s="85">
        <f>+T268</f>
        <v>0</v>
      </c>
      <c r="U217" s="25"/>
      <c r="V217" s="79"/>
      <c r="W217" s="86"/>
      <c r="X217" s="5"/>
    </row>
    <row r="218" spans="1:24" ht="15.6" x14ac:dyDescent="0.3">
      <c r="A218" s="84"/>
      <c r="B218" s="122" t="s">
        <v>83</v>
      </c>
      <c r="C218" s="54"/>
      <c r="D218" s="54"/>
      <c r="E218" s="54"/>
      <c r="F218" s="25"/>
      <c r="G218" s="25"/>
      <c r="H218" s="25"/>
      <c r="I218" s="25"/>
      <c r="J218" s="25"/>
      <c r="K218" s="25"/>
      <c r="L218" s="25"/>
      <c r="M218" s="25"/>
      <c r="N218" s="25"/>
      <c r="O218" s="25"/>
      <c r="P218" s="25"/>
      <c r="Q218" s="25"/>
      <c r="R218" s="25"/>
      <c r="S218" s="25"/>
      <c r="T218" s="85">
        <v>0</v>
      </c>
      <c r="U218" s="25"/>
      <c r="V218" s="79"/>
      <c r="W218" s="86"/>
      <c r="X218" s="5"/>
    </row>
    <row r="219" spans="1:24" ht="15.6" x14ac:dyDescent="0.3">
      <c r="A219" s="84"/>
      <c r="B219" s="122" t="s">
        <v>84</v>
      </c>
      <c r="C219" s="54"/>
      <c r="D219" s="54"/>
      <c r="E219" s="54"/>
      <c r="F219" s="25"/>
      <c r="G219" s="25"/>
      <c r="H219" s="25"/>
      <c r="I219" s="25"/>
      <c r="J219" s="25"/>
      <c r="K219" s="25"/>
      <c r="L219" s="25"/>
      <c r="M219" s="25"/>
      <c r="N219" s="25"/>
      <c r="O219" s="25"/>
      <c r="P219" s="25"/>
      <c r="Q219" s="25"/>
      <c r="R219" s="25"/>
      <c r="S219" s="25"/>
      <c r="T219" s="62" t="s">
        <v>112</v>
      </c>
      <c r="U219" s="25"/>
      <c r="V219" s="79"/>
      <c r="W219" s="86"/>
      <c r="X219" s="5"/>
    </row>
    <row r="220" spans="1:24" ht="15.6" x14ac:dyDescent="0.3">
      <c r="A220" s="87"/>
      <c r="B220" s="122" t="s">
        <v>85</v>
      </c>
      <c r="C220" s="76"/>
      <c r="D220" s="76"/>
      <c r="E220" s="76"/>
      <c r="F220" s="76"/>
      <c r="G220" s="25"/>
      <c r="H220" s="25"/>
      <c r="I220" s="25"/>
      <c r="J220" s="25"/>
      <c r="K220" s="25"/>
      <c r="L220" s="25"/>
      <c r="M220" s="25"/>
      <c r="N220" s="25"/>
      <c r="O220" s="25"/>
      <c r="P220" s="25"/>
      <c r="Q220" s="25"/>
      <c r="R220" s="25"/>
      <c r="S220" s="25"/>
      <c r="T220" s="85"/>
      <c r="U220" s="25"/>
      <c r="V220" s="79"/>
      <c r="W220" s="88"/>
      <c r="X220" s="5"/>
    </row>
    <row r="221" spans="1:24" ht="15.6" x14ac:dyDescent="0.3">
      <c r="A221" s="87"/>
      <c r="B221" s="131" t="s">
        <v>86</v>
      </c>
      <c r="C221" s="76"/>
      <c r="D221" s="76"/>
      <c r="E221" s="76"/>
      <c r="F221" s="76"/>
      <c r="G221" s="25"/>
      <c r="H221" s="25"/>
      <c r="I221" s="25"/>
      <c r="J221" s="25"/>
      <c r="K221" s="25"/>
      <c r="L221" s="25"/>
      <c r="M221" s="25"/>
      <c r="N221" s="25"/>
      <c r="O221" s="25"/>
      <c r="P221" s="25"/>
      <c r="Q221" s="25"/>
      <c r="R221" s="25"/>
      <c r="S221" s="30"/>
      <c r="T221" s="85">
        <f>+V165</f>
        <v>234</v>
      </c>
      <c r="U221" s="25"/>
      <c r="V221" s="79"/>
      <c r="W221" s="88"/>
      <c r="X221" s="5"/>
    </row>
    <row r="222" spans="1:24" ht="15.6" x14ac:dyDescent="0.3">
      <c r="A222" s="84"/>
      <c r="B222" s="76" t="s">
        <v>87</v>
      </c>
      <c r="C222" s="54"/>
      <c r="D222" s="54"/>
      <c r="E222" s="54"/>
      <c r="F222" s="54"/>
      <c r="G222" s="25"/>
      <c r="H222" s="25"/>
      <c r="I222" s="25"/>
      <c r="J222" s="25"/>
      <c r="K222" s="25"/>
      <c r="L222" s="25"/>
      <c r="M222" s="25"/>
      <c r="N222" s="25"/>
      <c r="O222" s="25"/>
      <c r="P222" s="25"/>
      <c r="Q222" s="25"/>
      <c r="R222" s="25"/>
      <c r="S222" s="30"/>
      <c r="T222" s="85">
        <f>'Jan 10'!T222+'April 10'!T221</f>
        <v>1634</v>
      </c>
      <c r="U222" s="25"/>
      <c r="V222" s="79"/>
      <c r="W222" s="88"/>
      <c r="X222" s="5"/>
    </row>
    <row r="223" spans="1:24" ht="15.6" x14ac:dyDescent="0.3">
      <c r="A223" s="87"/>
      <c r="B223" s="122" t="s">
        <v>292</v>
      </c>
      <c r="C223" s="76"/>
      <c r="D223" s="76"/>
      <c r="E223" s="76"/>
      <c r="F223" s="76"/>
      <c r="G223" s="25"/>
      <c r="H223" s="25"/>
      <c r="I223" s="25"/>
      <c r="J223" s="25"/>
      <c r="K223" s="25"/>
      <c r="L223" s="25"/>
      <c r="M223" s="25"/>
      <c r="N223" s="25"/>
      <c r="O223" s="25"/>
      <c r="P223" s="25"/>
      <c r="Q223" s="25"/>
      <c r="R223" s="25"/>
      <c r="S223" s="30"/>
      <c r="T223" s="85"/>
      <c r="U223" s="25"/>
      <c r="V223" s="79"/>
      <c r="W223" s="88"/>
      <c r="X223" s="5"/>
    </row>
    <row r="224" spans="1:24" ht="15.6" x14ac:dyDescent="0.3">
      <c r="A224" s="87"/>
      <c r="B224" s="76" t="s">
        <v>290</v>
      </c>
      <c r="C224" s="76"/>
      <c r="D224" s="76"/>
      <c r="E224" s="76"/>
      <c r="F224" s="76"/>
      <c r="G224" s="25"/>
      <c r="H224" s="25"/>
      <c r="I224" s="25"/>
      <c r="J224" s="25"/>
      <c r="K224" s="25"/>
      <c r="L224" s="25"/>
      <c r="M224" s="25"/>
      <c r="N224" s="25"/>
      <c r="O224" s="25"/>
      <c r="P224" s="25"/>
      <c r="Q224" s="25"/>
      <c r="R224" s="25"/>
      <c r="S224" s="30">
        <v>0</v>
      </c>
      <c r="T224" s="172">
        <v>0</v>
      </c>
      <c r="U224" s="25"/>
      <c r="V224" s="79"/>
      <c r="W224" s="88"/>
      <c r="X224" s="5"/>
    </row>
    <row r="225" spans="1:25" ht="15.6" x14ac:dyDescent="0.3">
      <c r="A225" s="84"/>
      <c r="B225" s="76" t="s">
        <v>88</v>
      </c>
      <c r="C225" s="89"/>
      <c r="D225" s="89"/>
      <c r="E225" s="89"/>
      <c r="F225" s="90"/>
      <c r="G225" s="25"/>
      <c r="H225" s="25"/>
      <c r="I225" s="25"/>
      <c r="J225" s="25"/>
      <c r="K225" s="25"/>
      <c r="L225" s="25"/>
      <c r="M225" s="25"/>
      <c r="N225" s="25"/>
      <c r="O225" s="25"/>
      <c r="P225" s="25"/>
      <c r="Q225" s="25"/>
      <c r="R225" s="25"/>
      <c r="S225" s="25"/>
      <c r="T225" s="173">
        <v>0</v>
      </c>
      <c r="U225" s="25"/>
      <c r="V225" s="79"/>
      <c r="W225" s="88"/>
      <c r="X225" s="5"/>
    </row>
    <row r="226" spans="1:25" ht="15.6" x14ac:dyDescent="0.3">
      <c r="A226" s="84"/>
      <c r="B226" s="76" t="s">
        <v>89</v>
      </c>
      <c r="C226" s="89"/>
      <c r="D226" s="89"/>
      <c r="E226" s="89"/>
      <c r="F226" s="90"/>
      <c r="G226" s="25"/>
      <c r="H226" s="25"/>
      <c r="I226" s="25"/>
      <c r="J226" s="25"/>
      <c r="K226" s="25"/>
      <c r="L226" s="25"/>
      <c r="M226" s="25"/>
      <c r="N226" s="25"/>
      <c r="O226" s="25"/>
      <c r="P226" s="25"/>
      <c r="Q226" s="25"/>
      <c r="R226" s="25"/>
      <c r="S226" s="25"/>
      <c r="T226" s="173">
        <v>0</v>
      </c>
      <c r="U226" s="25"/>
      <c r="V226" s="79"/>
      <c r="W226" s="88"/>
      <c r="X226" s="5"/>
    </row>
    <row r="227" spans="1:25" ht="15.6" x14ac:dyDescent="0.3">
      <c r="A227" s="84"/>
      <c r="B227" s="122" t="s">
        <v>223</v>
      </c>
      <c r="C227" s="89"/>
      <c r="D227" s="89"/>
      <c r="E227" s="89"/>
      <c r="F227" s="90"/>
      <c r="G227" s="25"/>
      <c r="H227" s="25"/>
      <c r="I227" s="25"/>
      <c r="J227" s="25"/>
      <c r="K227" s="25"/>
      <c r="L227" s="25"/>
      <c r="M227" s="25"/>
      <c r="N227" s="25"/>
      <c r="O227" s="25"/>
      <c r="P227" s="25"/>
      <c r="Q227" s="25"/>
      <c r="R227" s="25"/>
      <c r="S227" s="25"/>
      <c r="T227" s="174"/>
      <c r="U227" s="25"/>
      <c r="V227" s="79"/>
      <c r="W227" s="88"/>
      <c r="X227" s="5"/>
    </row>
    <row r="228" spans="1:25" ht="15.6" x14ac:dyDescent="0.3">
      <c r="A228" s="84"/>
      <c r="B228" s="76" t="s">
        <v>290</v>
      </c>
      <c r="C228" s="89"/>
      <c r="D228" s="89"/>
      <c r="E228" s="89"/>
      <c r="F228" s="90"/>
      <c r="G228" s="25"/>
      <c r="H228" s="25"/>
      <c r="I228" s="25"/>
      <c r="J228" s="25"/>
      <c r="K228" s="25"/>
      <c r="L228" s="25"/>
      <c r="M228" s="25"/>
      <c r="N228" s="25"/>
      <c r="O228" s="25"/>
      <c r="P228" s="25"/>
      <c r="Q228" s="25"/>
      <c r="R228" s="25"/>
      <c r="S228" s="30">
        <v>5</v>
      </c>
      <c r="T228" s="172">
        <v>833</v>
      </c>
      <c r="U228" s="25"/>
      <c r="V228" s="79"/>
      <c r="W228" s="88"/>
      <c r="X228" s="5"/>
    </row>
    <row r="229" spans="1:25" ht="15.6" x14ac:dyDescent="0.3">
      <c r="A229" s="84"/>
      <c r="B229" s="76" t="s">
        <v>224</v>
      </c>
      <c r="C229" s="89"/>
      <c r="D229" s="89"/>
      <c r="E229" s="89"/>
      <c r="F229" s="90"/>
      <c r="G229" s="25"/>
      <c r="H229" s="25"/>
      <c r="I229" s="25"/>
      <c r="J229" s="25"/>
      <c r="K229" s="25"/>
      <c r="L229" s="25"/>
      <c r="M229" s="25"/>
      <c r="N229" s="25"/>
      <c r="O229" s="25"/>
      <c r="P229" s="25"/>
      <c r="Q229" s="25"/>
      <c r="R229" s="25"/>
      <c r="S229" s="25"/>
      <c r="T229" s="173">
        <v>11.58</v>
      </c>
      <c r="U229" s="25"/>
      <c r="V229" s="79"/>
      <c r="W229" s="88"/>
      <c r="X229" s="5"/>
    </row>
    <row r="230" spans="1:25" ht="15.6" x14ac:dyDescent="0.3">
      <c r="A230" s="84"/>
      <c r="B230" s="76"/>
      <c r="C230" s="89"/>
      <c r="D230" s="89"/>
      <c r="E230" s="89"/>
      <c r="F230" s="90"/>
      <c r="G230" s="25"/>
      <c r="H230" s="25"/>
      <c r="I230" s="25"/>
      <c r="J230" s="25"/>
      <c r="K230" s="25"/>
      <c r="L230" s="25"/>
      <c r="M230" s="25"/>
      <c r="N230" s="25"/>
      <c r="O230" s="25"/>
      <c r="P230" s="25"/>
      <c r="Q230" s="25"/>
      <c r="R230" s="25"/>
      <c r="S230" s="25"/>
      <c r="T230" s="91"/>
      <c r="U230" s="25"/>
      <c r="V230" s="79"/>
      <c r="W230" s="88"/>
      <c r="X230" s="5"/>
    </row>
    <row r="231" spans="1:25" ht="15.6" x14ac:dyDescent="0.3">
      <c r="A231" s="84"/>
      <c r="B231" s="76"/>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7.399999999999999" x14ac:dyDescent="0.3">
      <c r="A232" s="84"/>
      <c r="B232" s="149" t="s">
        <v>174</v>
      </c>
      <c r="C232" s="89"/>
      <c r="D232" s="89"/>
      <c r="E232" s="89"/>
      <c r="F232" s="90"/>
      <c r="G232" s="25"/>
      <c r="H232" s="25"/>
      <c r="I232" s="25"/>
      <c r="J232" s="25"/>
      <c r="K232" s="25"/>
      <c r="L232" s="25"/>
      <c r="M232" s="25"/>
      <c r="N232" s="25"/>
      <c r="O232" s="25"/>
      <c r="P232" s="150" t="s">
        <v>173</v>
      </c>
      <c r="Q232" s="25"/>
      <c r="R232" s="25"/>
      <c r="S232" s="25"/>
      <c r="T232" s="91"/>
      <c r="U232" s="25"/>
      <c r="V232" s="79"/>
      <c r="W232" s="88"/>
      <c r="X232" s="5"/>
    </row>
    <row r="233" spans="1:25" ht="15.6" x14ac:dyDescent="0.3">
      <c r="A233" s="84"/>
      <c r="B233" s="76"/>
      <c r="C233" s="89"/>
      <c r="D233" s="89"/>
      <c r="E233" s="89"/>
      <c r="F233" s="90"/>
      <c r="G233" s="25"/>
      <c r="H233" s="25"/>
      <c r="I233" s="25"/>
      <c r="J233" s="25"/>
      <c r="K233" s="25"/>
      <c r="L233" s="25"/>
      <c r="M233" s="25"/>
      <c r="N233" s="25"/>
      <c r="O233" s="25"/>
      <c r="P233" s="25"/>
      <c r="Q233" s="25"/>
      <c r="R233" s="25"/>
      <c r="S233" s="25"/>
      <c r="T233" s="91"/>
      <c r="U233" s="25"/>
      <c r="V233" s="79"/>
      <c r="W233" s="88"/>
      <c r="X233" s="5"/>
    </row>
    <row r="234" spans="1:25" ht="15.6" x14ac:dyDescent="0.3">
      <c r="A234" s="6"/>
      <c r="B234" s="14" t="s">
        <v>167</v>
      </c>
      <c r="C234" s="81"/>
      <c r="D234" s="81"/>
      <c r="E234" s="81"/>
      <c r="F234" s="82"/>
      <c r="G234" s="81"/>
      <c r="H234" s="17"/>
      <c r="I234" s="17"/>
      <c r="J234" s="17"/>
      <c r="K234" s="17"/>
      <c r="L234" s="17"/>
      <c r="M234" s="17"/>
      <c r="N234" s="17"/>
      <c r="O234" s="17"/>
      <c r="P234" s="17"/>
      <c r="Q234" s="17"/>
      <c r="R234" s="83" t="s">
        <v>104</v>
      </c>
      <c r="S234" s="17" t="s">
        <v>105</v>
      </c>
      <c r="T234" s="83" t="s">
        <v>113</v>
      </c>
      <c r="U234" s="17" t="s">
        <v>105</v>
      </c>
      <c r="V234" s="8"/>
      <c r="W234" s="92"/>
      <c r="X234" s="5"/>
    </row>
    <row r="235" spans="1:25" ht="15.6" x14ac:dyDescent="0.3">
      <c r="A235" s="24"/>
      <c r="B235" s="54" t="s">
        <v>90</v>
      </c>
      <c r="C235" s="93"/>
      <c r="D235" s="93"/>
      <c r="E235" s="93"/>
      <c r="F235" s="25"/>
      <c r="G235" s="93"/>
      <c r="H235" s="93"/>
      <c r="I235" s="93"/>
      <c r="J235" s="93"/>
      <c r="K235" s="93"/>
      <c r="L235" s="93"/>
      <c r="M235" s="93"/>
      <c r="N235" s="93"/>
      <c r="O235" s="93"/>
      <c r="P235" s="93"/>
      <c r="Q235" s="93"/>
      <c r="R235" s="54">
        <v>7508</v>
      </c>
      <c r="S235" s="94">
        <f t="shared" ref="S235:S242" si="1">R235/$R$244</f>
        <v>0.99549191195969244</v>
      </c>
      <c r="T235" s="53">
        <v>1007309</v>
      </c>
      <c r="U235" s="132">
        <f t="shared" ref="U235:U242" si="2">T235/$T$244</f>
        <v>0.99442719017842862</v>
      </c>
      <c r="V235" s="79"/>
      <c r="W235" s="88"/>
      <c r="X235" s="5"/>
    </row>
    <row r="236" spans="1:25" ht="15.6" x14ac:dyDescent="0.3">
      <c r="A236" s="24"/>
      <c r="B236" s="54" t="s">
        <v>91</v>
      </c>
      <c r="C236" s="93"/>
      <c r="D236" s="93"/>
      <c r="E236" s="93"/>
      <c r="F236" s="25"/>
      <c r="G236" s="94"/>
      <c r="H236" s="93"/>
      <c r="I236" s="93"/>
      <c r="J236" s="93"/>
      <c r="K236" s="93"/>
      <c r="L236" s="93"/>
      <c r="M236" s="93"/>
      <c r="N236" s="93"/>
      <c r="O236" s="93"/>
      <c r="P236" s="93"/>
      <c r="Q236" s="93"/>
      <c r="R236" s="54">
        <v>19</v>
      </c>
      <c r="S236" s="94">
        <f t="shared" si="1"/>
        <v>2.5192256695836649E-3</v>
      </c>
      <c r="T236" s="53">
        <v>3141</v>
      </c>
      <c r="U236" s="132">
        <f t="shared" si="2"/>
        <v>3.1008318245448461E-3</v>
      </c>
      <c r="V236" s="79"/>
      <c r="W236" s="88"/>
      <c r="X236" s="5"/>
      <c r="Y236" s="109"/>
    </row>
    <row r="237" spans="1:25" ht="15.6" x14ac:dyDescent="0.3">
      <c r="A237" s="24"/>
      <c r="B237" s="54" t="s">
        <v>92</v>
      </c>
      <c r="C237" s="93"/>
      <c r="D237" s="93"/>
      <c r="E237" s="93"/>
      <c r="F237" s="25"/>
      <c r="G237" s="94"/>
      <c r="H237" s="93"/>
      <c r="I237" s="93"/>
      <c r="J237" s="93"/>
      <c r="K237" s="93"/>
      <c r="L237" s="93"/>
      <c r="M237" s="93"/>
      <c r="N237" s="93"/>
      <c r="O237" s="93"/>
      <c r="P237" s="93"/>
      <c r="Q237" s="93"/>
      <c r="R237" s="54">
        <v>12</v>
      </c>
      <c r="S237" s="94">
        <f t="shared" si="1"/>
        <v>1.5910898965791568E-3</v>
      </c>
      <c r="T237" s="53">
        <v>1627</v>
      </c>
      <c r="U237" s="132">
        <f t="shared" si="2"/>
        <v>1.6061933710711444E-3</v>
      </c>
      <c r="V237" s="79"/>
      <c r="W237" s="88"/>
      <c r="X237" s="5"/>
    </row>
    <row r="238" spans="1:25" ht="15.6" x14ac:dyDescent="0.3">
      <c r="A238" s="24"/>
      <c r="B238" s="54" t="s">
        <v>161</v>
      </c>
      <c r="C238" s="93"/>
      <c r="D238" s="93"/>
      <c r="E238" s="93"/>
      <c r="F238" s="25"/>
      <c r="G238" s="94"/>
      <c r="H238" s="93"/>
      <c r="I238" s="93"/>
      <c r="J238" s="93"/>
      <c r="K238" s="93"/>
      <c r="L238" s="93"/>
      <c r="M238" s="93"/>
      <c r="N238" s="93"/>
      <c r="O238" s="93"/>
      <c r="P238" s="93"/>
      <c r="Q238" s="93"/>
      <c r="R238" s="54">
        <v>1</v>
      </c>
      <c r="S238" s="94">
        <f t="shared" si="1"/>
        <v>1.3259082471492973E-4</v>
      </c>
      <c r="T238" s="53">
        <v>116</v>
      </c>
      <c r="U238" s="132">
        <f t="shared" si="2"/>
        <v>1.1451655257790581E-4</v>
      </c>
      <c r="V238" s="79"/>
      <c r="W238" s="88"/>
      <c r="X238" s="5"/>
      <c r="Y238" s="109"/>
    </row>
    <row r="239" spans="1:25" ht="15.6" x14ac:dyDescent="0.3">
      <c r="A239" s="24"/>
      <c r="B239" s="54" t="s">
        <v>162</v>
      </c>
      <c r="C239" s="93"/>
      <c r="D239" s="93"/>
      <c r="E239" s="93"/>
      <c r="F239" s="25"/>
      <c r="G239" s="94"/>
      <c r="H239" s="93"/>
      <c r="I239" s="93"/>
      <c r="J239" s="93"/>
      <c r="K239" s="93"/>
      <c r="L239" s="93"/>
      <c r="M239" s="93"/>
      <c r="N239" s="93"/>
      <c r="O239" s="93"/>
      <c r="P239" s="93"/>
      <c r="Q239" s="93"/>
      <c r="R239" s="54">
        <v>0</v>
      </c>
      <c r="S239" s="94">
        <f t="shared" si="1"/>
        <v>0</v>
      </c>
      <c r="T239" s="53">
        <v>0</v>
      </c>
      <c r="U239" s="132">
        <f t="shared" si="2"/>
        <v>0</v>
      </c>
      <c r="V239" s="79"/>
      <c r="W239" s="88"/>
      <c r="X239" s="5"/>
    </row>
    <row r="240" spans="1:25" ht="15.6" x14ac:dyDescent="0.3">
      <c r="A240" s="24"/>
      <c r="B240" s="54" t="s">
        <v>163</v>
      </c>
      <c r="C240" s="93"/>
      <c r="D240" s="93"/>
      <c r="E240" s="93"/>
      <c r="F240" s="25"/>
      <c r="G240" s="94"/>
      <c r="H240" s="93"/>
      <c r="I240" s="93"/>
      <c r="J240" s="93"/>
      <c r="K240" s="93"/>
      <c r="L240" s="93"/>
      <c r="M240" s="93"/>
      <c r="N240" s="93"/>
      <c r="O240" s="93"/>
      <c r="P240" s="93"/>
      <c r="Q240" s="93"/>
      <c r="R240" s="54">
        <v>0</v>
      </c>
      <c r="S240" s="94">
        <f t="shared" si="1"/>
        <v>0</v>
      </c>
      <c r="T240" s="53">
        <v>0</v>
      </c>
      <c r="U240" s="132">
        <f t="shared" si="2"/>
        <v>0</v>
      </c>
      <c r="V240" s="79"/>
      <c r="W240" s="88"/>
      <c r="X240" s="5"/>
      <c r="Y240" s="109"/>
    </row>
    <row r="241" spans="1:25" ht="15.6" x14ac:dyDescent="0.3">
      <c r="A241" s="24"/>
      <c r="B241" s="54" t="s">
        <v>164</v>
      </c>
      <c r="C241" s="93"/>
      <c r="D241" s="93"/>
      <c r="E241" s="93"/>
      <c r="F241" s="25"/>
      <c r="G241" s="94"/>
      <c r="H241" s="93"/>
      <c r="I241" s="93"/>
      <c r="J241" s="93"/>
      <c r="K241" s="93"/>
      <c r="L241" s="93"/>
      <c r="M241" s="93"/>
      <c r="N241" s="93"/>
      <c r="O241" s="93"/>
      <c r="P241" s="93"/>
      <c r="Q241" s="93"/>
      <c r="R241" s="54">
        <v>1</v>
      </c>
      <c r="S241" s="94">
        <f t="shared" si="1"/>
        <v>1.3259082471492973E-4</v>
      </c>
      <c r="T241" s="53">
        <v>71</v>
      </c>
      <c r="U241" s="132">
        <f t="shared" si="2"/>
        <v>7.0092027870959588E-5</v>
      </c>
      <c r="V241" s="79"/>
      <c r="W241" s="88"/>
      <c r="X241" s="5"/>
    </row>
    <row r="242" spans="1:25" ht="15.6" x14ac:dyDescent="0.3">
      <c r="A242" s="24"/>
      <c r="B242" s="54" t="s">
        <v>165</v>
      </c>
      <c r="C242" s="93"/>
      <c r="D242" s="93"/>
      <c r="E242" s="93"/>
      <c r="F242" s="25"/>
      <c r="G242" s="94"/>
      <c r="H242" s="93"/>
      <c r="I242" s="93"/>
      <c r="J242" s="93"/>
      <c r="K242" s="93"/>
      <c r="L242" s="93"/>
      <c r="M242" s="93"/>
      <c r="N242" s="93"/>
      <c r="O242" s="93"/>
      <c r="P242" s="93"/>
      <c r="Q242" s="93"/>
      <c r="R242" s="54">
        <v>1</v>
      </c>
      <c r="S242" s="94">
        <f t="shared" si="1"/>
        <v>1.3259082471492973E-4</v>
      </c>
      <c r="T242" s="53">
        <v>690</v>
      </c>
      <c r="U242" s="132">
        <f t="shared" si="2"/>
        <v>6.8117604550650863E-4</v>
      </c>
      <c r="V242" s="79"/>
      <c r="W242" s="88"/>
      <c r="X242" s="5"/>
      <c r="Y242" s="109"/>
    </row>
    <row r="243" spans="1:25" ht="15.6" x14ac:dyDescent="0.3">
      <c r="A243" s="24"/>
      <c r="B243" s="54"/>
      <c r="C243" s="93"/>
      <c r="D243" s="93"/>
      <c r="E243" s="93"/>
      <c r="F243" s="25"/>
      <c r="G243" s="94"/>
      <c r="H243" s="93"/>
      <c r="I243" s="93"/>
      <c r="J243" s="93"/>
      <c r="K243" s="93"/>
      <c r="L243" s="93"/>
      <c r="M243" s="93"/>
      <c r="N243" s="93"/>
      <c r="O243" s="93"/>
      <c r="P243" s="93"/>
      <c r="Q243" s="93"/>
      <c r="R243" s="54"/>
      <c r="S243" s="94"/>
      <c r="T243" s="53"/>
      <c r="U243" s="132"/>
      <c r="V243" s="79"/>
      <c r="W243" s="88"/>
      <c r="X243" s="5"/>
    </row>
    <row r="244" spans="1:25" ht="15.6" x14ac:dyDescent="0.3">
      <c r="A244" s="24"/>
      <c r="B244" s="25" t="s">
        <v>119</v>
      </c>
      <c r="C244" s="25"/>
      <c r="D244" s="25"/>
      <c r="E244" s="25"/>
      <c r="F244" s="25"/>
      <c r="G244" s="25"/>
      <c r="H244" s="95"/>
      <c r="I244" s="95"/>
      <c r="J244" s="95"/>
      <c r="K244" s="95"/>
      <c r="L244" s="95"/>
      <c r="M244" s="95"/>
      <c r="N244" s="95"/>
      <c r="O244" s="95"/>
      <c r="P244" s="95"/>
      <c r="Q244" s="95"/>
      <c r="R244" s="34">
        <f>SUM(R235:R243)</f>
        <v>7542</v>
      </c>
      <c r="S244" s="132">
        <f>SUM(S235:S243)</f>
        <v>1</v>
      </c>
      <c r="T244" s="53">
        <f>SUM(T235:T243)</f>
        <v>1012954</v>
      </c>
      <c r="U244" s="132">
        <f>SUM(U235:U243)</f>
        <v>1</v>
      </c>
      <c r="V244" s="25"/>
      <c r="W244" s="25"/>
      <c r="X244" s="5"/>
    </row>
    <row r="245" spans="1:25" ht="15.6" x14ac:dyDescent="0.3">
      <c r="A245" s="24"/>
      <c r="B245" s="25"/>
      <c r="C245" s="25"/>
      <c r="D245" s="25"/>
      <c r="E245" s="25"/>
      <c r="F245" s="25"/>
      <c r="G245" s="25"/>
      <c r="H245" s="95"/>
      <c r="I245" s="95"/>
      <c r="J245" s="95"/>
      <c r="K245" s="95"/>
      <c r="L245" s="95"/>
      <c r="M245" s="95"/>
      <c r="N245" s="95"/>
      <c r="O245" s="95"/>
      <c r="P245" s="95"/>
      <c r="Q245" s="95"/>
      <c r="R245" s="34"/>
      <c r="S245" s="132"/>
      <c r="T245" s="53"/>
      <c r="U245" s="132"/>
      <c r="V245" s="25"/>
      <c r="W245" s="25"/>
      <c r="X245" s="5"/>
    </row>
    <row r="246" spans="1:25" ht="15.6" x14ac:dyDescent="0.3">
      <c r="A246" s="141"/>
      <c r="B246" s="14" t="s">
        <v>283</v>
      </c>
      <c r="C246" s="81"/>
      <c r="D246" s="81"/>
      <c r="E246" s="81"/>
      <c r="F246" s="82"/>
      <c r="G246" s="81"/>
      <c r="H246" s="17"/>
      <c r="I246" s="17"/>
      <c r="J246" s="17"/>
      <c r="K246" s="17"/>
      <c r="L246" s="17"/>
      <c r="M246" s="17"/>
      <c r="N246" s="17"/>
      <c r="O246" s="17"/>
      <c r="P246" s="17"/>
      <c r="Q246" s="17"/>
      <c r="R246" s="83" t="s">
        <v>104</v>
      </c>
      <c r="S246" s="17" t="s">
        <v>105</v>
      </c>
      <c r="T246" s="83" t="s">
        <v>113</v>
      </c>
      <c r="U246" s="17" t="s">
        <v>105</v>
      </c>
      <c r="V246" s="139"/>
      <c r="W246" s="140"/>
      <c r="X246" s="5"/>
    </row>
    <row r="247" spans="1:25" ht="15.6" x14ac:dyDescent="0.3">
      <c r="A247" s="24"/>
      <c r="B247" s="54" t="s">
        <v>90</v>
      </c>
      <c r="C247" s="93"/>
      <c r="D247" s="93"/>
      <c r="E247" s="93"/>
      <c r="F247" s="25"/>
      <c r="G247" s="93"/>
      <c r="H247" s="93"/>
      <c r="I247" s="93"/>
      <c r="J247" s="93"/>
      <c r="K247" s="93"/>
      <c r="L247" s="93"/>
      <c r="M247" s="93"/>
      <c r="N247" s="93"/>
      <c r="O247" s="93"/>
      <c r="P247" s="93"/>
      <c r="Q247" s="93"/>
      <c r="R247" s="54">
        <v>83</v>
      </c>
      <c r="S247" s="94">
        <f t="shared" ref="S247:S254" si="3">R247/$R$256</f>
        <v>0.5286624203821656</v>
      </c>
      <c r="T247" s="53">
        <v>15135</v>
      </c>
      <c r="U247" s="132">
        <f t="shared" ref="U247:U254" si="4">T247/$T$256</f>
        <v>0.57035725052758512</v>
      </c>
      <c r="V247" s="25"/>
      <c r="W247" s="25"/>
      <c r="X247" s="5"/>
    </row>
    <row r="248" spans="1:25" ht="15.6" x14ac:dyDescent="0.3">
      <c r="A248" s="24"/>
      <c r="B248" s="54" t="s">
        <v>91</v>
      </c>
      <c r="C248" s="93"/>
      <c r="D248" s="93"/>
      <c r="E248" s="93"/>
      <c r="F248" s="25"/>
      <c r="G248" s="94"/>
      <c r="H248" s="93"/>
      <c r="I248" s="93"/>
      <c r="J248" s="93"/>
      <c r="K248" s="93"/>
      <c r="L248" s="93"/>
      <c r="M248" s="93"/>
      <c r="N248" s="93"/>
      <c r="O248" s="93"/>
      <c r="P248" s="93"/>
      <c r="Q248" s="93"/>
      <c r="R248" s="54">
        <v>6</v>
      </c>
      <c r="S248" s="94">
        <f t="shared" si="3"/>
        <v>3.8216560509554139E-2</v>
      </c>
      <c r="T248" s="53">
        <v>506</v>
      </c>
      <c r="U248" s="132">
        <f t="shared" si="4"/>
        <v>1.906843533313235E-2</v>
      </c>
      <c r="V248" s="25"/>
      <c r="W248" s="25"/>
      <c r="X248" s="5"/>
    </row>
    <row r="249" spans="1:25" ht="15.6" x14ac:dyDescent="0.3">
      <c r="A249" s="24"/>
      <c r="B249" s="54" t="s">
        <v>92</v>
      </c>
      <c r="C249" s="93"/>
      <c r="D249" s="93"/>
      <c r="E249" s="93"/>
      <c r="F249" s="25"/>
      <c r="G249" s="94"/>
      <c r="H249" s="93"/>
      <c r="I249" s="93"/>
      <c r="J249" s="93"/>
      <c r="K249" s="93"/>
      <c r="L249" s="93"/>
      <c r="M249" s="93"/>
      <c r="N249" s="93"/>
      <c r="O249" s="93"/>
      <c r="P249" s="93"/>
      <c r="Q249" s="93"/>
      <c r="R249" s="54">
        <v>12</v>
      </c>
      <c r="S249" s="94">
        <f t="shared" si="3"/>
        <v>7.6433121019108277E-2</v>
      </c>
      <c r="T249" s="53">
        <v>1633</v>
      </c>
      <c r="U249" s="132">
        <f t="shared" si="4"/>
        <v>6.1539041302381671E-2</v>
      </c>
      <c r="V249" s="25"/>
      <c r="W249" s="25"/>
      <c r="X249" s="5"/>
    </row>
    <row r="250" spans="1:25" ht="15.6" x14ac:dyDescent="0.3">
      <c r="A250" s="24"/>
      <c r="B250" s="54" t="s">
        <v>161</v>
      </c>
      <c r="C250" s="93"/>
      <c r="D250" s="93"/>
      <c r="E250" s="93"/>
      <c r="F250" s="25"/>
      <c r="G250" s="94"/>
      <c r="H250" s="93"/>
      <c r="I250" s="93"/>
      <c r="J250" s="93"/>
      <c r="K250" s="93"/>
      <c r="L250" s="93"/>
      <c r="M250" s="93"/>
      <c r="N250" s="93"/>
      <c r="O250" s="93"/>
      <c r="P250" s="93"/>
      <c r="Q250" s="93"/>
      <c r="R250" s="54">
        <v>1</v>
      </c>
      <c r="S250" s="94">
        <f t="shared" si="3"/>
        <v>6.369426751592357E-3</v>
      </c>
      <c r="T250" s="53">
        <v>113</v>
      </c>
      <c r="U250" s="132">
        <f t="shared" si="4"/>
        <v>4.2583659933675012E-3</v>
      </c>
      <c r="V250" s="25"/>
      <c r="W250" s="25"/>
      <c r="X250" s="5"/>
    </row>
    <row r="251" spans="1:25" ht="15.6" x14ac:dyDescent="0.3">
      <c r="A251" s="24"/>
      <c r="B251" s="54" t="s">
        <v>162</v>
      </c>
      <c r="C251" s="93"/>
      <c r="D251" s="93"/>
      <c r="E251" s="93"/>
      <c r="F251" s="25"/>
      <c r="G251" s="94"/>
      <c r="H251" s="93"/>
      <c r="I251" s="93"/>
      <c r="J251" s="93"/>
      <c r="K251" s="93"/>
      <c r="L251" s="93"/>
      <c r="M251" s="93"/>
      <c r="N251" s="93"/>
      <c r="O251" s="93"/>
      <c r="P251" s="93"/>
      <c r="Q251" s="93"/>
      <c r="R251" s="54">
        <v>6</v>
      </c>
      <c r="S251" s="94">
        <f t="shared" si="3"/>
        <v>3.8216560509554139E-2</v>
      </c>
      <c r="T251" s="53">
        <v>804</v>
      </c>
      <c r="U251" s="132">
        <f t="shared" si="4"/>
        <v>3.0298462466083812E-2</v>
      </c>
      <c r="V251" s="25"/>
      <c r="W251" s="25"/>
      <c r="X251" s="5"/>
    </row>
    <row r="252" spans="1:25" ht="15.6" x14ac:dyDescent="0.3">
      <c r="A252" s="24"/>
      <c r="B252" s="54" t="s">
        <v>163</v>
      </c>
      <c r="C252" s="93"/>
      <c r="D252" s="93"/>
      <c r="E252" s="93"/>
      <c r="F252" s="25"/>
      <c r="G252" s="94"/>
      <c r="H252" s="93"/>
      <c r="I252" s="93"/>
      <c r="J252" s="93"/>
      <c r="K252" s="93"/>
      <c r="L252" s="93"/>
      <c r="M252" s="93"/>
      <c r="N252" s="93"/>
      <c r="O252" s="93"/>
      <c r="P252" s="93"/>
      <c r="Q252" s="93"/>
      <c r="R252" s="54">
        <v>3</v>
      </c>
      <c r="S252" s="94">
        <f t="shared" si="3"/>
        <v>1.9108280254777069E-2</v>
      </c>
      <c r="T252" s="53">
        <v>397</v>
      </c>
      <c r="U252" s="132">
        <f t="shared" si="4"/>
        <v>1.4960807958999095E-2</v>
      </c>
      <c r="V252" s="25"/>
      <c r="W252" s="25"/>
      <c r="X252" s="5"/>
    </row>
    <row r="253" spans="1:25" ht="15.6" x14ac:dyDescent="0.3">
      <c r="A253" s="24"/>
      <c r="B253" s="54" t="s">
        <v>164</v>
      </c>
      <c r="C253" s="93"/>
      <c r="D253" s="93"/>
      <c r="E253" s="93"/>
      <c r="F253" s="25"/>
      <c r="G253" s="94"/>
      <c r="H253" s="93"/>
      <c r="I253" s="93"/>
      <c r="J253" s="93"/>
      <c r="K253" s="93"/>
      <c r="L253" s="93"/>
      <c r="M253" s="93"/>
      <c r="N253" s="93"/>
      <c r="O253" s="93"/>
      <c r="P253" s="93"/>
      <c r="Q253" s="93"/>
      <c r="R253" s="54">
        <v>11</v>
      </c>
      <c r="S253" s="94">
        <f t="shared" si="3"/>
        <v>7.0063694267515922E-2</v>
      </c>
      <c r="T253" s="53">
        <v>1784</v>
      </c>
      <c r="U253" s="132">
        <f t="shared" si="4"/>
        <v>6.7229424178474523E-2</v>
      </c>
      <c r="V253" s="25"/>
      <c r="W253" s="25"/>
      <c r="X253" s="5"/>
    </row>
    <row r="254" spans="1:25" ht="15.6" x14ac:dyDescent="0.3">
      <c r="A254" s="24"/>
      <c r="B254" s="54" t="s">
        <v>165</v>
      </c>
      <c r="C254" s="93"/>
      <c r="D254" s="93"/>
      <c r="E254" s="93"/>
      <c r="F254" s="25"/>
      <c r="G254" s="94"/>
      <c r="H254" s="93"/>
      <c r="I254" s="93"/>
      <c r="J254" s="93"/>
      <c r="K254" s="93"/>
      <c r="L254" s="93"/>
      <c r="M254" s="93"/>
      <c r="N254" s="93"/>
      <c r="O254" s="93"/>
      <c r="P254" s="93"/>
      <c r="Q254" s="93"/>
      <c r="R254" s="54">
        <v>35</v>
      </c>
      <c r="S254" s="94">
        <f t="shared" si="3"/>
        <v>0.22292993630573249</v>
      </c>
      <c r="T254" s="53">
        <v>6164</v>
      </c>
      <c r="U254" s="132">
        <f t="shared" si="4"/>
        <v>0.23228821223997589</v>
      </c>
      <c r="V254" s="25"/>
      <c r="W254" s="25"/>
      <c r="X254" s="5"/>
    </row>
    <row r="255" spans="1:25" ht="15.6" x14ac:dyDescent="0.3">
      <c r="A255" s="24"/>
      <c r="B255" s="54"/>
      <c r="C255" s="93"/>
      <c r="D255" s="93"/>
      <c r="E255" s="93"/>
      <c r="F255" s="25"/>
      <c r="G255" s="94"/>
      <c r="H255" s="93"/>
      <c r="I255" s="93"/>
      <c r="J255" s="93"/>
      <c r="K255" s="93"/>
      <c r="L255" s="93"/>
      <c r="M255" s="93"/>
      <c r="N255" s="93"/>
      <c r="O255" s="93"/>
      <c r="P255" s="93"/>
      <c r="Q255" s="93"/>
      <c r="R255" s="54"/>
      <c r="S255" s="94"/>
      <c r="T255" s="53"/>
      <c r="U255" s="132"/>
      <c r="V255" s="25"/>
      <c r="W255" s="25"/>
      <c r="X255" s="5"/>
    </row>
    <row r="256" spans="1:25" ht="15.6" x14ac:dyDescent="0.3">
      <c r="A256" s="24"/>
      <c r="B256" s="25" t="s">
        <v>119</v>
      </c>
      <c r="C256" s="25"/>
      <c r="D256" s="25"/>
      <c r="E256" s="25"/>
      <c r="F256" s="25"/>
      <c r="G256" s="25"/>
      <c r="H256" s="95"/>
      <c r="I256" s="95"/>
      <c r="J256" s="95"/>
      <c r="K256" s="95"/>
      <c r="L256" s="95"/>
      <c r="M256" s="95"/>
      <c r="N256" s="95"/>
      <c r="O256" s="95"/>
      <c r="P256" s="95"/>
      <c r="Q256" s="95"/>
      <c r="R256" s="34">
        <f>SUM(R247:R255)</f>
        <v>157</v>
      </c>
      <c r="S256" s="132">
        <f>SUM(S247:S255)</f>
        <v>1</v>
      </c>
      <c r="T256" s="53">
        <f>SUM(T247:T255)</f>
        <v>26536</v>
      </c>
      <c r="U256" s="132">
        <f>SUM(U247:U255)</f>
        <v>0.99999999999999989</v>
      </c>
      <c r="V256" s="25"/>
      <c r="W256" s="25"/>
      <c r="X256" s="5"/>
    </row>
    <row r="257" spans="1:24" ht="15.6" x14ac:dyDescent="0.3">
      <c r="A257" s="24"/>
      <c r="B257" s="25"/>
      <c r="C257" s="25"/>
      <c r="D257" s="25"/>
      <c r="E257" s="25"/>
      <c r="F257" s="25"/>
      <c r="G257" s="25"/>
      <c r="H257" s="95"/>
      <c r="I257" s="95"/>
      <c r="J257" s="95"/>
      <c r="K257" s="95"/>
      <c r="L257" s="95"/>
      <c r="M257" s="95"/>
      <c r="N257" s="95"/>
      <c r="O257" s="95"/>
      <c r="P257" s="95"/>
      <c r="Q257" s="95"/>
      <c r="R257" s="34"/>
      <c r="S257" s="132"/>
      <c r="T257" s="53"/>
      <c r="U257" s="132"/>
      <c r="V257" s="25"/>
      <c r="W257" s="25"/>
      <c r="X257" s="5"/>
    </row>
    <row r="258" spans="1:24" ht="15.6" x14ac:dyDescent="0.3">
      <c r="A258" s="141"/>
      <c r="B258" s="14" t="s">
        <v>169</v>
      </c>
      <c r="C258" s="139"/>
      <c r="D258" s="139"/>
      <c r="E258" s="139"/>
      <c r="F258" s="139"/>
      <c r="G258" s="139"/>
      <c r="H258" s="145"/>
      <c r="I258" s="145"/>
      <c r="J258" s="145"/>
      <c r="K258" s="145"/>
      <c r="L258" s="145"/>
      <c r="M258" s="145"/>
      <c r="N258" s="145"/>
      <c r="O258" s="145"/>
      <c r="P258" s="145"/>
      <c r="Q258" s="145"/>
      <c r="R258" s="83" t="s">
        <v>104</v>
      </c>
      <c r="S258" s="17" t="s">
        <v>105</v>
      </c>
      <c r="T258" s="83" t="s">
        <v>113</v>
      </c>
      <c r="U258" s="17" t="s">
        <v>105</v>
      </c>
      <c r="V258" s="139"/>
      <c r="W258" s="140"/>
      <c r="X258" s="5"/>
    </row>
    <row r="259" spans="1:24" ht="15.6" x14ac:dyDescent="0.3">
      <c r="A259" s="24"/>
      <c r="B259" s="54" t="s">
        <v>90</v>
      </c>
      <c r="C259" s="25"/>
      <c r="D259" s="25"/>
      <c r="E259" s="25"/>
      <c r="F259" s="25"/>
      <c r="G259" s="25"/>
      <c r="H259" s="95"/>
      <c r="I259" s="95"/>
      <c r="J259" s="95"/>
      <c r="K259" s="95"/>
      <c r="L259" s="95"/>
      <c r="M259" s="95"/>
      <c r="N259" s="95"/>
      <c r="O259" s="95"/>
      <c r="P259" s="95"/>
      <c r="Q259" s="95"/>
      <c r="R259" s="54">
        <v>0</v>
      </c>
      <c r="S259" s="94">
        <v>0</v>
      </c>
      <c r="T259" s="53">
        <v>0</v>
      </c>
      <c r="U259" s="94">
        <v>0</v>
      </c>
      <c r="V259" s="25"/>
      <c r="W259" s="25"/>
      <c r="X259" s="5"/>
    </row>
    <row r="260" spans="1:24" ht="15.6" x14ac:dyDescent="0.3">
      <c r="A260" s="24"/>
      <c r="B260" s="54" t="s">
        <v>91</v>
      </c>
      <c r="C260" s="25"/>
      <c r="D260" s="25"/>
      <c r="E260" s="25"/>
      <c r="F260" s="25"/>
      <c r="G260" s="25"/>
      <c r="H260" s="95"/>
      <c r="I260" s="95"/>
      <c r="J260" s="95"/>
      <c r="K260" s="95"/>
      <c r="L260" s="95"/>
      <c r="M260" s="95"/>
      <c r="N260" s="95"/>
      <c r="O260" s="95"/>
      <c r="P260" s="95"/>
      <c r="Q260" s="95"/>
      <c r="R260" s="54">
        <v>0</v>
      </c>
      <c r="S260" s="94">
        <v>0</v>
      </c>
      <c r="T260" s="53">
        <v>0</v>
      </c>
      <c r="U260" s="94">
        <v>0</v>
      </c>
      <c r="V260" s="25"/>
      <c r="W260" s="25"/>
      <c r="X260" s="5"/>
    </row>
    <row r="261" spans="1:24" ht="15.6" x14ac:dyDescent="0.3">
      <c r="A261" s="24"/>
      <c r="B261" s="54" t="s">
        <v>92</v>
      </c>
      <c r="C261" s="25"/>
      <c r="D261" s="25"/>
      <c r="E261" s="25"/>
      <c r="F261" s="25"/>
      <c r="G261" s="25"/>
      <c r="H261" s="95"/>
      <c r="I261" s="95"/>
      <c r="J261" s="95"/>
      <c r="K261" s="95"/>
      <c r="L261" s="95"/>
      <c r="M261" s="95"/>
      <c r="N261" s="95"/>
      <c r="O261" s="95"/>
      <c r="P261" s="95"/>
      <c r="Q261" s="95"/>
      <c r="R261" s="54">
        <v>0</v>
      </c>
      <c r="S261" s="94">
        <v>0</v>
      </c>
      <c r="T261" s="53">
        <v>0</v>
      </c>
      <c r="U261" s="94">
        <v>0</v>
      </c>
      <c r="V261" s="25"/>
      <c r="W261" s="25"/>
      <c r="X261" s="5"/>
    </row>
    <row r="262" spans="1:24" ht="15.6" x14ac:dyDescent="0.3">
      <c r="A262" s="24"/>
      <c r="B262" s="54" t="s">
        <v>161</v>
      </c>
      <c r="C262" s="25"/>
      <c r="D262" s="25"/>
      <c r="E262" s="25"/>
      <c r="F262" s="25"/>
      <c r="G262" s="25"/>
      <c r="H262" s="95"/>
      <c r="I262" s="95"/>
      <c r="J262" s="95"/>
      <c r="K262" s="95"/>
      <c r="L262" s="95"/>
      <c r="M262" s="95"/>
      <c r="N262" s="95"/>
      <c r="O262" s="95"/>
      <c r="P262" s="95"/>
      <c r="Q262" s="95"/>
      <c r="R262" s="54">
        <v>0</v>
      </c>
      <c r="S262" s="94">
        <v>0</v>
      </c>
      <c r="T262" s="53">
        <v>0</v>
      </c>
      <c r="U262" s="94">
        <v>0</v>
      </c>
      <c r="V262" s="25"/>
      <c r="W262" s="25"/>
      <c r="X262" s="5"/>
    </row>
    <row r="263" spans="1:24" ht="15.6" x14ac:dyDescent="0.3">
      <c r="A263" s="24"/>
      <c r="B263" s="54" t="s">
        <v>162</v>
      </c>
      <c r="C263" s="25"/>
      <c r="D263" s="25"/>
      <c r="E263" s="25"/>
      <c r="F263" s="25"/>
      <c r="G263" s="25"/>
      <c r="H263" s="95"/>
      <c r="I263" s="95"/>
      <c r="J263" s="95"/>
      <c r="K263" s="95"/>
      <c r="L263" s="95"/>
      <c r="M263" s="95"/>
      <c r="N263" s="95"/>
      <c r="O263" s="95"/>
      <c r="P263" s="95"/>
      <c r="Q263" s="95"/>
      <c r="R263" s="54">
        <v>0</v>
      </c>
      <c r="S263" s="94">
        <v>0</v>
      </c>
      <c r="T263" s="53">
        <v>0</v>
      </c>
      <c r="U263" s="94">
        <v>0</v>
      </c>
      <c r="V263" s="25"/>
      <c r="W263" s="25"/>
      <c r="X263" s="5"/>
    </row>
    <row r="264" spans="1:24" ht="15.6" x14ac:dyDescent="0.3">
      <c r="A264" s="24"/>
      <c r="B264" s="54" t="s">
        <v>163</v>
      </c>
      <c r="C264" s="25"/>
      <c r="D264" s="25"/>
      <c r="E264" s="25"/>
      <c r="F264" s="25"/>
      <c r="G264" s="25"/>
      <c r="H264" s="95"/>
      <c r="I264" s="95"/>
      <c r="J264" s="95"/>
      <c r="K264" s="95"/>
      <c r="L264" s="95"/>
      <c r="M264" s="95"/>
      <c r="N264" s="95"/>
      <c r="O264" s="95"/>
      <c r="P264" s="95"/>
      <c r="Q264" s="95"/>
      <c r="R264" s="54">
        <v>0</v>
      </c>
      <c r="S264" s="94">
        <v>0</v>
      </c>
      <c r="T264" s="53">
        <v>0</v>
      </c>
      <c r="U264" s="94">
        <v>0</v>
      </c>
      <c r="V264" s="25"/>
      <c r="W264" s="25"/>
      <c r="X264" s="5"/>
    </row>
    <row r="265" spans="1:24" ht="15.6" x14ac:dyDescent="0.3">
      <c r="A265" s="24"/>
      <c r="B265" s="54" t="s">
        <v>164</v>
      </c>
      <c r="C265" s="25"/>
      <c r="D265" s="25"/>
      <c r="E265" s="25"/>
      <c r="F265" s="25"/>
      <c r="G265" s="25"/>
      <c r="H265" s="95"/>
      <c r="I265" s="95"/>
      <c r="J265" s="95"/>
      <c r="K265" s="95"/>
      <c r="L265" s="95"/>
      <c r="M265" s="95"/>
      <c r="N265" s="95"/>
      <c r="O265" s="95"/>
      <c r="P265" s="95"/>
      <c r="Q265" s="95"/>
      <c r="R265" s="54">
        <v>0</v>
      </c>
      <c r="S265" s="94">
        <v>0</v>
      </c>
      <c r="T265" s="53">
        <v>0</v>
      </c>
      <c r="U265" s="94">
        <v>0</v>
      </c>
      <c r="V265" s="25"/>
      <c r="W265" s="25"/>
      <c r="X265" s="5"/>
    </row>
    <row r="266" spans="1:24" ht="15.6" x14ac:dyDescent="0.3">
      <c r="A266" s="24"/>
      <c r="B266" s="54" t="s">
        <v>165</v>
      </c>
      <c r="C266" s="25"/>
      <c r="D266" s="25"/>
      <c r="E266" s="25"/>
      <c r="F266" s="25"/>
      <c r="G266" s="25"/>
      <c r="H266" s="95"/>
      <c r="I266" s="95"/>
      <c r="J266" s="95"/>
      <c r="K266" s="95"/>
      <c r="L266" s="95"/>
      <c r="M266" s="95"/>
      <c r="N266" s="95"/>
      <c r="O266" s="95"/>
      <c r="P266" s="95"/>
      <c r="Q266" s="95"/>
      <c r="R266" s="54">
        <v>0</v>
      </c>
      <c r="S266" s="94">
        <v>0</v>
      </c>
      <c r="T266" s="53">
        <v>0</v>
      </c>
      <c r="U266" s="94">
        <v>0</v>
      </c>
      <c r="V266" s="25"/>
      <c r="W266" s="25"/>
      <c r="X266" s="5"/>
    </row>
    <row r="267" spans="1:24" ht="15.6" x14ac:dyDescent="0.3">
      <c r="A267" s="24"/>
      <c r="B267" s="54"/>
      <c r="C267" s="25"/>
      <c r="D267" s="25"/>
      <c r="E267" s="25"/>
      <c r="F267" s="25"/>
      <c r="G267" s="25"/>
      <c r="H267" s="95"/>
      <c r="I267" s="95"/>
      <c r="J267" s="95"/>
      <c r="K267" s="95"/>
      <c r="L267" s="95"/>
      <c r="M267" s="95"/>
      <c r="N267" s="95"/>
      <c r="O267" s="95"/>
      <c r="P267" s="95"/>
      <c r="Q267" s="95"/>
      <c r="R267" s="54"/>
      <c r="S267" s="94"/>
      <c r="T267" s="53"/>
      <c r="U267" s="132"/>
      <c r="V267" s="25"/>
      <c r="W267" s="25"/>
      <c r="X267" s="5"/>
    </row>
    <row r="268" spans="1:24" ht="15.6" x14ac:dyDescent="0.3">
      <c r="A268" s="24"/>
      <c r="B268" s="25" t="s">
        <v>119</v>
      </c>
      <c r="C268" s="25"/>
      <c r="D268" s="25"/>
      <c r="E268" s="25"/>
      <c r="F268" s="25"/>
      <c r="G268" s="25"/>
      <c r="H268" s="95"/>
      <c r="I268" s="95"/>
      <c r="J268" s="95"/>
      <c r="K268" s="95"/>
      <c r="L268" s="95"/>
      <c r="M268" s="95"/>
      <c r="N268" s="95"/>
      <c r="O268" s="95"/>
      <c r="P268" s="95"/>
      <c r="Q268" s="95"/>
      <c r="R268" s="34">
        <f>SUM(R259:R266)</f>
        <v>0</v>
      </c>
      <c r="S268" s="132">
        <f>SUM(S259:S267)</f>
        <v>0</v>
      </c>
      <c r="T268" s="53">
        <f>SUM(T259:T266)</f>
        <v>0</v>
      </c>
      <c r="U268" s="132">
        <f>SUM(U259:U267)</f>
        <v>0</v>
      </c>
      <c r="V268" s="25"/>
      <c r="W268" s="25"/>
      <c r="X268" s="5"/>
    </row>
    <row r="269" spans="1:24" ht="15.6" x14ac:dyDescent="0.3">
      <c r="A269" s="24"/>
      <c r="B269" s="25"/>
      <c r="C269" s="25"/>
      <c r="D269" s="25"/>
      <c r="E269" s="25"/>
      <c r="F269" s="25"/>
      <c r="G269" s="25"/>
      <c r="H269" s="95"/>
      <c r="I269" s="95"/>
      <c r="J269" s="95"/>
      <c r="K269" s="95"/>
      <c r="L269" s="95"/>
      <c r="M269" s="95"/>
      <c r="N269" s="95"/>
      <c r="O269" s="95"/>
      <c r="P269" s="95"/>
      <c r="Q269" s="95"/>
      <c r="R269" s="34"/>
      <c r="S269" s="132"/>
      <c r="T269" s="53"/>
      <c r="U269" s="132"/>
      <c r="V269" s="25"/>
      <c r="W269" s="25"/>
      <c r="X269" s="5"/>
    </row>
    <row r="270" spans="1:24" ht="15.6" x14ac:dyDescent="0.3">
      <c r="A270" s="24"/>
      <c r="B270" s="142" t="s">
        <v>170</v>
      </c>
      <c r="C270" s="25"/>
      <c r="D270" s="25"/>
      <c r="E270" s="25"/>
      <c r="F270" s="25"/>
      <c r="G270" s="25"/>
      <c r="H270" s="95"/>
      <c r="I270" s="95"/>
      <c r="J270" s="95"/>
      <c r="K270" s="95"/>
      <c r="L270" s="95"/>
      <c r="M270" s="95"/>
      <c r="N270" s="95"/>
      <c r="O270" s="95"/>
      <c r="P270" s="95"/>
      <c r="Q270" s="95"/>
      <c r="R270" s="161">
        <f>R268+R256+R244</f>
        <v>7699</v>
      </c>
      <c r="S270" s="143"/>
      <c r="T270" s="144">
        <f>+T268+T256+T244</f>
        <v>1039490</v>
      </c>
      <c r="U270" s="143"/>
      <c r="V270" s="25"/>
      <c r="W270" s="25"/>
      <c r="X270" s="5"/>
    </row>
    <row r="271" spans="1:24" ht="15.6" x14ac:dyDescent="0.3">
      <c r="A271" s="24"/>
      <c r="B271" s="25"/>
      <c r="C271" s="25"/>
      <c r="D271" s="25"/>
      <c r="E271" s="25"/>
      <c r="F271" s="25"/>
      <c r="G271" s="25"/>
      <c r="H271" s="95"/>
      <c r="I271" s="95"/>
      <c r="J271" s="95"/>
      <c r="K271" s="95"/>
      <c r="L271" s="95"/>
      <c r="M271" s="95"/>
      <c r="N271" s="95"/>
      <c r="O271" s="95"/>
      <c r="P271" s="95"/>
      <c r="Q271" s="95"/>
      <c r="R271" s="95"/>
      <c r="S271" s="95"/>
      <c r="T271" s="53"/>
      <c r="U271" s="95"/>
      <c r="V271" s="25"/>
      <c r="W271" s="25"/>
      <c r="X271" s="5"/>
    </row>
    <row r="272" spans="1:24" ht="15.6" x14ac:dyDescent="0.3">
      <c r="A272" s="6"/>
      <c r="B272" s="8"/>
      <c r="C272" s="8"/>
      <c r="D272" s="8"/>
      <c r="E272" s="8"/>
      <c r="F272" s="8"/>
      <c r="G272" s="8"/>
      <c r="H272" s="96"/>
      <c r="I272" s="96"/>
      <c r="J272" s="96"/>
      <c r="K272" s="96"/>
      <c r="L272" s="96"/>
      <c r="M272" s="96"/>
      <c r="N272" s="96"/>
      <c r="O272" s="96"/>
      <c r="P272" s="96"/>
      <c r="Q272" s="96"/>
      <c r="R272" s="96"/>
      <c r="S272" s="96"/>
      <c r="T272" s="97"/>
      <c r="U272" s="96"/>
      <c r="V272" s="8"/>
      <c r="W272" s="8"/>
      <c r="X272" s="5"/>
    </row>
    <row r="273" spans="1:24" ht="15.6" x14ac:dyDescent="0.3">
      <c r="A273" s="167"/>
      <c r="B273" s="14" t="s">
        <v>93</v>
      </c>
      <c r="C273" s="15"/>
      <c r="D273" s="15"/>
      <c r="E273" s="15"/>
      <c r="F273" s="17" t="s">
        <v>99</v>
      </c>
      <c r="G273" s="15"/>
      <c r="H273" s="14" t="s">
        <v>101</v>
      </c>
      <c r="I273" s="162"/>
      <c r="J273" s="162"/>
      <c r="K273" s="162"/>
      <c r="L273" s="162"/>
      <c r="M273" s="162"/>
      <c r="N273" s="162"/>
      <c r="O273" s="162"/>
      <c r="P273" s="162"/>
      <c r="Q273" s="162"/>
      <c r="R273" s="162"/>
      <c r="S273" s="162"/>
      <c r="T273" s="162"/>
      <c r="U273" s="162"/>
      <c r="V273" s="162"/>
      <c r="W273" s="162"/>
      <c r="X273" s="5"/>
    </row>
    <row r="274" spans="1:24" ht="15.6" x14ac:dyDescent="0.3">
      <c r="A274" s="167"/>
      <c r="B274" s="162"/>
      <c r="C274" s="8"/>
      <c r="D274" s="8"/>
      <c r="E274" s="8"/>
      <c r="F274" s="8"/>
      <c r="G274" s="8"/>
      <c r="H274" s="8"/>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94</v>
      </c>
      <c r="C275" s="13"/>
      <c r="D275" s="13"/>
      <c r="E275" s="13"/>
      <c r="F275" s="130" t="s">
        <v>153</v>
      </c>
      <c r="G275" s="13"/>
      <c r="H275" s="13" t="s">
        <v>157</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t="s">
        <v>277</v>
      </c>
      <c r="C276" s="13"/>
      <c r="D276" s="13"/>
      <c r="E276" s="13"/>
      <c r="F276" s="130" t="s">
        <v>278</v>
      </c>
      <c r="G276" s="13"/>
      <c r="H276" s="13" t="s">
        <v>279</v>
      </c>
      <c r="I276" s="162"/>
      <c r="J276" s="162"/>
      <c r="K276" s="162"/>
      <c r="L276" s="162"/>
      <c r="M276" s="162"/>
      <c r="N276" s="162"/>
      <c r="O276" s="162"/>
      <c r="P276" s="162"/>
      <c r="Q276" s="162"/>
      <c r="R276" s="162"/>
      <c r="S276" s="162"/>
      <c r="T276" s="162"/>
      <c r="U276" s="162"/>
      <c r="V276" s="162"/>
      <c r="W276" s="162"/>
      <c r="X276" s="5"/>
    </row>
    <row r="277" spans="1:24" ht="15.6" x14ac:dyDescent="0.3">
      <c r="A277" s="167"/>
      <c r="B277" s="13" t="s">
        <v>95</v>
      </c>
      <c r="C277" s="13"/>
      <c r="D277" s="13"/>
      <c r="E277" s="13"/>
      <c r="F277" s="130" t="s">
        <v>152</v>
      </c>
      <c r="G277" s="13"/>
      <c r="H277" s="13" t="s">
        <v>158</v>
      </c>
      <c r="I277" s="162"/>
      <c r="J277" s="162"/>
      <c r="K277" s="162"/>
      <c r="L277" s="162"/>
      <c r="M277" s="162"/>
      <c r="N277" s="162"/>
      <c r="O277" s="162"/>
      <c r="P277" s="162"/>
      <c r="Q277" s="162"/>
      <c r="R277" s="162"/>
      <c r="S277" s="162"/>
      <c r="T277" s="162"/>
      <c r="U277" s="162"/>
      <c r="V277" s="162"/>
      <c r="W277" s="162"/>
      <c r="X277" s="5"/>
    </row>
    <row r="278" spans="1:24" ht="15.6" x14ac:dyDescent="0.3">
      <c r="A278" s="167"/>
      <c r="B278" s="13"/>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ht="18" thickBot="1" x14ac:dyDescent="0.35">
      <c r="A279" s="167"/>
      <c r="B279" s="49" t="str">
        <f>B196</f>
        <v>PM12 INVESTOR REPORT QUARTER ENDING APRIL 2010</v>
      </c>
      <c r="C279" s="13"/>
      <c r="D279" s="13"/>
      <c r="E279" s="13"/>
      <c r="F279" s="13"/>
      <c r="G279" s="99"/>
      <c r="H279" s="162"/>
      <c r="I279" s="162"/>
      <c r="J279" s="162"/>
      <c r="K279" s="162"/>
      <c r="L279" s="162"/>
      <c r="M279" s="162"/>
      <c r="N279" s="162"/>
      <c r="O279" s="162"/>
      <c r="P279" s="162"/>
      <c r="Q279" s="162"/>
      <c r="R279" s="162"/>
      <c r="S279" s="162"/>
      <c r="T279" s="162"/>
      <c r="U279" s="162"/>
      <c r="V279" s="162"/>
      <c r="W279" s="162"/>
      <c r="X279" s="5"/>
    </row>
    <row r="280" spans="1:24" x14ac:dyDescent="0.25">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row>
  </sheetData>
  <phoneticPr fontId="0" type="noConversion"/>
  <hyperlinks>
    <hyperlink ref="P232" r:id="rId1" xr:uid="{00000000-0004-0000-0E00-000000000000}"/>
    <hyperlink ref="I9" r:id="rId2" xr:uid="{00000000-0004-0000-0E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6" max="14" man="1"/>
    <brk id="196" max="14" man="1"/>
  </row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2D2926"/>
  </sheetPr>
  <dimension ref="A1:Y291"/>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255"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255"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255" t="s">
        <v>2</v>
      </c>
      <c r="C15" s="252"/>
      <c r="D15" s="252"/>
      <c r="E15" s="252"/>
      <c r="F15" s="252"/>
      <c r="G15" s="252"/>
      <c r="H15" s="268"/>
      <c r="I15" s="268"/>
      <c r="J15" s="268"/>
      <c r="K15" s="268"/>
      <c r="L15" s="268"/>
      <c r="M15" s="268"/>
      <c r="N15" s="268"/>
      <c r="O15" s="268"/>
      <c r="P15" s="268"/>
      <c r="Q15" s="268"/>
      <c r="R15" s="268" t="s">
        <v>106</v>
      </c>
      <c r="S15" s="269">
        <v>0.6</v>
      </c>
      <c r="T15" s="256" t="s">
        <v>145</v>
      </c>
      <c r="U15" s="269">
        <v>0.4</v>
      </c>
      <c r="V15" s="267"/>
      <c r="W15" s="252"/>
      <c r="X15" s="5"/>
    </row>
    <row r="16" spans="1:24" ht="15.6" x14ac:dyDescent="0.3">
      <c r="A16" s="177"/>
      <c r="B16" s="255" t="s">
        <v>3</v>
      </c>
      <c r="C16" s="252"/>
      <c r="D16" s="252"/>
      <c r="E16" s="252"/>
      <c r="F16" s="252"/>
      <c r="G16" s="252"/>
      <c r="H16" s="268"/>
      <c r="I16" s="268"/>
      <c r="J16" s="268"/>
      <c r="K16" s="268"/>
      <c r="L16" s="268"/>
      <c r="M16" s="268"/>
      <c r="N16" s="268"/>
      <c r="O16" s="268"/>
      <c r="P16" s="268"/>
      <c r="Q16" s="268"/>
      <c r="R16" s="268" t="s">
        <v>106</v>
      </c>
      <c r="S16" s="269">
        <v>0.6452</v>
      </c>
      <c r="T16" s="256" t="s">
        <v>145</v>
      </c>
      <c r="U16" s="269">
        <v>0.3548</v>
      </c>
      <c r="V16" s="267"/>
      <c r="W16" s="252"/>
      <c r="X16" s="5"/>
    </row>
    <row r="17" spans="1:25" ht="15.6" x14ac:dyDescent="0.3">
      <c r="A17" s="177"/>
      <c r="B17" s="255" t="s">
        <v>4</v>
      </c>
      <c r="C17" s="252"/>
      <c r="D17" s="252"/>
      <c r="E17" s="252"/>
      <c r="F17" s="252"/>
      <c r="G17" s="252"/>
      <c r="H17" s="252"/>
      <c r="I17" s="252"/>
      <c r="J17" s="252"/>
      <c r="K17" s="252"/>
      <c r="L17" s="252"/>
      <c r="M17" s="252"/>
      <c r="N17" s="252"/>
      <c r="O17" s="252"/>
      <c r="P17" s="252"/>
      <c r="Q17" s="252"/>
      <c r="R17" s="252"/>
      <c r="S17" s="252"/>
      <c r="T17" s="252"/>
      <c r="U17" s="252"/>
      <c r="V17" s="270">
        <v>38918</v>
      </c>
      <c r="W17" s="252"/>
      <c r="X17" s="5"/>
    </row>
    <row r="18" spans="1:25" ht="15.6" x14ac:dyDescent="0.3">
      <c r="A18" s="177"/>
      <c r="B18" s="255" t="s">
        <v>5</v>
      </c>
      <c r="C18" s="252"/>
      <c r="D18" s="252"/>
      <c r="E18" s="252"/>
      <c r="F18" s="252"/>
      <c r="G18" s="252"/>
      <c r="H18" s="252"/>
      <c r="I18" s="252"/>
      <c r="J18" s="252"/>
      <c r="K18" s="252"/>
      <c r="L18" s="252"/>
      <c r="M18" s="252"/>
      <c r="N18" s="252"/>
      <c r="O18" s="252"/>
      <c r="P18" s="252"/>
      <c r="Q18" s="252"/>
      <c r="R18" s="252"/>
      <c r="S18" s="252"/>
      <c r="T18" s="252"/>
      <c r="U18" s="252"/>
      <c r="V18" s="270">
        <v>40407</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6"/>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84"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6"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6" t="s">
        <v>197</v>
      </c>
      <c r="C27" s="280"/>
      <c r="D27" s="285" t="s">
        <v>220</v>
      </c>
      <c r="E27" s="285"/>
      <c r="F27" s="285" t="s">
        <v>148</v>
      </c>
      <c r="G27" s="285"/>
      <c r="H27" s="285" t="s">
        <v>148</v>
      </c>
      <c r="I27" s="285"/>
      <c r="J27" s="285" t="s">
        <v>148</v>
      </c>
      <c r="K27" s="285"/>
      <c r="L27" s="285" t="s">
        <v>171</v>
      </c>
      <c r="M27" s="285"/>
      <c r="N27" s="285" t="s">
        <v>171</v>
      </c>
      <c r="O27" s="285"/>
      <c r="P27" s="285" t="s">
        <v>149</v>
      </c>
      <c r="Q27" s="285"/>
      <c r="R27" s="285" t="s">
        <v>149</v>
      </c>
      <c r="S27" s="280"/>
      <c r="T27" s="287"/>
      <c r="U27" s="281"/>
      <c r="V27" s="281"/>
      <c r="W27" s="282"/>
      <c r="X27" s="5"/>
    </row>
    <row r="28" spans="1:25" ht="15.6" x14ac:dyDescent="0.3">
      <c r="A28" s="278"/>
      <c r="B28" s="288" t="s">
        <v>198</v>
      </c>
      <c r="C28" s="280"/>
      <c r="D28" s="285" t="s">
        <v>221</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293"/>
      <c r="D31" s="294">
        <v>1500000</v>
      </c>
      <c r="E31" s="289"/>
      <c r="F31" s="290">
        <v>145000</v>
      </c>
      <c r="G31" s="290"/>
      <c r="H31" s="295">
        <v>245000</v>
      </c>
      <c r="I31" s="295"/>
      <c r="J31" s="294">
        <v>311000</v>
      </c>
      <c r="K31" s="290"/>
      <c r="L31" s="290">
        <v>25000</v>
      </c>
      <c r="M31" s="290"/>
      <c r="N31" s="295">
        <v>126000</v>
      </c>
      <c r="O31" s="290"/>
      <c r="P31" s="290">
        <v>17000</v>
      </c>
      <c r="Q31" s="290"/>
      <c r="R31" s="295">
        <v>106000</v>
      </c>
      <c r="S31" s="296"/>
      <c r="T31" s="296"/>
      <c r="U31" s="297"/>
      <c r="V31" s="296"/>
      <c r="W31" s="292"/>
      <c r="X31" s="5"/>
    </row>
    <row r="32" spans="1:25" ht="15.6" x14ac:dyDescent="0.3">
      <c r="A32" s="278"/>
      <c r="B32" s="279" t="s">
        <v>137</v>
      </c>
      <c r="C32" s="289"/>
      <c r="D32" s="294">
        <f>D31*D38</f>
        <v>967671.29999999993</v>
      </c>
      <c r="E32" s="289"/>
      <c r="F32" s="290">
        <f>F31*F38</f>
        <v>93541.645999999993</v>
      </c>
      <c r="G32" s="290"/>
      <c r="H32" s="295">
        <f>H31*H38</f>
        <v>158053.12599999999</v>
      </c>
      <c r="I32" s="295"/>
      <c r="J32" s="294">
        <f>J31*J38</f>
        <v>200630.51619999998</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6" t="s">
        <v>139</v>
      </c>
      <c r="C33" s="289"/>
      <c r="D33" s="298">
        <f>D37*D31</f>
        <v>958731.45</v>
      </c>
      <c r="E33" s="293"/>
      <c r="F33" s="296">
        <f>F37*F31</f>
        <v>92677.475000000006</v>
      </c>
      <c r="G33" s="296"/>
      <c r="H33" s="299">
        <f>H31*H37</f>
        <v>156592.97500000001</v>
      </c>
      <c r="I33" s="299"/>
      <c r="J33" s="298">
        <f>J37*J31</f>
        <v>198776.98729999998</v>
      </c>
      <c r="K33" s="296"/>
      <c r="L33" s="296">
        <f>L31*L37</f>
        <v>25000</v>
      </c>
      <c r="M33" s="296"/>
      <c r="N33" s="299">
        <f>N31*N37</f>
        <v>126000</v>
      </c>
      <c r="O33" s="296"/>
      <c r="P33" s="296">
        <f>P31*P37</f>
        <v>17000</v>
      </c>
      <c r="Q33" s="296"/>
      <c r="R33" s="299">
        <f>R31*R37</f>
        <v>106000</v>
      </c>
      <c r="S33" s="290"/>
      <c r="T33" s="290"/>
      <c r="U33" s="291"/>
      <c r="V33" s="290"/>
      <c r="W33" s="292"/>
      <c r="X33" s="5"/>
    </row>
    <row r="34" spans="1:24" ht="15.6" x14ac:dyDescent="0.3">
      <c r="A34" s="283"/>
      <c r="B34" s="279" t="s">
        <v>293</v>
      </c>
      <c r="C34" s="293"/>
      <c r="D34" s="290">
        <v>815217</v>
      </c>
      <c r="E34" s="289"/>
      <c r="F34" s="290">
        <v>145000</v>
      </c>
      <c r="G34" s="290"/>
      <c r="H34" s="290">
        <v>168966</v>
      </c>
      <c r="I34" s="290"/>
      <c r="J34" s="290">
        <v>169022</v>
      </c>
      <c r="K34" s="290"/>
      <c r="L34" s="290">
        <v>25000</v>
      </c>
      <c r="M34" s="290"/>
      <c r="N34" s="290">
        <v>86897</v>
      </c>
      <c r="O34" s="290"/>
      <c r="P34" s="290">
        <v>17000</v>
      </c>
      <c r="Q34" s="290"/>
      <c r="R34" s="290">
        <v>73103</v>
      </c>
      <c r="S34" s="296"/>
      <c r="T34" s="296"/>
      <c r="U34" s="297"/>
      <c r="V34" s="300">
        <f>SUM(C34:R34)</f>
        <v>1500205</v>
      </c>
      <c r="W34" s="292"/>
      <c r="X34" s="5"/>
    </row>
    <row r="35" spans="1:24" ht="15.6" x14ac:dyDescent="0.3">
      <c r="A35" s="283"/>
      <c r="B35" s="279" t="s">
        <v>294</v>
      </c>
      <c r="C35" s="301"/>
      <c r="D35" s="290">
        <f>D34*D38</f>
        <v>525908.06278139993</v>
      </c>
      <c r="E35" s="289"/>
      <c r="F35" s="290">
        <f>F34*F38</f>
        <v>93541.645999999993</v>
      </c>
      <c r="G35" s="290"/>
      <c r="H35" s="290">
        <f>H34*H38</f>
        <v>109002.46729679999</v>
      </c>
      <c r="I35" s="290"/>
      <c r="J35" s="290">
        <f>J34*J38</f>
        <v>109038.49231239999</v>
      </c>
      <c r="K35" s="290"/>
      <c r="L35" s="290">
        <f>+L34</f>
        <v>25000</v>
      </c>
      <c r="M35" s="290"/>
      <c r="N35" s="290">
        <f>+N34</f>
        <v>86897</v>
      </c>
      <c r="O35" s="290"/>
      <c r="P35" s="290">
        <f>+P34</f>
        <v>17000</v>
      </c>
      <c r="Q35" s="290"/>
      <c r="R35" s="290">
        <f>+R34</f>
        <v>73103</v>
      </c>
      <c r="S35" s="290"/>
      <c r="T35" s="290"/>
      <c r="U35" s="291"/>
      <c r="V35" s="300">
        <f>SUM(C35:R35)</f>
        <v>1039490.6683905999</v>
      </c>
      <c r="W35" s="292"/>
      <c r="X35" s="5"/>
    </row>
    <row r="36" spans="1:24" ht="15.6" x14ac:dyDescent="0.3">
      <c r="A36" s="283"/>
      <c r="B36" s="286" t="s">
        <v>295</v>
      </c>
      <c r="C36" s="301"/>
      <c r="D36" s="296">
        <f>D34*D37</f>
        <v>521049.45098309999</v>
      </c>
      <c r="E36" s="293"/>
      <c r="F36" s="296">
        <f>F34*F37</f>
        <v>92677.475000000006</v>
      </c>
      <c r="G36" s="296"/>
      <c r="H36" s="296">
        <f>H34*H37</f>
        <v>107995.46373</v>
      </c>
      <c r="I36" s="296"/>
      <c r="J36" s="296">
        <f>J34*J37</f>
        <v>108031.1380946</v>
      </c>
      <c r="K36" s="296"/>
      <c r="L36" s="296">
        <f>+L34</f>
        <v>25000</v>
      </c>
      <c r="M36" s="296"/>
      <c r="N36" s="296">
        <f>+N34</f>
        <v>86897</v>
      </c>
      <c r="O36" s="296"/>
      <c r="P36" s="296">
        <f>+P34</f>
        <v>17000</v>
      </c>
      <c r="Q36" s="296"/>
      <c r="R36" s="296">
        <f>+R34</f>
        <v>73103</v>
      </c>
      <c r="S36" s="302"/>
      <c r="T36" s="302"/>
      <c r="U36" s="291"/>
      <c r="V36" s="303">
        <f>SUM(C36:R36)-1</f>
        <v>1031752.5278077</v>
      </c>
      <c r="W36" s="292"/>
      <c r="X36" s="5"/>
    </row>
    <row r="37" spans="1:24" ht="15.6" x14ac:dyDescent="0.3">
      <c r="A37" s="278"/>
      <c r="B37" s="304" t="s">
        <v>135</v>
      </c>
      <c r="C37" s="305"/>
      <c r="D37" s="306">
        <v>0.63915429999999995</v>
      </c>
      <c r="E37" s="307"/>
      <c r="F37" s="306">
        <v>0.63915500000000003</v>
      </c>
      <c r="G37" s="306"/>
      <c r="H37" s="306">
        <v>0.63915500000000003</v>
      </c>
      <c r="I37" s="306"/>
      <c r="J37" s="306">
        <v>0.63915429999999995</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0.64511419999999997</v>
      </c>
      <c r="E38" s="307"/>
      <c r="F38" s="306">
        <v>0.64511479999999999</v>
      </c>
      <c r="G38" s="306"/>
      <c r="H38" s="306">
        <v>0.64511479999999999</v>
      </c>
      <c r="I38" s="306"/>
      <c r="J38" s="306">
        <v>0.64511419999999997</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235</v>
      </c>
      <c r="E39" s="279"/>
      <c r="F39" s="287" t="s">
        <v>235</v>
      </c>
      <c r="G39" s="287"/>
      <c r="H39" s="287" t="s">
        <v>235</v>
      </c>
      <c r="I39" s="287"/>
      <c r="J39" s="287" t="s">
        <v>236</v>
      </c>
      <c r="K39" s="287"/>
      <c r="L39" s="287" t="s">
        <v>237</v>
      </c>
      <c r="M39" s="287"/>
      <c r="N39" s="287" t="s">
        <v>237</v>
      </c>
      <c r="O39" s="287"/>
      <c r="P39" s="287" t="s">
        <v>238</v>
      </c>
      <c r="Q39" s="287"/>
      <c r="R39" s="287" t="s">
        <v>238</v>
      </c>
      <c r="S39" s="313"/>
      <c r="T39" s="314"/>
      <c r="U39" s="281"/>
      <c r="V39" s="281"/>
      <c r="W39" s="282"/>
      <c r="X39" s="5"/>
    </row>
    <row r="40" spans="1:24" ht="15.6" x14ac:dyDescent="0.3">
      <c r="A40" s="278"/>
      <c r="B40" s="279" t="s">
        <v>12</v>
      </c>
      <c r="C40" s="279"/>
      <c r="D40" s="314">
        <v>4.6093999999999996E-3</v>
      </c>
      <c r="E40" s="279"/>
      <c r="F40" s="314">
        <v>8.1624999999999996E-3</v>
      </c>
      <c r="G40" s="313"/>
      <c r="H40" s="314">
        <v>8.0300000000000007E-3</v>
      </c>
      <c r="I40" s="314"/>
      <c r="J40" s="314">
        <v>5.4587999999999998E-3</v>
      </c>
      <c r="K40" s="313"/>
      <c r="L40" s="314">
        <v>9.3624999999999993E-3</v>
      </c>
      <c r="M40" s="313"/>
      <c r="N40" s="314">
        <v>9.2300000000000004E-3</v>
      </c>
      <c r="O40" s="313"/>
      <c r="P40" s="314">
        <v>1.15625E-2</v>
      </c>
      <c r="Q40" s="313"/>
      <c r="R40" s="314">
        <v>1.1429999999999999E-2</v>
      </c>
      <c r="S40" s="313"/>
      <c r="T40" s="314"/>
      <c r="U40" s="281"/>
      <c r="V40" s="287"/>
      <c r="W40" s="282"/>
      <c r="X40" s="5"/>
    </row>
    <row r="41" spans="1:24" ht="15.6" x14ac:dyDescent="0.3">
      <c r="A41" s="278"/>
      <c r="B41" s="279" t="s">
        <v>13</v>
      </c>
      <c r="C41" s="279"/>
      <c r="D41" s="314">
        <v>3.7437999999999998E-3</v>
      </c>
      <c r="E41" s="279"/>
      <c r="F41" s="314">
        <v>7.6125000000000003E-3</v>
      </c>
      <c r="G41" s="313"/>
      <c r="H41" s="314">
        <v>7.8300000000000002E-3</v>
      </c>
      <c r="I41" s="314"/>
      <c r="J41" s="314">
        <v>3.5999999999999999E-3</v>
      </c>
      <c r="K41" s="313"/>
      <c r="L41" s="314">
        <v>8.8124999999999992E-3</v>
      </c>
      <c r="M41" s="313"/>
      <c r="N41" s="314">
        <v>9.0299999999999998E-3</v>
      </c>
      <c r="O41" s="313"/>
      <c r="P41" s="314">
        <v>1.10125E-2</v>
      </c>
      <c r="Q41" s="313"/>
      <c r="R41" s="314">
        <v>1.123E-2</v>
      </c>
      <c r="S41" s="313"/>
      <c r="T41" s="314"/>
      <c r="U41" s="281"/>
      <c r="V41" s="313" t="s">
        <v>199</v>
      </c>
      <c r="W41" s="282"/>
      <c r="X41" s="5"/>
    </row>
    <row r="42" spans="1:24" ht="15.6" x14ac:dyDescent="0.3">
      <c r="A42" s="278"/>
      <c r="B42" s="279" t="s">
        <v>296</v>
      </c>
      <c r="C42" s="279"/>
      <c r="D42" s="287" t="s">
        <v>286</v>
      </c>
      <c r="E42" s="279"/>
      <c r="F42" s="287" t="s">
        <v>235</v>
      </c>
      <c r="G42" s="287"/>
      <c r="H42" s="287" t="s">
        <v>267</v>
      </c>
      <c r="I42" s="287"/>
      <c r="J42" s="287" t="s">
        <v>266</v>
      </c>
      <c r="K42" s="287"/>
      <c r="L42" s="287" t="s">
        <v>237</v>
      </c>
      <c r="M42" s="287"/>
      <c r="N42" s="287" t="s">
        <v>265</v>
      </c>
      <c r="O42" s="287"/>
      <c r="P42" s="287" t="s">
        <v>238</v>
      </c>
      <c r="Q42" s="287"/>
      <c r="R42" s="287" t="s">
        <v>240</v>
      </c>
      <c r="S42" s="313"/>
      <c r="T42" s="314"/>
      <c r="U42" s="281"/>
      <c r="V42" s="281"/>
      <c r="W42" s="282"/>
      <c r="X42" s="5"/>
    </row>
    <row r="43" spans="1:24" ht="15.6" x14ac:dyDescent="0.3">
      <c r="A43" s="278"/>
      <c r="B43" s="279" t="s">
        <v>297</v>
      </c>
      <c r="C43" s="315"/>
      <c r="D43" s="314">
        <v>8.3657999999999996E-3</v>
      </c>
      <c r="E43" s="314"/>
      <c r="F43" s="314">
        <f>+F40</f>
        <v>8.1624999999999996E-3</v>
      </c>
      <c r="G43" s="314"/>
      <c r="H43" s="314">
        <v>8.1235000000000005E-3</v>
      </c>
      <c r="I43" s="314"/>
      <c r="J43" s="314">
        <v>8.2445000000000001E-3</v>
      </c>
      <c r="K43" s="314"/>
      <c r="L43" s="314">
        <f>+L40</f>
        <v>9.3624999999999993E-3</v>
      </c>
      <c r="M43" s="314"/>
      <c r="N43" s="314">
        <v>9.4634999999999997E-3</v>
      </c>
      <c r="O43" s="314"/>
      <c r="P43" s="314">
        <f>+P40</f>
        <v>1.15625E-2</v>
      </c>
      <c r="Q43" s="313"/>
      <c r="R43" s="314">
        <v>1.17985E-2</v>
      </c>
      <c r="S43" s="287"/>
      <c r="T43" s="287"/>
      <c r="U43" s="281"/>
      <c r="V43" s="313">
        <f>SUMPRODUCT(D43:R43,D35:R35)/V35</f>
        <v>8.718794242837025E-3</v>
      </c>
      <c r="W43" s="282"/>
      <c r="X43" s="5"/>
    </row>
    <row r="44" spans="1:24" ht="15.6" x14ac:dyDescent="0.3">
      <c r="A44" s="278"/>
      <c r="B44" s="279" t="s">
        <v>298</v>
      </c>
      <c r="C44" s="315"/>
      <c r="D44" s="314">
        <v>7.8157999999999995E-3</v>
      </c>
      <c r="E44" s="314"/>
      <c r="F44" s="314">
        <f>+F41</f>
        <v>7.6125000000000003E-3</v>
      </c>
      <c r="G44" s="314"/>
      <c r="H44" s="314">
        <v>7.5735000000000004E-3</v>
      </c>
      <c r="I44" s="314"/>
      <c r="J44" s="314">
        <v>7.6945E-3</v>
      </c>
      <c r="K44" s="314"/>
      <c r="L44" s="314">
        <f>+L41</f>
        <v>8.8124999999999992E-3</v>
      </c>
      <c r="M44" s="314"/>
      <c r="N44" s="314">
        <v>8.9134999999999995E-3</v>
      </c>
      <c r="O44" s="314"/>
      <c r="P44" s="314">
        <f>+P41</f>
        <v>1.10125E-2</v>
      </c>
      <c r="Q44" s="313"/>
      <c r="R44" s="314">
        <v>1.12485E-2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40770</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316" t="s">
        <v>123</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206</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0.24344578628512276</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20"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21" t="s">
        <v>116</v>
      </c>
      <c r="W55" s="282"/>
      <c r="X55" s="5"/>
    </row>
    <row r="56" spans="1:25" ht="15.6" x14ac:dyDescent="0.3">
      <c r="A56" s="278"/>
      <c r="B56" s="286" t="s">
        <v>207</v>
      </c>
      <c r="C56" s="286"/>
      <c r="D56" s="286"/>
      <c r="E56" s="286"/>
      <c r="F56" s="286"/>
      <c r="G56" s="286"/>
      <c r="H56" s="286"/>
      <c r="I56" s="286"/>
      <c r="J56" s="286"/>
      <c r="K56" s="286"/>
      <c r="L56" s="286"/>
      <c r="M56" s="286"/>
      <c r="N56" s="286"/>
      <c r="O56" s="286"/>
      <c r="P56" s="286"/>
      <c r="Q56" s="286"/>
      <c r="R56" s="286"/>
      <c r="S56" s="286"/>
      <c r="T56" s="322"/>
      <c r="U56" s="322"/>
      <c r="V56" s="323">
        <v>40406</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90</v>
      </c>
      <c r="S57" s="279"/>
      <c r="T57" s="325">
        <v>40225</v>
      </c>
      <c r="U57" s="326"/>
      <c r="V57" s="325">
        <v>40314</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91</v>
      </c>
      <c r="S58" s="279"/>
      <c r="T58" s="325">
        <v>40315</v>
      </c>
      <c r="U58" s="326"/>
      <c r="V58" s="325">
        <v>40405</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40392</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303</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t="s">
        <v>17</v>
      </c>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1039490</v>
      </c>
      <c r="O68" s="329"/>
      <c r="P68" s="329">
        <f>7737+95+27</f>
        <v>7859</v>
      </c>
      <c r="Q68" s="329"/>
      <c r="R68" s="329">
        <f>95+27</f>
        <v>122</v>
      </c>
      <c r="S68" s="329"/>
      <c r="T68" s="329">
        <v>0</v>
      </c>
      <c r="U68" s="329"/>
      <c r="V68" s="330">
        <f>+N68-P68+R68-T68</f>
        <v>1031753</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1039490</v>
      </c>
      <c r="O71" s="329"/>
      <c r="P71" s="329">
        <f>SUM(P68:P70)</f>
        <v>7859</v>
      </c>
      <c r="Q71" s="329"/>
      <c r="R71" s="329">
        <f>SUM(R68:R70)</f>
        <v>122</v>
      </c>
      <c r="S71" s="329"/>
      <c r="T71" s="329">
        <f>SUM(T68:T70)</f>
        <v>0</v>
      </c>
      <c r="U71" s="329"/>
      <c r="V71" s="329">
        <f>SUM(V68:V70)</f>
        <v>1031753</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1039490</v>
      </c>
      <c r="O84" s="329"/>
      <c r="P84" s="329"/>
      <c r="Q84" s="329"/>
      <c r="R84" s="329"/>
      <c r="S84" s="329"/>
      <c r="T84" s="329"/>
      <c r="U84" s="329"/>
      <c r="V84" s="329">
        <f>SUM(V71:V83)</f>
        <v>1031753</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230" t="s">
        <v>27</v>
      </c>
      <c r="C87" s="230"/>
      <c r="D87" s="230"/>
      <c r="E87" s="230"/>
      <c r="F87" s="230"/>
      <c r="G87" s="230"/>
      <c r="H87" s="231"/>
      <c r="I87" s="231"/>
      <c r="J87" s="231"/>
      <c r="K87" s="231"/>
      <c r="L87" s="232" t="s">
        <v>97</v>
      </c>
      <c r="M87" s="231"/>
      <c r="N87" s="233">
        <f>+T196</f>
        <v>40389</v>
      </c>
      <c r="O87" s="231"/>
      <c r="P87" s="231"/>
      <c r="Q87" s="231"/>
      <c r="R87" s="231"/>
      <c r="S87" s="231"/>
      <c r="T87" s="231" t="s">
        <v>110</v>
      </c>
      <c r="U87" s="231"/>
      <c r="V87" s="231"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7859-200</f>
        <v>7659</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4838+3090-683-385+59</f>
        <v>6919</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50+28</f>
        <v>78</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43</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280</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7659</v>
      </c>
      <c r="U96" s="279"/>
      <c r="V96" s="329">
        <f>SUM(V88:V95)</f>
        <v>7320</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-17</v>
      </c>
      <c r="U97" s="279"/>
      <c r="V97" s="329">
        <v>17</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46</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7642</v>
      </c>
      <c r="U100" s="279"/>
      <c r="V100" s="329">
        <f>V96+V98+V97+V99</f>
        <v>7383</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259</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210</v>
      </c>
      <c r="C104" s="279"/>
      <c r="D104" s="279"/>
      <c r="E104" s="279"/>
      <c r="F104" s="279"/>
      <c r="G104" s="279"/>
      <c r="H104" s="279"/>
      <c r="I104" s="279"/>
      <c r="J104" s="279"/>
      <c r="K104" s="279"/>
      <c r="L104" s="279"/>
      <c r="M104" s="279"/>
      <c r="N104" s="279"/>
      <c r="O104" s="279"/>
      <c r="P104" s="279"/>
      <c r="Q104" s="279"/>
      <c r="R104" s="279"/>
      <c r="S104" s="279"/>
      <c r="T104" s="279"/>
      <c r="U104" s="279"/>
      <c r="V104" s="330">
        <f>-395-318-12</f>
        <v>-725</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-1155</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-1732+190</f>
        <v>-1542</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-190</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-205</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-58</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-215</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-49</v>
      </c>
      <c r="W111" s="282"/>
      <c r="X111" s="5"/>
      <c r="Y111" s="109"/>
    </row>
    <row r="112" spans="1:25" ht="15.6" x14ac:dyDescent="0.3">
      <c r="A112" s="336">
        <v>7</v>
      </c>
      <c r="B112" s="279" t="s">
        <v>35</v>
      </c>
      <c r="C112" s="279"/>
      <c r="D112" s="279"/>
      <c r="E112" s="279"/>
      <c r="F112" s="279"/>
      <c r="G112" s="279"/>
      <c r="H112" s="279"/>
      <c r="I112" s="279"/>
      <c r="J112" s="279"/>
      <c r="K112" s="279"/>
      <c r="L112" s="279"/>
      <c r="M112" s="279"/>
      <c r="N112" s="279"/>
      <c r="O112" s="279"/>
      <c r="P112" s="279"/>
      <c r="Q112" s="279"/>
      <c r="R112" s="279"/>
      <c r="S112" s="279"/>
      <c r="T112" s="279"/>
      <c r="U112" s="279"/>
      <c r="V112" s="330">
        <v>-10</v>
      </c>
      <c r="W112" s="282"/>
      <c r="X112" s="5"/>
    </row>
    <row r="113" spans="1:24" ht="15.6" x14ac:dyDescent="0.3">
      <c r="A113" s="336">
        <f t="shared" ref="A113:A118" si="0">+A112+1</f>
        <v>8</v>
      </c>
      <c r="B113" s="279" t="s">
        <v>46</v>
      </c>
      <c r="C113" s="279"/>
      <c r="D113" s="279"/>
      <c r="E113" s="279"/>
      <c r="F113" s="279"/>
      <c r="G113" s="279"/>
      <c r="H113" s="279"/>
      <c r="I113" s="279"/>
      <c r="J113" s="279"/>
      <c r="K113" s="279"/>
      <c r="L113" s="279"/>
      <c r="M113" s="279"/>
      <c r="N113" s="279"/>
      <c r="O113" s="279"/>
      <c r="P113" s="279"/>
      <c r="Q113" s="279"/>
      <c r="R113" s="279"/>
      <c r="S113" s="279"/>
      <c r="T113" s="329">
        <f>-V113</f>
        <v>200</v>
      </c>
      <c r="U113" s="279"/>
      <c r="V113" s="330">
        <v>-200</v>
      </c>
      <c r="W113" s="282"/>
      <c r="X113" s="5"/>
    </row>
    <row r="114" spans="1:24" ht="15.6" x14ac:dyDescent="0.3">
      <c r="A114" s="336">
        <f t="shared" si="0"/>
        <v>9</v>
      </c>
      <c r="B114" s="279" t="s">
        <v>130</v>
      </c>
      <c r="C114" s="279"/>
      <c r="D114" s="279"/>
      <c r="E114" s="279"/>
      <c r="F114" s="279"/>
      <c r="G114" s="279"/>
      <c r="H114" s="279"/>
      <c r="I114" s="279"/>
      <c r="J114" s="279"/>
      <c r="K114" s="279"/>
      <c r="L114" s="279"/>
      <c r="M114" s="279"/>
      <c r="N114" s="279"/>
      <c r="O114" s="279"/>
      <c r="P114" s="279"/>
      <c r="Q114" s="279"/>
      <c r="R114" s="279"/>
      <c r="S114" s="279"/>
      <c r="T114" s="279"/>
      <c r="U114" s="279"/>
      <c r="V114" s="330">
        <v>0</v>
      </c>
      <c r="W114" s="282"/>
      <c r="X114" s="5"/>
    </row>
    <row r="115" spans="1:24" ht="15.6" x14ac:dyDescent="0.3">
      <c r="A115" s="336">
        <f t="shared" si="0"/>
        <v>10</v>
      </c>
      <c r="B115" s="279" t="s">
        <v>36</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37</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154</v>
      </c>
      <c r="C117" s="279"/>
      <c r="D117" s="279"/>
      <c r="E117" s="279"/>
      <c r="F117" s="279"/>
      <c r="G117" s="279"/>
      <c r="H117" s="279"/>
      <c r="I117" s="279"/>
      <c r="J117" s="279"/>
      <c r="K117" s="279"/>
      <c r="L117" s="279"/>
      <c r="M117" s="279"/>
      <c r="N117" s="279"/>
      <c r="O117" s="279"/>
      <c r="P117" s="279"/>
      <c r="Q117" s="279"/>
      <c r="R117" s="279"/>
      <c r="S117" s="279"/>
      <c r="T117" s="279"/>
      <c r="U117" s="279"/>
      <c r="V117" s="330">
        <v>-394</v>
      </c>
      <c r="W117" s="282"/>
      <c r="X117" s="5"/>
    </row>
    <row r="118" spans="1:24" ht="15.6" x14ac:dyDescent="0.3">
      <c r="A118" s="336">
        <f t="shared" si="0"/>
        <v>13</v>
      </c>
      <c r="B118" s="279" t="s">
        <v>131</v>
      </c>
      <c r="C118" s="279"/>
      <c r="D118" s="279"/>
      <c r="E118" s="279"/>
      <c r="F118" s="279"/>
      <c r="G118" s="279"/>
      <c r="H118" s="279"/>
      <c r="I118" s="279"/>
      <c r="J118" s="279"/>
      <c r="K118" s="279"/>
      <c r="L118" s="279"/>
      <c r="M118" s="279"/>
      <c r="N118" s="279"/>
      <c r="O118" s="279"/>
      <c r="P118" s="279"/>
      <c r="Q118" s="279"/>
      <c r="R118" s="279"/>
      <c r="S118" s="279"/>
      <c r="T118" s="279"/>
      <c r="U118" s="279"/>
      <c r="V118" s="330">
        <f>-V100-SUM(V102:V117)</f>
        <v>-2638</v>
      </c>
      <c r="W118" s="282"/>
      <c r="X118" s="5"/>
    </row>
    <row r="119" spans="1:24" ht="15.6" x14ac:dyDescent="0.3">
      <c r="A119" s="278"/>
      <c r="B119" s="333" t="s">
        <v>38</v>
      </c>
      <c r="C119" s="305"/>
      <c r="D119" s="305"/>
      <c r="E119" s="305"/>
      <c r="F119" s="305"/>
      <c r="G119" s="305"/>
      <c r="H119" s="305"/>
      <c r="I119" s="305"/>
      <c r="J119" s="305"/>
      <c r="K119" s="305"/>
      <c r="L119" s="305"/>
      <c r="M119" s="305"/>
      <c r="N119" s="305"/>
      <c r="O119" s="305"/>
      <c r="P119" s="305"/>
      <c r="Q119" s="305"/>
      <c r="R119" s="305"/>
      <c r="S119" s="305"/>
      <c r="T119" s="305"/>
      <c r="U119" s="305"/>
      <c r="V119" s="337"/>
      <c r="W119" s="310"/>
      <c r="X119" s="5"/>
    </row>
    <row r="120" spans="1:24" ht="15.6" x14ac:dyDescent="0.3">
      <c r="A120" s="278"/>
      <c r="B120" s="279" t="s">
        <v>179</v>
      </c>
      <c r="C120" s="279"/>
      <c r="D120" s="279"/>
      <c r="E120" s="279"/>
      <c r="F120" s="279"/>
      <c r="G120" s="279"/>
      <c r="H120" s="279"/>
      <c r="I120" s="279"/>
      <c r="J120" s="279"/>
      <c r="K120" s="279"/>
      <c r="L120" s="279"/>
      <c r="M120" s="279"/>
      <c r="N120" s="279"/>
      <c r="O120" s="279"/>
      <c r="P120" s="279"/>
      <c r="Q120" s="279"/>
      <c r="R120" s="279"/>
      <c r="S120" s="279"/>
      <c r="T120" s="329">
        <f>-T180</f>
        <v>0</v>
      </c>
      <c r="U120" s="329"/>
      <c r="V120" s="330"/>
      <c r="W120" s="282"/>
      <c r="X120" s="5"/>
    </row>
    <row r="121" spans="1:24" ht="15.6" x14ac:dyDescent="0.3">
      <c r="A121" s="278"/>
      <c r="B121" s="279" t="s">
        <v>180</v>
      </c>
      <c r="C121" s="279"/>
      <c r="D121" s="279"/>
      <c r="E121" s="279"/>
      <c r="F121" s="279"/>
      <c r="G121" s="279"/>
      <c r="H121" s="279"/>
      <c r="I121" s="279"/>
      <c r="J121" s="279"/>
      <c r="K121" s="279"/>
      <c r="L121" s="279"/>
      <c r="M121" s="279"/>
      <c r="N121" s="279"/>
      <c r="O121" s="279"/>
      <c r="P121" s="279"/>
      <c r="Q121" s="279"/>
      <c r="R121" s="279"/>
      <c r="S121" s="279"/>
      <c r="T121" s="329">
        <v>-10</v>
      </c>
      <c r="U121" s="329"/>
      <c r="V121" s="330"/>
      <c r="W121" s="282"/>
      <c r="X121" s="5"/>
    </row>
    <row r="122" spans="1:24" ht="15.6" x14ac:dyDescent="0.3">
      <c r="A122" s="278"/>
      <c r="B122" s="279" t="s">
        <v>39</v>
      </c>
      <c r="C122" s="279"/>
      <c r="D122" s="279"/>
      <c r="E122" s="279"/>
      <c r="F122" s="279"/>
      <c r="G122" s="279"/>
      <c r="H122" s="279"/>
      <c r="I122" s="279"/>
      <c r="J122" s="279"/>
      <c r="K122" s="279"/>
      <c r="L122" s="279"/>
      <c r="M122" s="279"/>
      <c r="N122" s="279"/>
      <c r="O122" s="279"/>
      <c r="P122" s="279"/>
      <c r="Q122" s="279"/>
      <c r="R122" s="279"/>
      <c r="S122" s="279"/>
      <c r="T122" s="329">
        <f>-S180</f>
        <v>-95</v>
      </c>
      <c r="U122" s="329"/>
      <c r="V122" s="330"/>
      <c r="W122" s="282"/>
      <c r="X122" s="5"/>
    </row>
    <row r="123" spans="1:24" ht="15.6" x14ac:dyDescent="0.3">
      <c r="A123" s="278"/>
      <c r="B123" s="279" t="s">
        <v>203</v>
      </c>
      <c r="C123" s="279"/>
      <c r="D123" s="279"/>
      <c r="E123" s="279"/>
      <c r="F123" s="279"/>
      <c r="G123" s="279"/>
      <c r="H123" s="279"/>
      <c r="I123" s="279"/>
      <c r="J123" s="279"/>
      <c r="K123" s="279"/>
      <c r="L123" s="279"/>
      <c r="M123" s="279"/>
      <c r="N123" s="279"/>
      <c r="O123" s="279"/>
      <c r="P123" s="279"/>
      <c r="Q123" s="279"/>
      <c r="R123" s="279"/>
      <c r="S123" s="279"/>
      <c r="T123" s="329">
        <v>-4859</v>
      </c>
      <c r="U123" s="329"/>
      <c r="V123" s="330"/>
      <c r="W123" s="282"/>
      <c r="X123" s="5"/>
    </row>
    <row r="124" spans="1:24" ht="15.6" x14ac:dyDescent="0.3">
      <c r="A124" s="278"/>
      <c r="B124" s="279" t="s">
        <v>201</v>
      </c>
      <c r="C124" s="279"/>
      <c r="D124" s="279"/>
      <c r="E124" s="279"/>
      <c r="F124" s="279"/>
      <c r="G124" s="279"/>
      <c r="H124" s="279"/>
      <c r="I124" s="279"/>
      <c r="J124" s="279"/>
      <c r="K124" s="279"/>
      <c r="L124" s="279"/>
      <c r="M124" s="279"/>
      <c r="N124" s="279"/>
      <c r="O124" s="279"/>
      <c r="P124" s="279"/>
      <c r="Q124" s="279"/>
      <c r="R124" s="279"/>
      <c r="S124" s="279"/>
      <c r="T124" s="329">
        <v>-864</v>
      </c>
      <c r="U124" s="329"/>
      <c r="V124" s="330"/>
      <c r="W124" s="282"/>
      <c r="X124" s="5"/>
    </row>
    <row r="125" spans="1:24" ht="15.6" x14ac:dyDescent="0.3">
      <c r="A125" s="278"/>
      <c r="B125" s="279" t="s">
        <v>200</v>
      </c>
      <c r="C125" s="279"/>
      <c r="D125" s="279"/>
      <c r="E125" s="279"/>
      <c r="F125" s="279"/>
      <c r="G125" s="279"/>
      <c r="H125" s="279"/>
      <c r="I125" s="279"/>
      <c r="J125" s="279"/>
      <c r="K125" s="279"/>
      <c r="L125" s="279"/>
      <c r="M125" s="279"/>
      <c r="N125" s="279"/>
      <c r="O125" s="279"/>
      <c r="P125" s="279"/>
      <c r="Q125" s="279"/>
      <c r="R125" s="279"/>
      <c r="S125" s="279"/>
      <c r="T125" s="329">
        <v>-1007</v>
      </c>
      <c r="U125" s="329"/>
      <c r="V125" s="330"/>
      <c r="W125" s="282"/>
      <c r="X125" s="5"/>
    </row>
    <row r="126" spans="1:24" ht="15.6" x14ac:dyDescent="0.3">
      <c r="A126" s="278"/>
      <c r="B126" s="279" t="s">
        <v>260</v>
      </c>
      <c r="C126" s="279"/>
      <c r="D126" s="279"/>
      <c r="E126" s="279"/>
      <c r="F126" s="279"/>
      <c r="G126" s="279"/>
      <c r="H126" s="279"/>
      <c r="I126" s="279"/>
      <c r="J126" s="279"/>
      <c r="K126" s="279"/>
      <c r="L126" s="279"/>
      <c r="M126" s="279"/>
      <c r="N126" s="279"/>
      <c r="O126" s="279"/>
      <c r="P126" s="279"/>
      <c r="Q126" s="279"/>
      <c r="R126" s="279"/>
      <c r="S126" s="279"/>
      <c r="T126" s="329">
        <v>-1007</v>
      </c>
      <c r="U126" s="329"/>
      <c r="V126" s="330"/>
      <c r="W126" s="282"/>
      <c r="X126" s="5"/>
    </row>
    <row r="127" spans="1:24" ht="15.6" x14ac:dyDescent="0.3">
      <c r="A127" s="278"/>
      <c r="B127" s="279" t="s">
        <v>195</v>
      </c>
      <c r="C127" s="279"/>
      <c r="D127" s="279"/>
      <c r="E127" s="279"/>
      <c r="F127" s="279"/>
      <c r="G127" s="279"/>
      <c r="H127" s="279"/>
      <c r="I127" s="279"/>
      <c r="J127" s="279"/>
      <c r="K127" s="279"/>
      <c r="L127" s="279"/>
      <c r="M127" s="279"/>
      <c r="N127" s="279"/>
      <c r="O127" s="279"/>
      <c r="P127" s="279"/>
      <c r="Q127" s="279"/>
      <c r="R127" s="279"/>
      <c r="S127" s="279"/>
      <c r="T127" s="329">
        <v>0</v>
      </c>
      <c r="U127" s="329"/>
      <c r="V127" s="330"/>
      <c r="W127" s="282"/>
      <c r="X127" s="5"/>
    </row>
    <row r="128" spans="1:24" ht="15.6" x14ac:dyDescent="0.3">
      <c r="A128" s="278"/>
      <c r="B128" s="279" t="s">
        <v>194</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261</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193</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40</v>
      </c>
      <c r="C131" s="279"/>
      <c r="D131" s="279"/>
      <c r="E131" s="279"/>
      <c r="F131" s="279"/>
      <c r="G131" s="279"/>
      <c r="H131" s="279"/>
      <c r="I131" s="279"/>
      <c r="J131" s="279"/>
      <c r="K131" s="279"/>
      <c r="L131" s="279"/>
      <c r="M131" s="279"/>
      <c r="N131" s="279"/>
      <c r="O131" s="279"/>
      <c r="P131" s="279"/>
      <c r="Q131" s="279"/>
      <c r="R131" s="279"/>
      <c r="S131" s="279"/>
      <c r="T131" s="329">
        <f>SUM(T120:T130)</f>
        <v>-7842</v>
      </c>
      <c r="U131" s="329"/>
      <c r="V131" s="329">
        <f>SUM(V101:V128)</f>
        <v>-7383</v>
      </c>
      <c r="W131" s="282"/>
      <c r="X131" s="5"/>
    </row>
    <row r="132" spans="1:24" ht="15.6" x14ac:dyDescent="0.3">
      <c r="A132" s="278"/>
      <c r="B132" s="279" t="s">
        <v>41</v>
      </c>
      <c r="C132" s="279"/>
      <c r="D132" s="279"/>
      <c r="E132" s="279"/>
      <c r="F132" s="279"/>
      <c r="G132" s="279"/>
      <c r="H132" s="279"/>
      <c r="I132" s="279"/>
      <c r="J132" s="279"/>
      <c r="K132" s="279"/>
      <c r="L132" s="279"/>
      <c r="M132" s="279"/>
      <c r="N132" s="279"/>
      <c r="O132" s="279"/>
      <c r="P132" s="279"/>
      <c r="Q132" s="279"/>
      <c r="R132" s="279"/>
      <c r="S132" s="279"/>
      <c r="T132" s="329">
        <f>T100+T131+T113</f>
        <v>0</v>
      </c>
      <c r="U132" s="329"/>
      <c r="V132" s="329">
        <f>V100+V131</f>
        <v>0</v>
      </c>
      <c r="W132" s="282"/>
      <c r="X132" s="5"/>
    </row>
    <row r="133" spans="1:24" ht="15.6" x14ac:dyDescent="0.3">
      <c r="A133" s="177"/>
      <c r="B133" s="275"/>
      <c r="C133" s="275"/>
      <c r="D133" s="275"/>
      <c r="E133" s="275"/>
      <c r="F133" s="275"/>
      <c r="G133" s="275"/>
      <c r="H133" s="275"/>
      <c r="I133" s="275"/>
      <c r="J133" s="275"/>
      <c r="K133" s="275"/>
      <c r="L133" s="275"/>
      <c r="M133" s="275"/>
      <c r="N133" s="275"/>
      <c r="O133" s="275"/>
      <c r="P133" s="275"/>
      <c r="Q133" s="275"/>
      <c r="R133" s="275"/>
      <c r="S133" s="275"/>
      <c r="T133" s="327"/>
      <c r="U133" s="327"/>
      <c r="V133" s="327"/>
      <c r="W133" s="275"/>
      <c r="X133" s="5"/>
    </row>
    <row r="134" spans="1:24" ht="15.6" x14ac:dyDescent="0.3">
      <c r="A134" s="177"/>
      <c r="B134" s="179"/>
      <c r="C134" s="179"/>
      <c r="D134" s="179"/>
      <c r="E134" s="179"/>
      <c r="F134" s="179"/>
      <c r="G134" s="179"/>
      <c r="H134" s="179"/>
      <c r="I134" s="179"/>
      <c r="J134" s="179"/>
      <c r="K134" s="179"/>
      <c r="L134" s="179"/>
      <c r="M134" s="179"/>
      <c r="N134" s="179"/>
      <c r="O134" s="179"/>
      <c r="P134" s="179"/>
      <c r="Q134" s="179"/>
      <c r="R134" s="179"/>
      <c r="S134" s="179"/>
      <c r="T134" s="179"/>
      <c r="U134" s="179"/>
      <c r="V134" s="199"/>
      <c r="W134" s="179"/>
      <c r="X134" s="5"/>
    </row>
    <row r="135" spans="1:24" ht="18" thickBot="1" x14ac:dyDescent="0.35">
      <c r="A135" s="194"/>
      <c r="B135" s="264" t="str">
        <f>B64</f>
        <v>PM12 INVESTOR REPORT QUARTER ENDING JULY 2010</v>
      </c>
      <c r="C135" s="195"/>
      <c r="D135" s="195"/>
      <c r="E135" s="195"/>
      <c r="F135" s="195"/>
      <c r="G135" s="195"/>
      <c r="H135" s="195"/>
      <c r="I135" s="195"/>
      <c r="J135" s="195"/>
      <c r="K135" s="195"/>
      <c r="L135" s="195"/>
      <c r="M135" s="195"/>
      <c r="N135" s="195"/>
      <c r="O135" s="195"/>
      <c r="P135" s="195"/>
      <c r="Q135" s="195"/>
      <c r="R135" s="195"/>
      <c r="S135" s="195"/>
      <c r="T135" s="195"/>
      <c r="U135" s="195"/>
      <c r="V135" s="207"/>
      <c r="W135" s="197"/>
      <c r="X135" s="5"/>
    </row>
    <row r="136" spans="1:24" ht="15.6" x14ac:dyDescent="0.3">
      <c r="A136" s="235"/>
      <c r="B136" s="238" t="s">
        <v>42</v>
      </c>
      <c r="C136" s="236"/>
      <c r="D136" s="236"/>
      <c r="E136" s="236"/>
      <c r="F136" s="236"/>
      <c r="G136" s="236"/>
      <c r="H136" s="236"/>
      <c r="I136" s="236"/>
      <c r="J136" s="236"/>
      <c r="K136" s="236"/>
      <c r="L136" s="236"/>
      <c r="M136" s="236"/>
      <c r="N136" s="236"/>
      <c r="O136" s="236"/>
      <c r="P136" s="236"/>
      <c r="Q136" s="236"/>
      <c r="R136" s="236"/>
      <c r="S136" s="236"/>
      <c r="T136" s="236"/>
      <c r="U136" s="236"/>
      <c r="V136" s="237"/>
      <c r="W136" s="236"/>
      <c r="X136" s="5"/>
    </row>
    <row r="137" spans="1:24" ht="15.6" x14ac:dyDescent="0.3">
      <c r="A137" s="177"/>
      <c r="B137" s="186"/>
      <c r="C137" s="179"/>
      <c r="D137" s="179"/>
      <c r="E137" s="179"/>
      <c r="F137" s="179"/>
      <c r="G137" s="179"/>
      <c r="H137" s="179"/>
      <c r="I137" s="179"/>
      <c r="J137" s="179"/>
      <c r="K137" s="179"/>
      <c r="L137" s="179"/>
      <c r="M137" s="179"/>
      <c r="N137" s="179"/>
      <c r="O137" s="179"/>
      <c r="P137" s="179"/>
      <c r="Q137" s="179"/>
      <c r="R137" s="179"/>
      <c r="S137" s="179"/>
      <c r="T137" s="179"/>
      <c r="U137" s="179"/>
      <c r="V137" s="199"/>
      <c r="W137" s="179"/>
      <c r="X137" s="5"/>
    </row>
    <row r="138" spans="1:24" ht="15.6" x14ac:dyDescent="0.3">
      <c r="A138" s="177"/>
      <c r="B138" s="208" t="s">
        <v>43</v>
      </c>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278"/>
      <c r="B139" s="279" t="s">
        <v>44</v>
      </c>
      <c r="C139" s="279"/>
      <c r="D139" s="279"/>
      <c r="E139" s="279"/>
      <c r="F139" s="279"/>
      <c r="G139" s="279"/>
      <c r="H139" s="279"/>
      <c r="I139" s="279"/>
      <c r="J139" s="279"/>
      <c r="K139" s="279"/>
      <c r="L139" s="279"/>
      <c r="M139" s="279"/>
      <c r="N139" s="279"/>
      <c r="O139" s="279"/>
      <c r="P139" s="279"/>
      <c r="Q139" s="279"/>
      <c r="R139" s="279"/>
      <c r="S139" s="279"/>
      <c r="T139" s="279"/>
      <c r="U139" s="279"/>
      <c r="V139" s="330">
        <f>+V34*0.019</f>
        <v>28503.895</v>
      </c>
      <c r="W139" s="310"/>
      <c r="X139" s="5"/>
    </row>
    <row r="140" spans="1:24" ht="15.6" x14ac:dyDescent="0.3">
      <c r="A140" s="278"/>
      <c r="B140" s="279" t="s">
        <v>45</v>
      </c>
      <c r="C140" s="279"/>
      <c r="D140" s="279"/>
      <c r="E140" s="279"/>
      <c r="F140" s="279"/>
      <c r="G140" s="279"/>
      <c r="H140" s="279"/>
      <c r="I140" s="279"/>
      <c r="J140" s="279"/>
      <c r="K140" s="279"/>
      <c r="L140" s="279"/>
      <c r="M140" s="279"/>
      <c r="N140" s="279"/>
      <c r="O140" s="279"/>
      <c r="P140" s="279"/>
      <c r="Q140" s="279"/>
      <c r="R140" s="279"/>
      <c r="S140" s="279"/>
      <c r="T140" s="279"/>
      <c r="U140" s="279"/>
      <c r="V140" s="330">
        <v>28504</v>
      </c>
      <c r="W140" s="310"/>
      <c r="X140" s="5"/>
    </row>
    <row r="141" spans="1:24" ht="15.6" x14ac:dyDescent="0.3">
      <c r="A141" s="278"/>
      <c r="B141" s="279" t="s">
        <v>141</v>
      </c>
      <c r="C141" s="279"/>
      <c r="D141" s="279"/>
      <c r="E141" s="279"/>
      <c r="F141" s="279"/>
      <c r="G141" s="279"/>
      <c r="H141" s="279"/>
      <c r="I141" s="279"/>
      <c r="J141" s="279"/>
      <c r="K141" s="279"/>
      <c r="L141" s="279"/>
      <c r="M141" s="279"/>
      <c r="N141" s="279"/>
      <c r="O141" s="279"/>
      <c r="P141" s="279"/>
      <c r="Q141" s="279"/>
      <c r="R141" s="279"/>
      <c r="S141" s="279"/>
      <c r="T141" s="279"/>
      <c r="U141" s="279"/>
      <c r="V141" s="330">
        <v>0</v>
      </c>
      <c r="W141" s="310"/>
      <c r="X141" s="5"/>
    </row>
    <row r="142" spans="1:24" ht="15.6" x14ac:dyDescent="0.3">
      <c r="A142" s="278"/>
      <c r="B142" s="279" t="s">
        <v>128</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129</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181</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46</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134</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230</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c r="Y147" s="109"/>
    </row>
    <row r="148" spans="1:25" ht="15.6" x14ac:dyDescent="0.3">
      <c r="A148" s="278"/>
      <c r="B148" s="279" t="s">
        <v>47</v>
      </c>
      <c r="C148" s="279"/>
      <c r="D148" s="279"/>
      <c r="E148" s="279"/>
      <c r="F148" s="279"/>
      <c r="G148" s="279"/>
      <c r="H148" s="279"/>
      <c r="I148" s="279"/>
      <c r="J148" s="279"/>
      <c r="K148" s="279"/>
      <c r="L148" s="279"/>
      <c r="M148" s="279"/>
      <c r="N148" s="279"/>
      <c r="O148" s="279"/>
      <c r="P148" s="279"/>
      <c r="Q148" s="279"/>
      <c r="R148" s="279"/>
      <c r="S148" s="279"/>
      <c r="T148" s="279"/>
      <c r="U148" s="279"/>
      <c r="V148" s="330">
        <f>SUM(V140:V147)</f>
        <v>28504</v>
      </c>
      <c r="W148" s="310"/>
      <c r="X148" s="5"/>
    </row>
    <row r="149" spans="1:25" ht="15.6" x14ac:dyDescent="0.3">
      <c r="A149" s="278"/>
      <c r="B149" s="305"/>
      <c r="C149" s="305"/>
      <c r="D149" s="305"/>
      <c r="E149" s="305"/>
      <c r="F149" s="305"/>
      <c r="G149" s="305"/>
      <c r="H149" s="305"/>
      <c r="I149" s="305"/>
      <c r="J149" s="305"/>
      <c r="K149" s="305"/>
      <c r="L149" s="305"/>
      <c r="M149" s="305"/>
      <c r="N149" s="305"/>
      <c r="O149" s="305"/>
      <c r="P149" s="305"/>
      <c r="Q149" s="305"/>
      <c r="R149" s="305"/>
      <c r="S149" s="305"/>
      <c r="T149" s="305"/>
      <c r="U149" s="305"/>
      <c r="V149" s="335"/>
      <c r="W149" s="310"/>
      <c r="X149" s="5"/>
    </row>
    <row r="150" spans="1:25" ht="15.6" x14ac:dyDescent="0.3">
      <c r="A150" s="278"/>
      <c r="B150" s="333" t="s">
        <v>269</v>
      </c>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279" t="s">
        <v>160</v>
      </c>
      <c r="C151" s="279"/>
      <c r="D151" s="279"/>
      <c r="E151" s="279"/>
      <c r="F151" s="279"/>
      <c r="G151" s="279"/>
      <c r="H151" s="279"/>
      <c r="I151" s="279"/>
      <c r="J151" s="279"/>
      <c r="K151" s="279"/>
      <c r="L151" s="279"/>
      <c r="M151" s="279"/>
      <c r="N151" s="279"/>
      <c r="O151" s="279"/>
      <c r="P151" s="279"/>
      <c r="Q151" s="279"/>
      <c r="R151" s="279"/>
      <c r="S151" s="279"/>
      <c r="T151" s="279"/>
      <c r="U151" s="279"/>
      <c r="V151" s="330">
        <v>0</v>
      </c>
      <c r="W151" s="310"/>
      <c r="X151" s="5"/>
    </row>
    <row r="152" spans="1:25" ht="15.6" x14ac:dyDescent="0.3">
      <c r="A152" s="278"/>
      <c r="B152" s="279" t="s">
        <v>178</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270</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305"/>
      <c r="C154" s="305"/>
      <c r="D154" s="305"/>
      <c r="E154" s="305"/>
      <c r="F154" s="305"/>
      <c r="G154" s="305"/>
      <c r="H154" s="305"/>
      <c r="I154" s="305"/>
      <c r="J154" s="305"/>
      <c r="K154" s="305"/>
      <c r="L154" s="305"/>
      <c r="M154" s="305"/>
      <c r="N154" s="305"/>
      <c r="O154" s="305"/>
      <c r="P154" s="305"/>
      <c r="Q154" s="305"/>
      <c r="R154" s="305"/>
      <c r="S154" s="305"/>
      <c r="T154" s="305"/>
      <c r="U154" s="305"/>
      <c r="V154" s="335"/>
      <c r="W154" s="310"/>
      <c r="X154" s="5"/>
    </row>
    <row r="155" spans="1:25" ht="15.6" x14ac:dyDescent="0.3">
      <c r="A155" s="177"/>
      <c r="B155" s="275"/>
      <c r="C155" s="275"/>
      <c r="D155" s="275"/>
      <c r="E155" s="275"/>
      <c r="F155" s="275"/>
      <c r="G155" s="275"/>
      <c r="H155" s="275"/>
      <c r="I155" s="275"/>
      <c r="J155" s="275"/>
      <c r="K155" s="275"/>
      <c r="L155" s="275"/>
      <c r="M155" s="275"/>
      <c r="N155" s="275"/>
      <c r="O155" s="275"/>
      <c r="P155" s="275"/>
      <c r="Q155" s="275"/>
      <c r="R155" s="275"/>
      <c r="S155" s="275"/>
      <c r="T155" s="275"/>
      <c r="U155" s="275"/>
      <c r="V155" s="338"/>
      <c r="W155" s="275"/>
      <c r="X155" s="5"/>
    </row>
    <row r="156" spans="1:25" ht="15.6" x14ac:dyDescent="0.3">
      <c r="A156" s="177"/>
      <c r="B156" s="208" t="s">
        <v>24</v>
      </c>
      <c r="C156" s="179"/>
      <c r="D156" s="179"/>
      <c r="E156" s="179"/>
      <c r="F156" s="179"/>
      <c r="G156" s="179"/>
      <c r="H156" s="179"/>
      <c r="I156" s="179"/>
      <c r="J156" s="179"/>
      <c r="K156" s="179"/>
      <c r="L156" s="179"/>
      <c r="M156" s="179"/>
      <c r="N156" s="179"/>
      <c r="O156" s="179"/>
      <c r="P156" s="179"/>
      <c r="Q156" s="179"/>
      <c r="R156" s="179"/>
      <c r="S156" s="179"/>
      <c r="T156" s="179"/>
      <c r="U156" s="179"/>
      <c r="V156" s="199"/>
      <c r="W156" s="179"/>
      <c r="X156" s="5"/>
    </row>
    <row r="157" spans="1:25" ht="15.6" x14ac:dyDescent="0.3">
      <c r="A157" s="278"/>
      <c r="B157" s="279" t="s">
        <v>48</v>
      </c>
      <c r="C157" s="279"/>
      <c r="D157" s="279"/>
      <c r="E157" s="279"/>
      <c r="F157" s="279"/>
      <c r="G157" s="279"/>
      <c r="H157" s="279"/>
      <c r="I157" s="279"/>
      <c r="J157" s="279"/>
      <c r="K157" s="279"/>
      <c r="L157" s="279"/>
      <c r="M157" s="279"/>
      <c r="N157" s="279"/>
      <c r="O157" s="279"/>
      <c r="P157" s="279"/>
      <c r="Q157" s="279"/>
      <c r="R157" s="279"/>
      <c r="S157" s="279"/>
      <c r="T157" s="279"/>
      <c r="U157" s="279"/>
      <c r="V157" s="339" t="s">
        <v>123</v>
      </c>
      <c r="W157" s="282"/>
      <c r="X157" s="5"/>
    </row>
    <row r="158" spans="1:25" ht="15.6" x14ac:dyDescent="0.3">
      <c r="A158" s="278"/>
      <c r="B158" s="279" t="s">
        <v>49</v>
      </c>
      <c r="C158" s="281"/>
      <c r="D158" s="281"/>
      <c r="E158" s="281"/>
      <c r="F158" s="281"/>
      <c r="G158" s="281"/>
      <c r="H158" s="281"/>
      <c r="I158" s="281"/>
      <c r="J158" s="281"/>
      <c r="K158" s="281"/>
      <c r="L158" s="281"/>
      <c r="M158" s="281"/>
      <c r="N158" s="281"/>
      <c r="O158" s="281"/>
      <c r="P158" s="281"/>
      <c r="Q158" s="281"/>
      <c r="R158" s="281"/>
      <c r="S158" s="281"/>
      <c r="T158" s="281"/>
      <c r="U158" s="281"/>
      <c r="V158" s="339" t="s">
        <v>123</v>
      </c>
      <c r="W158" s="282"/>
      <c r="X158" s="5"/>
    </row>
    <row r="159" spans="1:25" ht="15.6" x14ac:dyDescent="0.3">
      <c r="A159" s="278"/>
      <c r="B159" s="279" t="s">
        <v>50</v>
      </c>
      <c r="C159" s="279"/>
      <c r="D159" s="279"/>
      <c r="E159" s="279"/>
      <c r="F159" s="279"/>
      <c r="G159" s="279"/>
      <c r="H159" s="279"/>
      <c r="I159" s="279"/>
      <c r="J159" s="279"/>
      <c r="K159" s="279"/>
      <c r="L159" s="279"/>
      <c r="M159" s="279"/>
      <c r="N159" s="279"/>
      <c r="O159" s="279"/>
      <c r="P159" s="279"/>
      <c r="Q159" s="279"/>
      <c r="R159" s="279"/>
      <c r="S159" s="279"/>
      <c r="T159" s="279"/>
      <c r="U159" s="279"/>
      <c r="V159" s="339" t="s">
        <v>123</v>
      </c>
      <c r="W159" s="282"/>
      <c r="X159" s="5"/>
    </row>
    <row r="160" spans="1:25" ht="15.6" x14ac:dyDescent="0.3">
      <c r="A160" s="278"/>
      <c r="B160" s="279" t="s">
        <v>51</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177"/>
      <c r="B161" s="275"/>
      <c r="C161" s="275"/>
      <c r="D161" s="275"/>
      <c r="E161" s="275"/>
      <c r="F161" s="275"/>
      <c r="G161" s="275"/>
      <c r="H161" s="275"/>
      <c r="I161" s="275"/>
      <c r="J161" s="275"/>
      <c r="K161" s="275"/>
      <c r="L161" s="275"/>
      <c r="M161" s="275"/>
      <c r="N161" s="275"/>
      <c r="O161" s="275"/>
      <c r="P161" s="275"/>
      <c r="Q161" s="275"/>
      <c r="R161" s="275"/>
      <c r="S161" s="275"/>
      <c r="T161" s="275"/>
      <c r="U161" s="275"/>
      <c r="V161" s="338"/>
      <c r="W161" s="275"/>
      <c r="X161" s="5"/>
    </row>
    <row r="162" spans="1:24" ht="15.6" x14ac:dyDescent="0.3">
      <c r="A162" s="177"/>
      <c r="B162" s="208" t="s">
        <v>52</v>
      </c>
      <c r="C162" s="179"/>
      <c r="D162" s="179"/>
      <c r="E162" s="179"/>
      <c r="F162" s="179"/>
      <c r="G162" s="179"/>
      <c r="H162" s="179"/>
      <c r="I162" s="179"/>
      <c r="J162" s="179"/>
      <c r="K162" s="179"/>
      <c r="L162" s="179"/>
      <c r="M162" s="179"/>
      <c r="N162" s="179"/>
      <c r="O162" s="179"/>
      <c r="P162" s="179"/>
      <c r="Q162" s="179"/>
      <c r="R162" s="179"/>
      <c r="S162" s="179"/>
      <c r="T162" s="179"/>
      <c r="U162" s="179"/>
      <c r="V162" s="209"/>
      <c r="W162" s="179"/>
      <c r="X162" s="5"/>
    </row>
    <row r="163" spans="1:24" ht="15.6" x14ac:dyDescent="0.3">
      <c r="A163" s="278"/>
      <c r="B163" s="279" t="s">
        <v>53</v>
      </c>
      <c r="C163" s="279"/>
      <c r="D163" s="279"/>
      <c r="E163" s="279"/>
      <c r="F163" s="279"/>
      <c r="G163" s="279"/>
      <c r="H163" s="279"/>
      <c r="I163" s="279"/>
      <c r="J163" s="279"/>
      <c r="K163" s="279"/>
      <c r="L163" s="279"/>
      <c r="M163" s="279"/>
      <c r="N163" s="279"/>
      <c r="O163" s="279"/>
      <c r="P163" s="279"/>
      <c r="Q163" s="279"/>
      <c r="R163" s="279"/>
      <c r="S163" s="279"/>
      <c r="T163" s="279"/>
      <c r="U163" s="279"/>
      <c r="V163" s="330">
        <v>0</v>
      </c>
      <c r="W163" s="310"/>
      <c r="X163" s="5"/>
    </row>
    <row r="164" spans="1:24" ht="15.6" x14ac:dyDescent="0.3">
      <c r="A164" s="278"/>
      <c r="B164" s="279" t="s">
        <v>54</v>
      </c>
      <c r="C164" s="279"/>
      <c r="D164" s="279"/>
      <c r="E164" s="279"/>
      <c r="F164" s="279"/>
      <c r="G164" s="279"/>
      <c r="H164" s="279"/>
      <c r="I164" s="279"/>
      <c r="J164" s="279"/>
      <c r="K164" s="279"/>
      <c r="L164" s="279"/>
      <c r="M164" s="279"/>
      <c r="N164" s="279"/>
      <c r="O164" s="279"/>
      <c r="P164" s="279"/>
      <c r="Q164" s="279"/>
      <c r="R164" s="279"/>
      <c r="S164" s="279"/>
      <c r="T164" s="279"/>
      <c r="U164" s="279"/>
      <c r="V164" s="330">
        <f>-V113</f>
        <v>200</v>
      </c>
      <c r="W164" s="310"/>
      <c r="X164" s="5"/>
    </row>
    <row r="165" spans="1:24" ht="15.6" x14ac:dyDescent="0.3">
      <c r="A165" s="278"/>
      <c r="B165" s="279" t="s">
        <v>55</v>
      </c>
      <c r="C165" s="279"/>
      <c r="D165" s="279"/>
      <c r="E165" s="279"/>
      <c r="F165" s="279"/>
      <c r="G165" s="279"/>
      <c r="H165" s="279"/>
      <c r="I165" s="279"/>
      <c r="J165" s="279"/>
      <c r="K165" s="279"/>
      <c r="L165" s="279"/>
      <c r="M165" s="279"/>
      <c r="N165" s="279"/>
      <c r="O165" s="279"/>
      <c r="P165" s="279"/>
      <c r="Q165" s="279"/>
      <c r="R165" s="279"/>
      <c r="S165" s="279"/>
      <c r="T165" s="279"/>
      <c r="U165" s="279"/>
      <c r="V165" s="330">
        <f>V164+V163</f>
        <v>200</v>
      </c>
      <c r="W165" s="310"/>
      <c r="X165" s="5"/>
    </row>
    <row r="166" spans="1:24" ht="15.6" x14ac:dyDescent="0.3">
      <c r="A166" s="278"/>
      <c r="B166" s="399" t="s">
        <v>310</v>
      </c>
      <c r="C166" s="279"/>
      <c r="D166" s="279"/>
      <c r="E166" s="279"/>
      <c r="F166" s="279"/>
      <c r="G166" s="279"/>
      <c r="H166" s="279"/>
      <c r="I166" s="279"/>
      <c r="J166" s="279"/>
      <c r="K166" s="279"/>
      <c r="L166" s="279"/>
      <c r="M166" s="279"/>
      <c r="N166" s="279"/>
      <c r="O166" s="279"/>
      <c r="P166" s="279"/>
      <c r="Q166" s="279"/>
      <c r="R166" s="279"/>
      <c r="S166" s="279"/>
      <c r="T166" s="279"/>
      <c r="U166" s="279"/>
      <c r="V166" s="330">
        <f>V113</f>
        <v>-200</v>
      </c>
      <c r="W166" s="310"/>
      <c r="X166" s="5"/>
    </row>
    <row r="167" spans="1:24" ht="15.6" x14ac:dyDescent="0.3">
      <c r="A167" s="278"/>
      <c r="B167" s="279" t="s">
        <v>56</v>
      </c>
      <c r="C167" s="279"/>
      <c r="D167" s="279"/>
      <c r="E167" s="279"/>
      <c r="F167" s="279"/>
      <c r="G167" s="279"/>
      <c r="H167" s="279"/>
      <c r="I167" s="279"/>
      <c r="J167" s="279"/>
      <c r="K167" s="279"/>
      <c r="L167" s="279"/>
      <c r="M167" s="279"/>
      <c r="N167" s="279"/>
      <c r="O167" s="279"/>
      <c r="P167" s="279"/>
      <c r="Q167" s="279"/>
      <c r="R167" s="279"/>
      <c r="S167" s="279"/>
      <c r="T167" s="279"/>
      <c r="U167" s="279"/>
      <c r="V167" s="330">
        <f>V165+V166</f>
        <v>0</v>
      </c>
      <c r="W167" s="310"/>
      <c r="X167" s="5"/>
    </row>
    <row r="168" spans="1:24" ht="15.6" x14ac:dyDescent="0.3">
      <c r="A168" s="278"/>
      <c r="B168" s="279" t="s">
        <v>282</v>
      </c>
      <c r="C168" s="279"/>
      <c r="D168" s="279"/>
      <c r="E168" s="279"/>
      <c r="F168" s="279"/>
      <c r="G168" s="279"/>
      <c r="H168" s="279"/>
      <c r="I168" s="279"/>
      <c r="J168" s="279"/>
      <c r="K168" s="279"/>
      <c r="L168" s="279"/>
      <c r="M168" s="279"/>
      <c r="N168" s="279"/>
      <c r="O168" s="279"/>
      <c r="P168" s="279"/>
      <c r="Q168" s="279"/>
      <c r="R168" s="279"/>
      <c r="S168" s="279"/>
      <c r="T168" s="279"/>
      <c r="U168" s="279"/>
      <c r="V168" s="330">
        <v>0</v>
      </c>
      <c r="W168" s="310"/>
      <c r="X168" s="5"/>
    </row>
    <row r="169" spans="1:24" ht="16.2" thickBot="1" x14ac:dyDescent="0.35">
      <c r="A169" s="177"/>
      <c r="B169" s="275"/>
      <c r="C169" s="275"/>
      <c r="D169" s="275"/>
      <c r="E169" s="275"/>
      <c r="F169" s="275"/>
      <c r="G169" s="275"/>
      <c r="H169" s="275"/>
      <c r="I169" s="275"/>
      <c r="J169" s="275"/>
      <c r="K169" s="275"/>
      <c r="L169" s="275"/>
      <c r="M169" s="275"/>
      <c r="N169" s="275"/>
      <c r="O169" s="275"/>
      <c r="P169" s="275"/>
      <c r="Q169" s="275"/>
      <c r="R169" s="275"/>
      <c r="S169" s="275"/>
      <c r="T169" s="275"/>
      <c r="U169" s="275"/>
      <c r="V169" s="338"/>
      <c r="W169" s="275"/>
      <c r="X169" s="5"/>
    </row>
    <row r="170" spans="1:24"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76"/>
      <c r="U170" s="176"/>
      <c r="V170" s="198"/>
      <c r="W170" s="176"/>
      <c r="X170" s="5"/>
    </row>
    <row r="171" spans="1:24" ht="15.6" x14ac:dyDescent="0.3">
      <c r="A171" s="177"/>
      <c r="B171" s="208" t="s">
        <v>57</v>
      </c>
      <c r="C171" s="179"/>
      <c r="D171" s="179"/>
      <c r="E171" s="179"/>
      <c r="F171" s="179"/>
      <c r="G171" s="179"/>
      <c r="H171" s="179"/>
      <c r="I171" s="179"/>
      <c r="J171" s="179"/>
      <c r="K171" s="179"/>
      <c r="L171" s="179"/>
      <c r="M171" s="179"/>
      <c r="N171" s="179"/>
      <c r="O171" s="179"/>
      <c r="P171" s="179"/>
      <c r="Q171" s="179"/>
      <c r="R171" s="179"/>
      <c r="S171" s="179"/>
      <c r="T171" s="179"/>
      <c r="U171" s="179"/>
      <c r="V171" s="199"/>
      <c r="W171" s="179"/>
      <c r="X171" s="5"/>
    </row>
    <row r="172" spans="1:24" ht="15.6" x14ac:dyDescent="0.3">
      <c r="A172" s="177"/>
      <c r="B172" s="186"/>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278"/>
      <c r="B173" s="279" t="s">
        <v>58</v>
      </c>
      <c r="C173" s="279"/>
      <c r="D173" s="279"/>
      <c r="E173" s="279"/>
      <c r="F173" s="279"/>
      <c r="G173" s="279"/>
      <c r="H173" s="279"/>
      <c r="I173" s="279"/>
      <c r="J173" s="279"/>
      <c r="K173" s="279"/>
      <c r="L173" s="279"/>
      <c r="M173" s="279"/>
      <c r="N173" s="279"/>
      <c r="O173" s="279"/>
      <c r="P173" s="279"/>
      <c r="Q173" s="279"/>
      <c r="R173" s="279"/>
      <c r="S173" s="279"/>
      <c r="T173" s="279"/>
      <c r="U173" s="279"/>
      <c r="V173" s="330">
        <f>V71</f>
        <v>1031753</v>
      </c>
      <c r="W173" s="282"/>
      <c r="X173" s="5"/>
    </row>
    <row r="174" spans="1:24" ht="15.6" x14ac:dyDescent="0.3">
      <c r="A174" s="278"/>
      <c r="B174" s="279" t="s">
        <v>59</v>
      </c>
      <c r="C174" s="279"/>
      <c r="D174" s="279"/>
      <c r="E174" s="279"/>
      <c r="F174" s="279"/>
      <c r="G174" s="279"/>
      <c r="H174" s="279"/>
      <c r="I174" s="279"/>
      <c r="J174" s="279"/>
      <c r="K174" s="279"/>
      <c r="L174" s="279"/>
      <c r="M174" s="279"/>
      <c r="N174" s="279"/>
      <c r="O174" s="279"/>
      <c r="P174" s="279"/>
      <c r="Q174" s="279"/>
      <c r="R174" s="279"/>
      <c r="S174" s="279"/>
      <c r="T174" s="279"/>
      <c r="U174" s="279"/>
      <c r="V174" s="330">
        <f>V84</f>
        <v>1031753</v>
      </c>
      <c r="W174" s="282"/>
      <c r="X174" s="5"/>
    </row>
    <row r="175" spans="1:24" ht="16.2" thickBot="1" x14ac:dyDescent="0.35">
      <c r="A175" s="177"/>
      <c r="B175" s="275"/>
      <c r="C175" s="275"/>
      <c r="D175" s="275"/>
      <c r="E175" s="275"/>
      <c r="F175" s="275"/>
      <c r="G175" s="275"/>
      <c r="H175" s="275"/>
      <c r="I175" s="275"/>
      <c r="J175" s="275"/>
      <c r="K175" s="275"/>
      <c r="L175" s="275"/>
      <c r="M175" s="275"/>
      <c r="N175" s="275"/>
      <c r="O175" s="275"/>
      <c r="P175" s="275"/>
      <c r="Q175" s="275"/>
      <c r="R175" s="275"/>
      <c r="S175" s="275"/>
      <c r="T175" s="275"/>
      <c r="U175" s="275"/>
      <c r="V175" s="338"/>
      <c r="W175" s="275"/>
      <c r="X175" s="5"/>
    </row>
    <row r="176" spans="1:24"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76"/>
      <c r="U176" s="176"/>
      <c r="V176" s="198"/>
      <c r="W176" s="176"/>
      <c r="X176" s="5"/>
    </row>
    <row r="177" spans="1:24" ht="15.6" x14ac:dyDescent="0.3">
      <c r="A177" s="177"/>
      <c r="B177" s="208" t="s">
        <v>60</v>
      </c>
      <c r="C177" s="203"/>
      <c r="D177" s="203"/>
      <c r="E177" s="203"/>
      <c r="F177" s="203"/>
      <c r="G177" s="203"/>
      <c r="H177" s="210"/>
      <c r="I177" s="210"/>
      <c r="J177" s="210"/>
      <c r="K177" s="210"/>
      <c r="L177" s="210"/>
      <c r="M177" s="210"/>
      <c r="N177" s="210"/>
      <c r="O177" s="210"/>
      <c r="P177" s="210"/>
      <c r="Q177" s="210"/>
      <c r="R177" s="210"/>
      <c r="S177" s="210" t="s">
        <v>103</v>
      </c>
      <c r="T177" s="210" t="s">
        <v>182</v>
      </c>
      <c r="U177" s="181"/>
      <c r="V177" s="211" t="s">
        <v>119</v>
      </c>
      <c r="W177" s="212"/>
      <c r="X177" s="5"/>
    </row>
    <row r="178" spans="1:24" ht="15.6" x14ac:dyDescent="0.3">
      <c r="A178" s="278"/>
      <c r="B178" s="279" t="s">
        <v>61</v>
      </c>
      <c r="C178" s="279"/>
      <c r="D178" s="279"/>
      <c r="E178" s="279"/>
      <c r="F178" s="279"/>
      <c r="G178" s="279"/>
      <c r="H178" s="279"/>
      <c r="I178" s="279"/>
      <c r="J178" s="279"/>
      <c r="K178" s="279"/>
      <c r="L178" s="279"/>
      <c r="M178" s="279"/>
      <c r="N178" s="279"/>
      <c r="O178" s="279"/>
      <c r="P178" s="279"/>
      <c r="Q178" s="279"/>
      <c r="R178" s="279"/>
      <c r="S178" s="330">
        <f>+V34*0.16</f>
        <v>240032.80000000002</v>
      </c>
      <c r="T178" s="317"/>
      <c r="U178" s="279"/>
      <c r="V178" s="330"/>
      <c r="W178" s="310"/>
      <c r="X178" s="5"/>
    </row>
    <row r="179" spans="1:24" ht="15.6" x14ac:dyDescent="0.3">
      <c r="A179" s="278"/>
      <c r="B179" s="279" t="s">
        <v>62</v>
      </c>
      <c r="C179" s="279"/>
      <c r="D179" s="279"/>
      <c r="E179" s="279"/>
      <c r="F179" s="279"/>
      <c r="G179" s="279"/>
      <c r="H179" s="279"/>
      <c r="I179" s="279"/>
      <c r="J179" s="279"/>
      <c r="K179" s="279"/>
      <c r="L179" s="279"/>
      <c r="M179" s="279"/>
      <c r="N179" s="279"/>
      <c r="O179" s="279"/>
      <c r="P179" s="279"/>
      <c r="Q179" s="279"/>
      <c r="R179" s="279"/>
      <c r="S179" s="330">
        <f>+'April 10'!S182</f>
        <v>47293</v>
      </c>
      <c r="T179" s="330">
        <f>+'April 10'!T182</f>
        <v>6277</v>
      </c>
      <c r="U179" s="279"/>
      <c r="V179" s="330">
        <f>S179+T179</f>
        <v>53570</v>
      </c>
      <c r="W179" s="310"/>
      <c r="X179" s="5"/>
    </row>
    <row r="180" spans="1:24" ht="15.6" x14ac:dyDescent="0.3">
      <c r="A180" s="278"/>
      <c r="B180" s="279" t="s">
        <v>63</v>
      </c>
      <c r="C180" s="279"/>
      <c r="D180" s="279"/>
      <c r="E180" s="279"/>
      <c r="F180" s="279"/>
      <c r="G180" s="279"/>
      <c r="H180" s="279"/>
      <c r="I180" s="279"/>
      <c r="J180" s="279"/>
      <c r="K180" s="279"/>
      <c r="L180" s="279"/>
      <c r="M180" s="279"/>
      <c r="N180" s="279"/>
      <c r="O180" s="279"/>
      <c r="P180" s="279"/>
      <c r="Q180" s="279"/>
      <c r="R180" s="279"/>
      <c r="S180" s="329">
        <v>95</v>
      </c>
      <c r="T180" s="329">
        <v>0</v>
      </c>
      <c r="U180" s="279"/>
      <c r="V180" s="330">
        <f>S180+T180</f>
        <v>95</v>
      </c>
      <c r="W180" s="310"/>
      <c r="X180" s="5"/>
    </row>
    <row r="181" spans="1:24" ht="15.6" x14ac:dyDescent="0.3">
      <c r="A181" s="278"/>
      <c r="B181" s="279" t="s">
        <v>64</v>
      </c>
      <c r="C181" s="279"/>
      <c r="D181" s="279"/>
      <c r="E181" s="279"/>
      <c r="F181" s="279"/>
      <c r="G181" s="279"/>
      <c r="H181" s="279"/>
      <c r="I181" s="279"/>
      <c r="J181" s="279"/>
      <c r="K181" s="279"/>
      <c r="L181" s="279"/>
      <c r="M181" s="279"/>
      <c r="N181" s="279"/>
      <c r="O181" s="279"/>
      <c r="P181" s="279"/>
      <c r="Q181" s="279"/>
      <c r="R181" s="279"/>
      <c r="S181" s="330">
        <f>S179+S180</f>
        <v>47388</v>
      </c>
      <c r="T181" s="330">
        <f>T180+T179</f>
        <v>6277</v>
      </c>
      <c r="U181" s="279"/>
      <c r="V181" s="330">
        <f>S181+T181</f>
        <v>53665</v>
      </c>
      <c r="W181" s="310"/>
      <c r="X181" s="5"/>
    </row>
    <row r="182" spans="1:24" ht="15.6" x14ac:dyDescent="0.3">
      <c r="A182" s="278"/>
      <c r="B182" s="279" t="s">
        <v>65</v>
      </c>
      <c r="C182" s="279"/>
      <c r="D182" s="279"/>
      <c r="E182" s="279"/>
      <c r="F182" s="279"/>
      <c r="G182" s="279"/>
      <c r="H182" s="279"/>
      <c r="I182" s="279"/>
      <c r="J182" s="279"/>
      <c r="K182" s="279"/>
      <c r="L182" s="279"/>
      <c r="M182" s="279"/>
      <c r="N182" s="279"/>
      <c r="O182" s="279"/>
      <c r="P182" s="279"/>
      <c r="Q182" s="279"/>
      <c r="R182" s="279"/>
      <c r="S182" s="330">
        <f>S178-S181-T181</f>
        <v>186367.80000000002</v>
      </c>
      <c r="T182" s="317"/>
      <c r="U182" s="279"/>
      <c r="V182" s="330"/>
      <c r="W182" s="310"/>
      <c r="X182" s="5"/>
    </row>
    <row r="183" spans="1:24" ht="16.2" thickBot="1" x14ac:dyDescent="0.35">
      <c r="A183" s="177"/>
      <c r="B183" s="275"/>
      <c r="C183" s="275"/>
      <c r="D183" s="275"/>
      <c r="E183" s="275"/>
      <c r="F183" s="275"/>
      <c r="G183" s="275"/>
      <c r="H183" s="275"/>
      <c r="I183" s="275"/>
      <c r="J183" s="275"/>
      <c r="K183" s="275"/>
      <c r="L183" s="275"/>
      <c r="M183" s="275"/>
      <c r="N183" s="275"/>
      <c r="O183" s="275"/>
      <c r="P183" s="275"/>
      <c r="Q183" s="275"/>
      <c r="R183" s="275"/>
      <c r="S183" s="275"/>
      <c r="T183" s="275"/>
      <c r="U183" s="275"/>
      <c r="V183" s="338"/>
      <c r="W183" s="275"/>
      <c r="X183" s="5"/>
    </row>
    <row r="184" spans="1:24"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76"/>
      <c r="U184" s="176"/>
      <c r="V184" s="198"/>
      <c r="W184" s="176"/>
      <c r="X184" s="5"/>
    </row>
    <row r="185" spans="1:24" ht="15.6" x14ac:dyDescent="0.3">
      <c r="A185" s="177"/>
      <c r="B185" s="208" t="s">
        <v>66</v>
      </c>
      <c r="C185" s="179"/>
      <c r="D185" s="179"/>
      <c r="E185" s="179"/>
      <c r="F185" s="179"/>
      <c r="G185" s="179"/>
      <c r="H185" s="179"/>
      <c r="I185" s="179"/>
      <c r="J185" s="179"/>
      <c r="K185" s="179"/>
      <c r="L185" s="179"/>
      <c r="M185" s="179"/>
      <c r="N185" s="179"/>
      <c r="O185" s="179"/>
      <c r="P185" s="179"/>
      <c r="Q185" s="179"/>
      <c r="R185" s="179"/>
      <c r="S185" s="179"/>
      <c r="T185" s="179"/>
      <c r="U185" s="179"/>
      <c r="V185" s="213"/>
      <c r="W185" s="179"/>
      <c r="X185" s="5"/>
    </row>
    <row r="186" spans="1:24" ht="15.6" x14ac:dyDescent="0.3">
      <c r="A186" s="278"/>
      <c r="B186" s="279" t="s">
        <v>67</v>
      </c>
      <c r="C186" s="279"/>
      <c r="D186" s="279"/>
      <c r="E186" s="279"/>
      <c r="F186" s="279"/>
      <c r="G186" s="279"/>
      <c r="H186" s="279"/>
      <c r="I186" s="279"/>
      <c r="J186" s="279"/>
      <c r="K186" s="279"/>
      <c r="L186" s="279"/>
      <c r="M186" s="279"/>
      <c r="N186" s="279"/>
      <c r="O186" s="279"/>
      <c r="P186" s="279"/>
      <c r="Q186" s="279"/>
      <c r="R186" s="279"/>
      <c r="S186" s="279"/>
      <c r="T186" s="279"/>
      <c r="U186" s="279"/>
      <c r="V186" s="339">
        <f>(V100+V102+V103+V104+V105)/-(V106+V107)</f>
        <v>3.1760969976905313</v>
      </c>
      <c r="W186" s="282" t="s">
        <v>120</v>
      </c>
      <c r="X186" s="5"/>
    </row>
    <row r="187" spans="1:24" ht="15.6" x14ac:dyDescent="0.3">
      <c r="A187" s="278"/>
      <c r="B187" s="279" t="s">
        <v>68</v>
      </c>
      <c r="C187" s="279"/>
      <c r="D187" s="279"/>
      <c r="E187" s="279"/>
      <c r="F187" s="279"/>
      <c r="G187" s="279"/>
      <c r="H187" s="279"/>
      <c r="I187" s="279"/>
      <c r="J187" s="279"/>
      <c r="K187" s="279"/>
      <c r="L187" s="279"/>
      <c r="M187" s="279"/>
      <c r="N187" s="279"/>
      <c r="O187" s="279"/>
      <c r="P187" s="279"/>
      <c r="Q187" s="279"/>
      <c r="R187" s="279"/>
      <c r="S187" s="279"/>
      <c r="T187" s="279"/>
      <c r="U187" s="279"/>
      <c r="V187" s="341">
        <v>1.49</v>
      </c>
      <c r="W187" s="282" t="s">
        <v>120</v>
      </c>
      <c r="X187" s="5"/>
    </row>
    <row r="188" spans="1:24" ht="15.6" x14ac:dyDescent="0.3">
      <c r="A188" s="278"/>
      <c r="B188" s="279" t="s">
        <v>69</v>
      </c>
      <c r="C188" s="279"/>
      <c r="D188" s="279"/>
      <c r="E188" s="279"/>
      <c r="F188" s="279"/>
      <c r="G188" s="279"/>
      <c r="H188" s="279"/>
      <c r="I188" s="279"/>
      <c r="J188" s="279"/>
      <c r="K188" s="279"/>
      <c r="L188" s="279"/>
      <c r="M188" s="279"/>
      <c r="N188" s="279"/>
      <c r="O188" s="279"/>
      <c r="P188" s="279"/>
      <c r="Q188" s="279"/>
      <c r="R188" s="279"/>
      <c r="S188" s="279"/>
      <c r="T188" s="279"/>
      <c r="U188" s="279"/>
      <c r="V188" s="339">
        <f>(V100+V102+V103+V104+V105+V106+V107)/-(V108+V109)</f>
        <v>14.330798479087452</v>
      </c>
      <c r="W188" s="282" t="s">
        <v>120</v>
      </c>
      <c r="X188" s="5"/>
    </row>
    <row r="189" spans="1:24" ht="15.6" x14ac:dyDescent="0.3">
      <c r="A189" s="278"/>
      <c r="B189" s="279" t="s">
        <v>70</v>
      </c>
      <c r="C189" s="279"/>
      <c r="D189" s="279"/>
      <c r="E189" s="279"/>
      <c r="F189" s="279"/>
      <c r="G189" s="279"/>
      <c r="H189" s="279"/>
      <c r="I189" s="279"/>
      <c r="J189" s="279"/>
      <c r="K189" s="279"/>
      <c r="L189" s="279"/>
      <c r="M189" s="279"/>
      <c r="N189" s="279"/>
      <c r="O189" s="279"/>
      <c r="P189" s="279"/>
      <c r="Q189" s="279"/>
      <c r="R189" s="279"/>
      <c r="S189" s="279"/>
      <c r="T189" s="279"/>
      <c r="U189" s="279"/>
      <c r="V189" s="341">
        <v>4.7699999999999996</v>
      </c>
      <c r="W189" s="282" t="s">
        <v>120</v>
      </c>
      <c r="X189" s="5"/>
    </row>
    <row r="190" spans="1:24" ht="15.6" x14ac:dyDescent="0.3">
      <c r="A190" s="278"/>
      <c r="B190" s="279" t="s">
        <v>204</v>
      </c>
      <c r="C190" s="279"/>
      <c r="D190" s="279"/>
      <c r="E190" s="279"/>
      <c r="F190" s="279"/>
      <c r="G190" s="279"/>
      <c r="H190" s="279"/>
      <c r="I190" s="279"/>
      <c r="J190" s="279"/>
      <c r="K190" s="279"/>
      <c r="L190" s="279"/>
      <c r="M190" s="279"/>
      <c r="N190" s="279"/>
      <c r="O190" s="279"/>
      <c r="P190" s="279"/>
      <c r="Q190" s="279"/>
      <c r="R190" s="279"/>
      <c r="S190" s="279"/>
      <c r="T190" s="279"/>
      <c r="U190" s="279"/>
      <c r="V190" s="339">
        <f>(V100+V102+V103+V104+V105+V106+V107+V108+V109)/-(V110+V111)</f>
        <v>13.280303030303031</v>
      </c>
      <c r="W190" s="282" t="s">
        <v>120</v>
      </c>
      <c r="X190" s="5"/>
    </row>
    <row r="191" spans="1:24" ht="15.6" x14ac:dyDescent="0.3">
      <c r="A191" s="278"/>
      <c r="B191" s="279" t="s">
        <v>205</v>
      </c>
      <c r="C191" s="279"/>
      <c r="D191" s="279"/>
      <c r="E191" s="279"/>
      <c r="F191" s="279"/>
      <c r="G191" s="279"/>
      <c r="H191" s="279"/>
      <c r="I191" s="279"/>
      <c r="J191" s="279"/>
      <c r="K191" s="279"/>
      <c r="L191" s="279"/>
      <c r="M191" s="279"/>
      <c r="N191" s="279"/>
      <c r="O191" s="279"/>
      <c r="P191" s="279"/>
      <c r="Q191" s="279"/>
      <c r="R191" s="279"/>
      <c r="S191" s="279"/>
      <c r="T191" s="279"/>
      <c r="U191" s="279"/>
      <c r="V191" s="341">
        <v>4.43</v>
      </c>
      <c r="W191" s="282" t="s">
        <v>120</v>
      </c>
      <c r="X191" s="5"/>
    </row>
    <row r="192" spans="1:24" ht="15.6" x14ac:dyDescent="0.3">
      <c r="A192" s="278"/>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82"/>
      <c r="X192" s="5"/>
    </row>
    <row r="193" spans="1:24" ht="15.6" x14ac:dyDescent="0.3">
      <c r="A193" s="177"/>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5"/>
    </row>
    <row r="194" spans="1:24" ht="15.6" x14ac:dyDescent="0.3">
      <c r="A194" s="177"/>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5"/>
    </row>
    <row r="195" spans="1:24" ht="18" thickBot="1" x14ac:dyDescent="0.35">
      <c r="A195" s="194"/>
      <c r="B195" s="264" t="str">
        <f>B135</f>
        <v>PM12 INVESTOR REPORT QUARTER ENDING JULY 2010</v>
      </c>
      <c r="C195" s="265"/>
      <c r="D195" s="265"/>
      <c r="E195" s="265"/>
      <c r="F195" s="265"/>
      <c r="G195" s="265"/>
      <c r="H195" s="265"/>
      <c r="I195" s="265"/>
      <c r="J195" s="265"/>
      <c r="K195" s="265"/>
      <c r="L195" s="265"/>
      <c r="M195" s="265"/>
      <c r="N195" s="265"/>
      <c r="O195" s="265"/>
      <c r="P195" s="265"/>
      <c r="Q195" s="265"/>
      <c r="R195" s="265"/>
      <c r="S195" s="265"/>
      <c r="T195" s="265"/>
      <c r="U195" s="265"/>
      <c r="V195" s="265"/>
      <c r="W195" s="266"/>
      <c r="X195" s="5"/>
    </row>
    <row r="196" spans="1:24" ht="15.6" x14ac:dyDescent="0.3">
      <c r="A196" s="235"/>
      <c r="B196" s="238" t="s">
        <v>71</v>
      </c>
      <c r="C196" s="239"/>
      <c r="D196" s="239"/>
      <c r="E196" s="239"/>
      <c r="F196" s="239"/>
      <c r="G196" s="240"/>
      <c r="H196" s="240"/>
      <c r="I196" s="240"/>
      <c r="J196" s="240"/>
      <c r="K196" s="240"/>
      <c r="L196" s="240"/>
      <c r="M196" s="240"/>
      <c r="N196" s="240"/>
      <c r="O196" s="240"/>
      <c r="P196" s="240"/>
      <c r="Q196" s="240"/>
      <c r="R196" s="240"/>
      <c r="S196" s="240"/>
      <c r="T196" s="240">
        <v>40389</v>
      </c>
      <c r="U196" s="236"/>
      <c r="V196" s="236"/>
      <c r="W196" s="236"/>
      <c r="X196" s="5"/>
    </row>
    <row r="197" spans="1:24" ht="15.6" x14ac:dyDescent="0.3">
      <c r="A197" s="214"/>
      <c r="B197" s="215"/>
      <c r="C197" s="216"/>
      <c r="D197" s="216"/>
      <c r="E197" s="216"/>
      <c r="F197" s="216"/>
      <c r="G197" s="217"/>
      <c r="H197" s="217"/>
      <c r="I197" s="217"/>
      <c r="J197" s="217"/>
      <c r="K197" s="217"/>
      <c r="L197" s="217"/>
      <c r="M197" s="217"/>
      <c r="N197" s="217"/>
      <c r="O197" s="217"/>
      <c r="P197" s="217"/>
      <c r="Q197" s="217"/>
      <c r="R197" s="217"/>
      <c r="S197" s="217"/>
      <c r="T197" s="217"/>
      <c r="U197" s="179"/>
      <c r="V197" s="179"/>
      <c r="W197" s="179"/>
      <c r="X197" s="5"/>
    </row>
    <row r="198" spans="1:24" ht="15.6" x14ac:dyDescent="0.3">
      <c r="A198" s="344"/>
      <c r="B198" s="279" t="s">
        <v>72</v>
      </c>
      <c r="C198" s="345"/>
      <c r="D198" s="345"/>
      <c r="E198" s="345"/>
      <c r="F198" s="345"/>
      <c r="G198" s="322"/>
      <c r="H198" s="322"/>
      <c r="I198" s="322"/>
      <c r="J198" s="322"/>
      <c r="K198" s="322"/>
      <c r="L198" s="322"/>
      <c r="M198" s="322"/>
      <c r="N198" s="322"/>
      <c r="O198" s="322"/>
      <c r="P198" s="322"/>
      <c r="Q198" s="322"/>
      <c r="R198" s="322"/>
      <c r="S198" s="322"/>
      <c r="T198" s="313">
        <v>5.2060000000000002E-2</v>
      </c>
      <c r="U198" s="279"/>
      <c r="V198" s="279"/>
      <c r="W198" s="310"/>
      <c r="X198" s="5"/>
    </row>
    <row r="199" spans="1:24" ht="15.6" x14ac:dyDescent="0.3">
      <c r="A199" s="344"/>
      <c r="B199" s="279" t="s">
        <v>156</v>
      </c>
      <c r="C199" s="345"/>
      <c r="D199" s="345"/>
      <c r="E199" s="345"/>
      <c r="F199" s="345"/>
      <c r="G199" s="322"/>
      <c r="H199" s="322"/>
      <c r="I199" s="322"/>
      <c r="J199" s="322"/>
      <c r="K199" s="322"/>
      <c r="L199" s="322"/>
      <c r="M199" s="322"/>
      <c r="N199" s="322"/>
      <c r="O199" s="322"/>
      <c r="P199" s="322"/>
      <c r="Q199" s="322"/>
      <c r="R199" s="322"/>
      <c r="S199" s="322"/>
      <c r="T199" s="313">
        <f>'Oct 06'!T197</f>
        <v>4.8538814772447772E-2</v>
      </c>
      <c r="U199" s="279"/>
      <c r="V199" s="279"/>
      <c r="W199" s="310"/>
      <c r="X199" s="5"/>
    </row>
    <row r="200" spans="1:24" ht="15.6" x14ac:dyDescent="0.3">
      <c r="A200" s="344"/>
      <c r="B200" s="279" t="s">
        <v>73</v>
      </c>
      <c r="C200" s="345"/>
      <c r="D200" s="345"/>
      <c r="E200" s="345"/>
      <c r="F200" s="345"/>
      <c r="G200" s="322"/>
      <c r="H200" s="322"/>
      <c r="I200" s="322"/>
      <c r="J200" s="322"/>
      <c r="K200" s="322"/>
      <c r="L200" s="322"/>
      <c r="M200" s="322"/>
      <c r="N200" s="322"/>
      <c r="O200" s="322"/>
      <c r="P200" s="322"/>
      <c r="Q200" s="322"/>
      <c r="R200" s="322"/>
      <c r="S200" s="322"/>
      <c r="T200" s="313">
        <f>T198-T199</f>
        <v>3.5211852275522301E-3</v>
      </c>
      <c r="U200" s="279"/>
      <c r="V200" s="279"/>
      <c r="W200" s="310"/>
      <c r="X200" s="5"/>
    </row>
    <row r="201" spans="1:24" ht="15.6" x14ac:dyDescent="0.3">
      <c r="A201" s="344"/>
      <c r="B201" s="279" t="s">
        <v>74</v>
      </c>
      <c r="C201" s="345"/>
      <c r="D201" s="345"/>
      <c r="E201" s="345"/>
      <c r="F201" s="345"/>
      <c r="G201" s="322"/>
      <c r="H201" s="322"/>
      <c r="I201" s="322"/>
      <c r="J201" s="322"/>
      <c r="K201" s="322"/>
      <c r="L201" s="322"/>
      <c r="M201" s="322"/>
      <c r="N201" s="322"/>
      <c r="O201" s="322"/>
      <c r="P201" s="322"/>
      <c r="Q201" s="322"/>
      <c r="R201" s="322"/>
      <c r="S201" s="322"/>
      <c r="T201" s="313">
        <v>2.5680000000000001E-2</v>
      </c>
      <c r="U201" s="279"/>
      <c r="V201" s="279"/>
      <c r="W201" s="310"/>
      <c r="X201" s="5"/>
    </row>
    <row r="202" spans="1:24" ht="15.6" x14ac:dyDescent="0.3">
      <c r="A202" s="344"/>
      <c r="B202" s="279" t="s">
        <v>225</v>
      </c>
      <c r="C202" s="345"/>
      <c r="D202" s="345"/>
      <c r="E202" s="345"/>
      <c r="F202" s="345"/>
      <c r="G202" s="322"/>
      <c r="H202" s="322"/>
      <c r="I202" s="322"/>
      <c r="J202" s="322"/>
      <c r="K202" s="322"/>
      <c r="L202" s="322"/>
      <c r="M202" s="322"/>
      <c r="N202" s="322"/>
      <c r="O202" s="322"/>
      <c r="P202" s="322"/>
      <c r="Q202" s="322"/>
      <c r="R202" s="322"/>
      <c r="S202" s="322"/>
      <c r="T202" s="313">
        <f>V43</f>
        <v>8.718794242837025E-3</v>
      </c>
      <c r="U202" s="279"/>
      <c r="V202" s="279"/>
      <c r="W202" s="310"/>
      <c r="X202" s="5"/>
    </row>
    <row r="203" spans="1:24" ht="15.6" x14ac:dyDescent="0.3">
      <c r="A203" s="344"/>
      <c r="B203" s="279" t="s">
        <v>75</v>
      </c>
      <c r="C203" s="345"/>
      <c r="D203" s="345"/>
      <c r="E203" s="345"/>
      <c r="F203" s="345"/>
      <c r="G203" s="322"/>
      <c r="H203" s="322"/>
      <c r="I203" s="322"/>
      <c r="J203" s="322"/>
      <c r="K203" s="322"/>
      <c r="L203" s="322"/>
      <c r="M203" s="322"/>
      <c r="N203" s="322"/>
      <c r="O203" s="322"/>
      <c r="P203" s="322"/>
      <c r="Q203" s="322"/>
      <c r="R203" s="322"/>
      <c r="S203" s="322"/>
      <c r="T203" s="313">
        <f>T201-T202</f>
        <v>1.6961205757162978E-2</v>
      </c>
      <c r="U203" s="279"/>
      <c r="V203" s="279"/>
      <c r="W203" s="310"/>
      <c r="X203" s="5"/>
    </row>
    <row r="204" spans="1:24" ht="15.6" x14ac:dyDescent="0.3">
      <c r="A204" s="344"/>
      <c r="B204" s="279" t="s">
        <v>271</v>
      </c>
      <c r="C204" s="345"/>
      <c r="D204" s="345"/>
      <c r="E204" s="345"/>
      <c r="F204" s="345"/>
      <c r="G204" s="322"/>
      <c r="H204" s="322"/>
      <c r="I204" s="322"/>
      <c r="J204" s="322"/>
      <c r="K204" s="322"/>
      <c r="L204" s="322"/>
      <c r="M204" s="322"/>
      <c r="N204" s="322"/>
      <c r="O204" s="322"/>
      <c r="P204" s="322"/>
      <c r="Q204" s="322"/>
      <c r="R204" s="322"/>
      <c r="S204" s="322"/>
      <c r="T204" s="313">
        <f>+V100/N71</f>
        <v>7.1025214287775739E-3</v>
      </c>
      <c r="U204" s="279"/>
      <c r="V204" s="279"/>
      <c r="W204" s="310"/>
      <c r="X204" s="5"/>
    </row>
    <row r="205" spans="1:24" ht="15.6" x14ac:dyDescent="0.3">
      <c r="A205" s="344"/>
      <c r="B205" s="279" t="s">
        <v>214</v>
      </c>
      <c r="C205" s="345"/>
      <c r="D205" s="345"/>
      <c r="E205" s="345"/>
      <c r="F205" s="345"/>
      <c r="G205" s="322"/>
      <c r="H205" s="322"/>
      <c r="I205" s="322"/>
      <c r="J205" s="322"/>
      <c r="K205" s="322"/>
      <c r="L205" s="322"/>
      <c r="M205" s="322"/>
      <c r="N205" s="322"/>
      <c r="O205" s="322"/>
      <c r="P205" s="322"/>
      <c r="Q205" s="322"/>
      <c r="R205" s="322"/>
      <c r="S205" s="322"/>
      <c r="T205" s="346">
        <v>50710</v>
      </c>
      <c r="U205" s="279"/>
      <c r="V205" s="279"/>
      <c r="W205" s="310"/>
      <c r="X205" s="5"/>
    </row>
    <row r="206" spans="1:24" ht="15.6" x14ac:dyDescent="0.3">
      <c r="A206" s="344"/>
      <c r="B206" s="279" t="s">
        <v>215</v>
      </c>
      <c r="C206" s="345"/>
      <c r="D206" s="345"/>
      <c r="E206" s="345"/>
      <c r="F206" s="345"/>
      <c r="G206" s="322"/>
      <c r="H206" s="322"/>
      <c r="I206" s="322"/>
      <c r="J206" s="322"/>
      <c r="K206" s="322"/>
      <c r="L206" s="322"/>
      <c r="M206" s="322"/>
      <c r="N206" s="322"/>
      <c r="O206" s="322"/>
      <c r="P206" s="322"/>
      <c r="Q206" s="322"/>
      <c r="R206" s="322"/>
      <c r="S206" s="322"/>
      <c r="T206" s="346">
        <v>50710</v>
      </c>
      <c r="U206" s="279"/>
      <c r="V206" s="279"/>
      <c r="W206" s="310"/>
      <c r="X206" s="5"/>
    </row>
    <row r="207" spans="1:24" ht="15.6" x14ac:dyDescent="0.3">
      <c r="A207" s="344"/>
      <c r="B207" s="279" t="s">
        <v>216</v>
      </c>
      <c r="C207" s="345"/>
      <c r="D207" s="345"/>
      <c r="E207" s="345"/>
      <c r="F207" s="345"/>
      <c r="G207" s="322"/>
      <c r="H207" s="322"/>
      <c r="I207" s="322"/>
      <c r="J207" s="322"/>
      <c r="K207" s="322"/>
      <c r="L207" s="322"/>
      <c r="M207" s="322"/>
      <c r="N207" s="322"/>
      <c r="O207" s="322"/>
      <c r="P207" s="322"/>
      <c r="Q207" s="322"/>
      <c r="R207" s="322"/>
      <c r="S207" s="322"/>
      <c r="T207" s="346">
        <v>50710</v>
      </c>
      <c r="U207" s="279"/>
      <c r="V207" s="279"/>
      <c r="W207" s="310"/>
      <c r="X207" s="5"/>
    </row>
    <row r="208" spans="1:24" ht="15.6" x14ac:dyDescent="0.3">
      <c r="A208" s="344"/>
      <c r="B208" s="279" t="s">
        <v>76</v>
      </c>
      <c r="C208" s="345"/>
      <c r="D208" s="345"/>
      <c r="E208" s="345"/>
      <c r="F208" s="345"/>
      <c r="G208" s="322"/>
      <c r="H208" s="322"/>
      <c r="I208" s="322"/>
      <c r="J208" s="322"/>
      <c r="K208" s="322"/>
      <c r="L208" s="322"/>
      <c r="M208" s="322"/>
      <c r="N208" s="322"/>
      <c r="O208" s="322"/>
      <c r="P208" s="322"/>
      <c r="Q208" s="322"/>
      <c r="R208" s="322"/>
      <c r="S208" s="322"/>
      <c r="T208" s="319">
        <v>21.06</v>
      </c>
      <c r="U208" s="279" t="s">
        <v>115</v>
      </c>
      <c r="V208" s="279"/>
      <c r="W208" s="310"/>
      <c r="X208" s="5"/>
    </row>
    <row r="209" spans="1:24" ht="15.6" x14ac:dyDescent="0.3">
      <c r="A209" s="344"/>
      <c r="B209" s="279" t="s">
        <v>77</v>
      </c>
      <c r="C209" s="345"/>
      <c r="D209" s="345"/>
      <c r="E209" s="345"/>
      <c r="F209" s="345"/>
      <c r="G209" s="322"/>
      <c r="H209" s="322"/>
      <c r="I209" s="322"/>
      <c r="J209" s="322"/>
      <c r="K209" s="322"/>
      <c r="L209" s="322"/>
      <c r="M209" s="322"/>
      <c r="N209" s="322"/>
      <c r="O209" s="322"/>
      <c r="P209" s="322"/>
      <c r="Q209" s="322"/>
      <c r="R209" s="322"/>
      <c r="S209" s="322"/>
      <c r="T209" s="319">
        <v>17.13</v>
      </c>
      <c r="U209" s="279" t="s">
        <v>115</v>
      </c>
      <c r="V209" s="279"/>
      <c r="W209" s="310"/>
      <c r="X209" s="5"/>
    </row>
    <row r="210" spans="1:24" ht="15.6" x14ac:dyDescent="0.3">
      <c r="A210" s="344"/>
      <c r="B210" s="279" t="s">
        <v>78</v>
      </c>
      <c r="C210" s="345"/>
      <c r="D210" s="345"/>
      <c r="E210" s="345"/>
      <c r="F210" s="345"/>
      <c r="G210" s="322"/>
      <c r="H210" s="322"/>
      <c r="I210" s="322"/>
      <c r="J210" s="322"/>
      <c r="K210" s="322"/>
      <c r="L210" s="322"/>
      <c r="M210" s="322"/>
      <c r="N210" s="322"/>
      <c r="O210" s="322"/>
      <c r="P210" s="322"/>
      <c r="Q210" s="322"/>
      <c r="R210" s="322"/>
      <c r="S210" s="322"/>
      <c r="T210" s="313">
        <f>P68/N68</f>
        <v>7.5604382918546594E-3</v>
      </c>
      <c r="U210" s="279"/>
      <c r="V210" s="279"/>
      <c r="W210" s="310"/>
      <c r="X210" s="5"/>
    </row>
    <row r="211" spans="1:24" ht="15.6" x14ac:dyDescent="0.3">
      <c r="A211" s="344"/>
      <c r="B211" s="279" t="s">
        <v>79</v>
      </c>
      <c r="C211" s="345"/>
      <c r="D211" s="345"/>
      <c r="E211" s="345"/>
      <c r="F211" s="345"/>
      <c r="G211" s="322"/>
      <c r="H211" s="322"/>
      <c r="I211" s="322"/>
      <c r="J211" s="322"/>
      <c r="K211" s="322"/>
      <c r="L211" s="322"/>
      <c r="M211" s="322"/>
      <c r="N211" s="322"/>
      <c r="O211" s="322"/>
      <c r="P211" s="322"/>
      <c r="Q211" s="322"/>
      <c r="R211" s="322"/>
      <c r="S211" s="322"/>
      <c r="T211" s="313">
        <v>9.7699999999999995E-2</v>
      </c>
      <c r="U211" s="279"/>
      <c r="V211" s="279"/>
      <c r="W211" s="310"/>
      <c r="X211" s="5"/>
    </row>
    <row r="212" spans="1:24" ht="15.6" x14ac:dyDescent="0.3">
      <c r="A212" s="214"/>
      <c r="B212" s="342"/>
      <c r="C212" s="342"/>
      <c r="D212" s="342"/>
      <c r="E212" s="342"/>
      <c r="F212" s="342"/>
      <c r="G212" s="275"/>
      <c r="H212" s="275"/>
      <c r="I212" s="275"/>
      <c r="J212" s="275"/>
      <c r="K212" s="275"/>
      <c r="L212" s="275"/>
      <c r="M212" s="275"/>
      <c r="N212" s="275"/>
      <c r="O212" s="275"/>
      <c r="P212" s="275"/>
      <c r="Q212" s="275"/>
      <c r="R212" s="275"/>
      <c r="S212" s="275"/>
      <c r="T212" s="338"/>
      <c r="U212" s="275"/>
      <c r="V212" s="343"/>
      <c r="W212" s="275"/>
      <c r="X212" s="5"/>
    </row>
    <row r="213" spans="1:24" ht="15.6" x14ac:dyDescent="0.3">
      <c r="A213" s="241"/>
      <c r="B213" s="230" t="s">
        <v>80</v>
      </c>
      <c r="C213" s="231"/>
      <c r="D213" s="231"/>
      <c r="E213" s="231"/>
      <c r="F213" s="242"/>
      <c r="G213" s="231"/>
      <c r="H213" s="231"/>
      <c r="I213" s="231"/>
      <c r="J213" s="231"/>
      <c r="K213" s="231"/>
      <c r="L213" s="231"/>
      <c r="M213" s="231"/>
      <c r="N213" s="231"/>
      <c r="O213" s="231"/>
      <c r="P213" s="231"/>
      <c r="Q213" s="231"/>
      <c r="R213" s="231"/>
      <c r="S213" s="231" t="s">
        <v>104</v>
      </c>
      <c r="T213" s="242" t="s">
        <v>111</v>
      </c>
      <c r="U213" s="224"/>
      <c r="V213" s="224"/>
      <c r="W213" s="224"/>
      <c r="X213" s="5"/>
    </row>
    <row r="214" spans="1:24" ht="15.6" x14ac:dyDescent="0.3">
      <c r="A214" s="219"/>
      <c r="B214" s="248" t="s">
        <v>81</v>
      </c>
      <c r="C214" s="204"/>
      <c r="D214" s="204"/>
      <c r="E214" s="204"/>
      <c r="F214" s="190"/>
      <c r="G214" s="190"/>
      <c r="H214" s="191"/>
      <c r="I214" s="191"/>
      <c r="J214" s="191"/>
      <c r="K214" s="191"/>
      <c r="L214" s="191"/>
      <c r="M214" s="191"/>
      <c r="N214" s="191"/>
      <c r="O214" s="191"/>
      <c r="P214" s="191"/>
      <c r="Q214" s="191"/>
      <c r="R214" s="191"/>
      <c r="S214" s="262">
        <v>1</v>
      </c>
      <c r="T214" s="263">
        <v>787</v>
      </c>
      <c r="U214" s="190"/>
      <c r="V214" s="218"/>
      <c r="W214" s="220"/>
      <c r="X214" s="5"/>
    </row>
    <row r="215" spans="1:24" ht="15.6" x14ac:dyDescent="0.3">
      <c r="A215" s="352"/>
      <c r="B215" s="279" t="s">
        <v>150</v>
      </c>
      <c r="C215" s="353"/>
      <c r="D215" s="353"/>
      <c r="E215" s="353"/>
      <c r="F215" s="305"/>
      <c r="G215" s="305"/>
      <c r="H215" s="308"/>
      <c r="I215" s="308"/>
      <c r="J215" s="308"/>
      <c r="K215" s="308"/>
      <c r="L215" s="308"/>
      <c r="M215" s="308"/>
      <c r="N215" s="308"/>
      <c r="O215" s="308"/>
      <c r="P215" s="308"/>
      <c r="Q215" s="308"/>
      <c r="R215" s="308"/>
      <c r="S215" s="354">
        <f>+R267</f>
        <v>149</v>
      </c>
      <c r="T215" s="355">
        <f>+T267</f>
        <v>25086</v>
      </c>
      <c r="U215" s="305"/>
      <c r="V215" s="356"/>
      <c r="W215" s="357"/>
      <c r="X215" s="5"/>
    </row>
    <row r="216" spans="1:24" ht="15.6" x14ac:dyDescent="0.3">
      <c r="A216" s="352"/>
      <c r="B216" s="279" t="s">
        <v>82</v>
      </c>
      <c r="C216" s="353"/>
      <c r="D216" s="353"/>
      <c r="E216" s="353"/>
      <c r="F216" s="305"/>
      <c r="G216" s="305"/>
      <c r="H216" s="308"/>
      <c r="I216" s="308"/>
      <c r="J216" s="308"/>
      <c r="K216" s="308"/>
      <c r="L216" s="308"/>
      <c r="M216" s="308"/>
      <c r="N216" s="308"/>
      <c r="O216" s="308"/>
      <c r="P216" s="308"/>
      <c r="Q216" s="308"/>
      <c r="R216" s="308"/>
      <c r="S216" s="354">
        <f>+R279</f>
        <v>0</v>
      </c>
      <c r="T216" s="355">
        <f>+T279</f>
        <v>0</v>
      </c>
      <c r="U216" s="305"/>
      <c r="V216" s="356"/>
      <c r="W216" s="357"/>
      <c r="X216" s="5"/>
    </row>
    <row r="217" spans="1:24" ht="15.6" x14ac:dyDescent="0.3">
      <c r="A217" s="352"/>
      <c r="B217" s="304" t="s">
        <v>83</v>
      </c>
      <c r="C217" s="353"/>
      <c r="D217" s="353"/>
      <c r="E217" s="353"/>
      <c r="F217" s="305"/>
      <c r="G217" s="305"/>
      <c r="H217" s="305"/>
      <c r="I217" s="305"/>
      <c r="J217" s="305"/>
      <c r="K217" s="305"/>
      <c r="L217" s="305"/>
      <c r="M217" s="305"/>
      <c r="N217" s="305"/>
      <c r="O217" s="305"/>
      <c r="P217" s="305"/>
      <c r="Q217" s="305"/>
      <c r="R217" s="305"/>
      <c r="S217" s="279"/>
      <c r="T217" s="355">
        <v>0</v>
      </c>
      <c r="U217" s="305"/>
      <c r="V217" s="356"/>
      <c r="W217" s="357"/>
      <c r="X217" s="5"/>
    </row>
    <row r="218" spans="1:24" ht="15.6" x14ac:dyDescent="0.3">
      <c r="A218" s="352"/>
      <c r="B218" s="304" t="s">
        <v>84</v>
      </c>
      <c r="C218" s="353"/>
      <c r="D218" s="353"/>
      <c r="E218" s="353"/>
      <c r="F218" s="305"/>
      <c r="G218" s="305"/>
      <c r="H218" s="305"/>
      <c r="I218" s="305"/>
      <c r="J218" s="305"/>
      <c r="K218" s="305"/>
      <c r="L218" s="305"/>
      <c r="M218" s="305"/>
      <c r="N218" s="305"/>
      <c r="O218" s="305"/>
      <c r="P218" s="305"/>
      <c r="Q218" s="305"/>
      <c r="R218" s="305"/>
      <c r="S218" s="279"/>
      <c r="T218" s="358" t="s">
        <v>112</v>
      </c>
      <c r="U218" s="305"/>
      <c r="V218" s="356"/>
      <c r="W218" s="357"/>
      <c r="X218" s="5"/>
    </row>
    <row r="219" spans="1:24" ht="15.6" x14ac:dyDescent="0.3">
      <c r="A219" s="359"/>
      <c r="B219" s="304" t="s">
        <v>85</v>
      </c>
      <c r="C219" s="360"/>
      <c r="D219" s="360"/>
      <c r="E219" s="360"/>
      <c r="F219" s="360"/>
      <c r="G219" s="305"/>
      <c r="H219" s="305"/>
      <c r="I219" s="305"/>
      <c r="J219" s="305"/>
      <c r="K219" s="305"/>
      <c r="L219" s="305"/>
      <c r="M219" s="305"/>
      <c r="N219" s="305"/>
      <c r="O219" s="305"/>
      <c r="P219" s="305"/>
      <c r="Q219" s="305"/>
      <c r="R219" s="305"/>
      <c r="S219" s="279"/>
      <c r="T219" s="355"/>
      <c r="U219" s="305"/>
      <c r="V219" s="356"/>
      <c r="W219" s="361"/>
      <c r="X219" s="5"/>
    </row>
    <row r="220" spans="1:24" ht="15.6" x14ac:dyDescent="0.3">
      <c r="A220" s="359"/>
      <c r="B220" s="284" t="s">
        <v>86</v>
      </c>
      <c r="C220" s="360"/>
      <c r="D220" s="360"/>
      <c r="E220" s="360"/>
      <c r="F220" s="360"/>
      <c r="G220" s="305"/>
      <c r="H220" s="305"/>
      <c r="I220" s="305"/>
      <c r="J220" s="305"/>
      <c r="K220" s="305"/>
      <c r="L220" s="305"/>
      <c r="M220" s="305"/>
      <c r="N220" s="305"/>
      <c r="O220" s="305"/>
      <c r="P220" s="305"/>
      <c r="Q220" s="305"/>
      <c r="R220" s="305"/>
      <c r="S220" s="287"/>
      <c r="T220" s="355">
        <f>+V164</f>
        <v>200</v>
      </c>
      <c r="U220" s="305"/>
      <c r="V220" s="356"/>
      <c r="W220" s="361"/>
      <c r="X220" s="5"/>
    </row>
    <row r="221" spans="1:24" ht="15.6" x14ac:dyDescent="0.3">
      <c r="A221" s="352"/>
      <c r="B221" s="279" t="s">
        <v>87</v>
      </c>
      <c r="C221" s="353"/>
      <c r="D221" s="353"/>
      <c r="E221" s="353"/>
      <c r="F221" s="353"/>
      <c r="G221" s="305"/>
      <c r="H221" s="305"/>
      <c r="I221" s="305"/>
      <c r="J221" s="305"/>
      <c r="K221" s="305"/>
      <c r="L221" s="305"/>
      <c r="M221" s="305"/>
      <c r="N221" s="305"/>
      <c r="O221" s="305"/>
      <c r="P221" s="305"/>
      <c r="Q221" s="305"/>
      <c r="R221" s="305"/>
      <c r="S221" s="287"/>
      <c r="T221" s="355">
        <f>'April 10'!T222+'July 10'!T220</f>
        <v>1834</v>
      </c>
      <c r="U221" s="305"/>
      <c r="V221" s="356"/>
      <c r="W221" s="361"/>
      <c r="X221" s="5"/>
    </row>
    <row r="222" spans="1:24" ht="15.6" x14ac:dyDescent="0.3">
      <c r="A222" s="359"/>
      <c r="B222" s="304" t="s">
        <v>292</v>
      </c>
      <c r="C222" s="360"/>
      <c r="D222" s="360"/>
      <c r="E222" s="360"/>
      <c r="F222" s="360"/>
      <c r="G222" s="305"/>
      <c r="H222" s="305"/>
      <c r="I222" s="305"/>
      <c r="J222" s="305"/>
      <c r="K222" s="305"/>
      <c r="L222" s="305"/>
      <c r="M222" s="305"/>
      <c r="N222" s="305"/>
      <c r="O222" s="305"/>
      <c r="P222" s="305"/>
      <c r="Q222" s="305"/>
      <c r="R222" s="305"/>
      <c r="S222" s="287"/>
      <c r="T222" s="355"/>
      <c r="U222" s="305"/>
      <c r="V222" s="356"/>
      <c r="W222" s="361"/>
      <c r="X222" s="5"/>
    </row>
    <row r="223" spans="1:24" ht="15.6" x14ac:dyDescent="0.3">
      <c r="A223" s="359"/>
      <c r="B223" s="279" t="s">
        <v>290</v>
      </c>
      <c r="C223" s="360"/>
      <c r="D223" s="360"/>
      <c r="E223" s="360"/>
      <c r="F223" s="360"/>
      <c r="G223" s="305"/>
      <c r="H223" s="305"/>
      <c r="I223" s="305"/>
      <c r="J223" s="305"/>
      <c r="K223" s="305"/>
      <c r="L223" s="305"/>
      <c r="M223" s="305"/>
      <c r="N223" s="305"/>
      <c r="O223" s="305"/>
      <c r="P223" s="305"/>
      <c r="Q223" s="305"/>
      <c r="R223" s="305"/>
      <c r="S223" s="287">
        <v>0</v>
      </c>
      <c r="T223" s="355">
        <v>0</v>
      </c>
      <c r="U223" s="305"/>
      <c r="V223" s="356"/>
      <c r="W223" s="361"/>
      <c r="X223" s="5"/>
    </row>
    <row r="224" spans="1:24" ht="15.6" x14ac:dyDescent="0.3">
      <c r="A224" s="352"/>
      <c r="B224" s="279" t="s">
        <v>88</v>
      </c>
      <c r="C224" s="362"/>
      <c r="D224" s="362"/>
      <c r="E224" s="362"/>
      <c r="F224" s="363"/>
      <c r="G224" s="305"/>
      <c r="H224" s="305"/>
      <c r="I224" s="305"/>
      <c r="J224" s="305"/>
      <c r="K224" s="305"/>
      <c r="L224" s="305"/>
      <c r="M224" s="305"/>
      <c r="N224" s="305"/>
      <c r="O224" s="305"/>
      <c r="P224" s="305"/>
      <c r="Q224" s="305"/>
      <c r="R224" s="305"/>
      <c r="S224" s="279"/>
      <c r="T224" s="358">
        <v>0</v>
      </c>
      <c r="U224" s="305"/>
      <c r="V224" s="356"/>
      <c r="W224" s="361"/>
      <c r="X224" s="5"/>
    </row>
    <row r="225" spans="1:25" ht="15.6" x14ac:dyDescent="0.3">
      <c r="A225" s="352"/>
      <c r="B225" s="279" t="s">
        <v>89</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304" t="s">
        <v>223</v>
      </c>
      <c r="C226" s="362"/>
      <c r="D226" s="362"/>
      <c r="E226" s="362"/>
      <c r="F226" s="363"/>
      <c r="G226" s="305"/>
      <c r="H226" s="305"/>
      <c r="I226" s="305"/>
      <c r="J226" s="305"/>
      <c r="K226" s="305"/>
      <c r="L226" s="305"/>
      <c r="M226" s="305"/>
      <c r="N226" s="305"/>
      <c r="O226" s="305"/>
      <c r="P226" s="305"/>
      <c r="Q226" s="305"/>
      <c r="R226" s="305"/>
      <c r="S226" s="279"/>
      <c r="T226" s="364"/>
      <c r="U226" s="305"/>
      <c r="V226" s="356"/>
      <c r="W226" s="361"/>
      <c r="X226" s="5"/>
    </row>
    <row r="227" spans="1:25" ht="15.6" x14ac:dyDescent="0.3">
      <c r="A227" s="352"/>
      <c r="B227" s="279" t="s">
        <v>290</v>
      </c>
      <c r="C227" s="362"/>
      <c r="D227" s="362"/>
      <c r="E227" s="362"/>
      <c r="F227" s="363"/>
      <c r="G227" s="305"/>
      <c r="H227" s="305"/>
      <c r="I227" s="305"/>
      <c r="J227" s="305"/>
      <c r="K227" s="305"/>
      <c r="L227" s="305"/>
      <c r="M227" s="305"/>
      <c r="N227" s="305"/>
      <c r="O227" s="305"/>
      <c r="P227" s="305"/>
      <c r="Q227" s="305"/>
      <c r="R227" s="305"/>
      <c r="S227" s="287">
        <v>7</v>
      </c>
      <c r="T227" s="355">
        <v>930</v>
      </c>
      <c r="U227" s="305"/>
      <c r="V227" s="356"/>
      <c r="W227" s="361"/>
      <c r="X227" s="5"/>
    </row>
    <row r="228" spans="1:25" ht="15.6" x14ac:dyDescent="0.3">
      <c r="A228" s="352"/>
      <c r="B228" s="279" t="s">
        <v>224</v>
      </c>
      <c r="C228" s="362"/>
      <c r="D228" s="362"/>
      <c r="E228" s="362"/>
      <c r="F228" s="363"/>
      <c r="G228" s="305"/>
      <c r="H228" s="305"/>
      <c r="I228" s="305"/>
      <c r="J228" s="305"/>
      <c r="K228" s="305"/>
      <c r="L228" s="305"/>
      <c r="M228" s="305"/>
      <c r="N228" s="305"/>
      <c r="O228" s="305"/>
      <c r="P228" s="305"/>
      <c r="Q228" s="305"/>
      <c r="R228" s="305"/>
      <c r="S228" s="279"/>
      <c r="T228" s="358">
        <v>5.94</v>
      </c>
      <c r="U228" s="305"/>
      <c r="V228" s="356"/>
      <c r="W228" s="361"/>
      <c r="X228" s="5"/>
    </row>
    <row r="229" spans="1:25" ht="15.6" x14ac:dyDescent="0.3">
      <c r="A229" s="352"/>
      <c r="B229" s="360"/>
      <c r="C229" s="362"/>
      <c r="D229" s="362"/>
      <c r="E229" s="362"/>
      <c r="F229" s="363"/>
      <c r="G229" s="305"/>
      <c r="H229" s="305"/>
      <c r="I229" s="305"/>
      <c r="J229" s="305"/>
      <c r="K229" s="305"/>
      <c r="L229" s="305"/>
      <c r="M229" s="305"/>
      <c r="N229" s="305"/>
      <c r="O229" s="305"/>
      <c r="P229" s="305"/>
      <c r="Q229" s="305"/>
      <c r="R229" s="305"/>
      <c r="S229" s="279"/>
      <c r="T229" s="364"/>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305"/>
      <c r="T230" s="365"/>
      <c r="U230" s="305"/>
      <c r="V230" s="356"/>
      <c r="W230" s="361"/>
      <c r="X230" s="5"/>
    </row>
    <row r="231" spans="1:25" ht="17.399999999999999" x14ac:dyDescent="0.3">
      <c r="A231" s="352"/>
      <c r="B231" s="366" t="s">
        <v>174</v>
      </c>
      <c r="C231" s="362"/>
      <c r="D231" s="362"/>
      <c r="E231" s="362"/>
      <c r="F231" s="363"/>
      <c r="G231" s="305"/>
      <c r="H231" s="305"/>
      <c r="I231" s="305"/>
      <c r="J231" s="305"/>
      <c r="K231" s="305"/>
      <c r="L231" s="305"/>
      <c r="M231" s="305"/>
      <c r="N231" s="305"/>
      <c r="O231" s="305"/>
      <c r="P231" s="367" t="s">
        <v>173</v>
      </c>
      <c r="Q231" s="305"/>
      <c r="R231" s="305"/>
      <c r="S231" s="305"/>
      <c r="T231" s="365"/>
      <c r="U231" s="305"/>
      <c r="V231" s="356"/>
      <c r="W231" s="361"/>
      <c r="X231" s="5"/>
    </row>
    <row r="232" spans="1:25" ht="15.6" x14ac:dyDescent="0.3">
      <c r="A232" s="347"/>
      <c r="B232" s="342"/>
      <c r="C232" s="348"/>
      <c r="D232" s="348"/>
      <c r="E232" s="348"/>
      <c r="F232" s="349"/>
      <c r="G232" s="275"/>
      <c r="H232" s="275"/>
      <c r="I232" s="275"/>
      <c r="J232" s="275"/>
      <c r="K232" s="275"/>
      <c r="L232" s="275"/>
      <c r="M232" s="275"/>
      <c r="N232" s="275"/>
      <c r="O232" s="275"/>
      <c r="P232" s="275"/>
      <c r="Q232" s="275"/>
      <c r="R232" s="275"/>
      <c r="S232" s="275"/>
      <c r="T232" s="350"/>
      <c r="U232" s="275"/>
      <c r="V232" s="343"/>
      <c r="W232" s="351"/>
      <c r="X232" s="5"/>
    </row>
    <row r="233" spans="1:25" ht="15.6" x14ac:dyDescent="0.3">
      <c r="A233" s="223"/>
      <c r="B233" s="230" t="s">
        <v>304</v>
      </c>
      <c r="C233" s="231"/>
      <c r="D233" s="231"/>
      <c r="E233" s="231"/>
      <c r="F233" s="242"/>
      <c r="G233" s="231"/>
      <c r="H233" s="231"/>
      <c r="I233" s="231"/>
      <c r="J233" s="231"/>
      <c r="K233" s="231"/>
      <c r="L233" s="231"/>
      <c r="M233" s="231"/>
      <c r="N233" s="231"/>
      <c r="O233" s="231"/>
      <c r="P233" s="231"/>
      <c r="Q233" s="231"/>
      <c r="R233" s="242" t="s">
        <v>104</v>
      </c>
      <c r="S233" s="231" t="s">
        <v>105</v>
      </c>
      <c r="T233" s="242" t="s">
        <v>113</v>
      </c>
      <c r="U233" s="231" t="s">
        <v>105</v>
      </c>
      <c r="V233" s="224"/>
      <c r="W233" s="230"/>
      <c r="X233" s="5"/>
    </row>
    <row r="234" spans="1:25" ht="15.6" x14ac:dyDescent="0.3">
      <c r="A234" s="189"/>
      <c r="B234" s="247" t="s">
        <v>90</v>
      </c>
      <c r="C234" s="261"/>
      <c r="D234" s="261"/>
      <c r="E234" s="261"/>
      <c r="F234" s="248"/>
      <c r="G234" s="261"/>
      <c r="H234" s="261"/>
      <c r="I234" s="261"/>
      <c r="J234" s="261"/>
      <c r="K234" s="261"/>
      <c r="L234" s="261"/>
      <c r="M234" s="261"/>
      <c r="N234" s="261"/>
      <c r="O234" s="261"/>
      <c r="P234" s="261"/>
      <c r="Q234" s="261"/>
      <c r="R234" s="329">
        <f>+R246+R258+R270</f>
        <v>7558</v>
      </c>
      <c r="S234" s="372">
        <f>R234/$R$243</f>
        <v>0.98810302000261474</v>
      </c>
      <c r="T234" s="330">
        <f>+T246+T258+T270</f>
        <v>1017412</v>
      </c>
      <c r="U234" s="372">
        <f>T234/$T$243</f>
        <v>0.98610035541452268</v>
      </c>
      <c r="V234" s="218"/>
      <c r="W234" s="221"/>
      <c r="X234" s="5"/>
    </row>
    <row r="235" spans="1:25" ht="15.6" x14ac:dyDescent="0.3">
      <c r="A235" s="278"/>
      <c r="B235" s="329" t="s">
        <v>91</v>
      </c>
      <c r="C235" s="371"/>
      <c r="D235" s="371"/>
      <c r="E235" s="371"/>
      <c r="F235" s="279"/>
      <c r="G235" s="372"/>
      <c r="H235" s="371"/>
      <c r="I235" s="371"/>
      <c r="J235" s="371"/>
      <c r="K235" s="371"/>
      <c r="L235" s="371"/>
      <c r="M235" s="371"/>
      <c r="N235" s="371"/>
      <c r="O235" s="371"/>
      <c r="P235" s="371"/>
      <c r="Q235" s="371"/>
      <c r="R235" s="329">
        <f t="shared" ref="R235:R241" si="1">+R247+R259+R271</f>
        <v>29</v>
      </c>
      <c r="S235" s="372">
        <f t="shared" ref="S235:S241" si="2">R235/$R$243</f>
        <v>3.7913452738920122E-3</v>
      </c>
      <c r="T235" s="330">
        <f t="shared" ref="T235:T241" si="3">+T247+T259+T271</f>
        <v>4055</v>
      </c>
      <c r="U235" s="372">
        <f t="shared" ref="U235:U241" si="4">T235/$T$243</f>
        <v>3.9302042252360786E-3</v>
      </c>
      <c r="V235" s="356"/>
      <c r="W235" s="361"/>
      <c r="X235" s="5"/>
      <c r="Y235" s="109"/>
    </row>
    <row r="236" spans="1:25" ht="15.6" x14ac:dyDescent="0.3">
      <c r="A236" s="278"/>
      <c r="B236" s="329" t="s">
        <v>92</v>
      </c>
      <c r="C236" s="371"/>
      <c r="D236" s="371"/>
      <c r="E236" s="371"/>
      <c r="F236" s="279"/>
      <c r="G236" s="372"/>
      <c r="H236" s="371"/>
      <c r="I236" s="371"/>
      <c r="J236" s="371"/>
      <c r="K236" s="371"/>
      <c r="L236" s="371"/>
      <c r="M236" s="371"/>
      <c r="N236" s="371"/>
      <c r="O236" s="371"/>
      <c r="P236" s="371"/>
      <c r="Q236" s="371"/>
      <c r="R236" s="329">
        <f t="shared" si="1"/>
        <v>12</v>
      </c>
      <c r="S236" s="372">
        <f t="shared" si="2"/>
        <v>1.5688325271277291E-3</v>
      </c>
      <c r="T236" s="330">
        <f t="shared" si="3"/>
        <v>1698</v>
      </c>
      <c r="U236" s="372">
        <f t="shared" si="4"/>
        <v>1.6457427310606317E-3</v>
      </c>
      <c r="V236" s="356"/>
      <c r="W236" s="361"/>
      <c r="X236" s="5"/>
    </row>
    <row r="237" spans="1:25" ht="15.6" x14ac:dyDescent="0.3">
      <c r="A237" s="278"/>
      <c r="B237" s="329" t="s">
        <v>161</v>
      </c>
      <c r="C237" s="371"/>
      <c r="D237" s="371"/>
      <c r="E237" s="371"/>
      <c r="F237" s="279"/>
      <c r="G237" s="372"/>
      <c r="H237" s="371"/>
      <c r="I237" s="371"/>
      <c r="J237" s="371"/>
      <c r="K237" s="371"/>
      <c r="L237" s="371"/>
      <c r="M237" s="371"/>
      <c r="N237" s="371"/>
      <c r="O237" s="371"/>
      <c r="P237" s="371"/>
      <c r="Q237" s="371"/>
      <c r="R237" s="329">
        <f t="shared" si="1"/>
        <v>2</v>
      </c>
      <c r="S237" s="372">
        <f t="shared" si="2"/>
        <v>2.6147208785462153E-4</v>
      </c>
      <c r="T237" s="330">
        <f t="shared" si="3"/>
        <v>242</v>
      </c>
      <c r="U237" s="372">
        <f t="shared" si="4"/>
        <v>2.3455226202395341E-4</v>
      </c>
      <c r="V237" s="356"/>
      <c r="W237" s="361"/>
      <c r="X237" s="5"/>
      <c r="Y237" s="109"/>
    </row>
    <row r="238" spans="1:25" ht="15.6" x14ac:dyDescent="0.3">
      <c r="A238" s="278"/>
      <c r="B238" s="329" t="s">
        <v>162</v>
      </c>
      <c r="C238" s="371"/>
      <c r="D238" s="371"/>
      <c r="E238" s="371"/>
      <c r="F238" s="279"/>
      <c r="G238" s="372"/>
      <c r="H238" s="371"/>
      <c r="I238" s="371"/>
      <c r="J238" s="371"/>
      <c r="K238" s="371"/>
      <c r="L238" s="371"/>
      <c r="M238" s="371"/>
      <c r="N238" s="371"/>
      <c r="O238" s="371"/>
      <c r="P238" s="371"/>
      <c r="Q238" s="371"/>
      <c r="R238" s="329">
        <f t="shared" si="1"/>
        <v>1</v>
      </c>
      <c r="S238" s="372">
        <f t="shared" si="2"/>
        <v>1.3073604392731077E-4</v>
      </c>
      <c r="T238" s="330">
        <f t="shared" si="3"/>
        <v>94</v>
      </c>
      <c r="U238" s="372">
        <f t="shared" si="4"/>
        <v>9.1107076984510828E-5</v>
      </c>
      <c r="V238" s="356"/>
      <c r="W238" s="361"/>
      <c r="X238" s="5"/>
    </row>
    <row r="239" spans="1:25" ht="15.6" x14ac:dyDescent="0.3">
      <c r="A239" s="278"/>
      <c r="B239" s="329" t="s">
        <v>163</v>
      </c>
      <c r="C239" s="371"/>
      <c r="D239" s="371"/>
      <c r="E239" s="371"/>
      <c r="F239" s="279"/>
      <c r="G239" s="372"/>
      <c r="H239" s="371"/>
      <c r="I239" s="371"/>
      <c r="J239" s="371"/>
      <c r="K239" s="371"/>
      <c r="L239" s="371"/>
      <c r="M239" s="371"/>
      <c r="N239" s="371"/>
      <c r="O239" s="371"/>
      <c r="P239" s="371"/>
      <c r="Q239" s="371"/>
      <c r="R239" s="329">
        <f t="shared" si="1"/>
        <v>4</v>
      </c>
      <c r="S239" s="372">
        <f t="shared" si="2"/>
        <v>5.2294417570924307E-4</v>
      </c>
      <c r="T239" s="330">
        <f t="shared" si="3"/>
        <v>562</v>
      </c>
      <c r="U239" s="372">
        <f t="shared" si="4"/>
        <v>5.4470401346058597E-4</v>
      </c>
      <c r="V239" s="356"/>
      <c r="W239" s="361"/>
      <c r="X239" s="5"/>
      <c r="Y239" s="109"/>
    </row>
    <row r="240" spans="1:25" ht="15.6" x14ac:dyDescent="0.3">
      <c r="A240" s="278"/>
      <c r="B240" s="329" t="s">
        <v>164</v>
      </c>
      <c r="C240" s="371"/>
      <c r="D240" s="371"/>
      <c r="E240" s="371"/>
      <c r="F240" s="279"/>
      <c r="G240" s="372"/>
      <c r="H240" s="371"/>
      <c r="I240" s="371"/>
      <c r="J240" s="371"/>
      <c r="K240" s="371"/>
      <c r="L240" s="371"/>
      <c r="M240" s="371"/>
      <c r="N240" s="371"/>
      <c r="O240" s="371"/>
      <c r="P240" s="371"/>
      <c r="Q240" s="371"/>
      <c r="R240" s="329">
        <f t="shared" si="1"/>
        <v>18</v>
      </c>
      <c r="S240" s="372">
        <f t="shared" si="2"/>
        <v>2.3532487906915939E-3</v>
      </c>
      <c r="T240" s="330">
        <f t="shared" si="3"/>
        <v>2677</v>
      </c>
      <c r="U240" s="372">
        <f t="shared" si="4"/>
        <v>2.5946132456120797E-3</v>
      </c>
      <c r="V240" s="356"/>
      <c r="W240" s="361"/>
      <c r="X240" s="5"/>
    </row>
    <row r="241" spans="1:25" ht="15.6" x14ac:dyDescent="0.3">
      <c r="A241" s="278"/>
      <c r="B241" s="329" t="s">
        <v>165</v>
      </c>
      <c r="C241" s="371"/>
      <c r="D241" s="371"/>
      <c r="E241" s="371"/>
      <c r="F241" s="279"/>
      <c r="G241" s="372"/>
      <c r="H241" s="371"/>
      <c r="I241" s="371"/>
      <c r="J241" s="371"/>
      <c r="K241" s="371"/>
      <c r="L241" s="371"/>
      <c r="M241" s="371"/>
      <c r="N241" s="371"/>
      <c r="O241" s="371"/>
      <c r="P241" s="371"/>
      <c r="Q241" s="371"/>
      <c r="R241" s="329">
        <f t="shared" si="1"/>
        <v>25</v>
      </c>
      <c r="S241" s="372">
        <f t="shared" si="2"/>
        <v>3.268401098182769E-3</v>
      </c>
      <c r="T241" s="330">
        <f t="shared" si="3"/>
        <v>5013</v>
      </c>
      <c r="U241" s="372">
        <f t="shared" si="4"/>
        <v>4.8587210310994979E-3</v>
      </c>
      <c r="V241" s="356"/>
      <c r="W241" s="361"/>
      <c r="X241" s="5"/>
      <c r="Y241" s="109"/>
    </row>
    <row r="242" spans="1:25" ht="15.6" x14ac:dyDescent="0.3">
      <c r="A242" s="278"/>
      <c r="B242" s="329"/>
      <c r="C242" s="371"/>
      <c r="D242" s="371"/>
      <c r="E242" s="371"/>
      <c r="F242" s="279"/>
      <c r="G242" s="372"/>
      <c r="H242" s="371"/>
      <c r="I242" s="371"/>
      <c r="J242" s="371"/>
      <c r="K242" s="371"/>
      <c r="L242" s="371"/>
      <c r="M242" s="371"/>
      <c r="N242" s="371"/>
      <c r="O242" s="371"/>
      <c r="P242" s="371"/>
      <c r="Q242" s="371"/>
      <c r="R242" s="329"/>
      <c r="S242" s="372"/>
      <c r="T242" s="330"/>
      <c r="U242" s="372"/>
      <c r="V242" s="356"/>
      <c r="W242" s="361"/>
      <c r="X242" s="5"/>
    </row>
    <row r="243" spans="1:25" ht="15.6" x14ac:dyDescent="0.3">
      <c r="A243" s="278"/>
      <c r="B243" s="279" t="s">
        <v>119</v>
      </c>
      <c r="C243" s="279"/>
      <c r="D243" s="279"/>
      <c r="E243" s="279"/>
      <c r="F243" s="279"/>
      <c r="G243" s="279"/>
      <c r="H243" s="373"/>
      <c r="I243" s="373"/>
      <c r="J243" s="373"/>
      <c r="K243" s="373"/>
      <c r="L243" s="373"/>
      <c r="M243" s="373"/>
      <c r="N243" s="373"/>
      <c r="O243" s="373"/>
      <c r="P243" s="373"/>
      <c r="Q243" s="373"/>
      <c r="R243" s="329">
        <f>SUM(R234:R242)</f>
        <v>7649</v>
      </c>
      <c r="S243" s="372">
        <f>SUM(S234:S242)</f>
        <v>0.99999999999999989</v>
      </c>
      <c r="T243" s="330">
        <f>SUM(T234:T242)</f>
        <v>1031753</v>
      </c>
      <c r="U243" s="372">
        <f>SUM(U234:U242)</f>
        <v>1</v>
      </c>
      <c r="V243" s="305"/>
      <c r="W243" s="310"/>
      <c r="X243" s="5"/>
    </row>
    <row r="244" spans="1:25" ht="15.6" x14ac:dyDescent="0.3">
      <c r="A244" s="347"/>
      <c r="B244" s="342"/>
      <c r="C244" s="348"/>
      <c r="D244" s="348"/>
      <c r="E244" s="348"/>
      <c r="F244" s="349"/>
      <c r="G244" s="275"/>
      <c r="H244" s="275"/>
      <c r="I244" s="275"/>
      <c r="J244" s="275"/>
      <c r="K244" s="275"/>
      <c r="L244" s="275"/>
      <c r="M244" s="275"/>
      <c r="N244" s="275"/>
      <c r="O244" s="275"/>
      <c r="P244" s="275"/>
      <c r="Q244" s="275"/>
      <c r="R244" s="275"/>
      <c r="S244" s="275"/>
      <c r="T244" s="350"/>
      <c r="U244" s="275"/>
      <c r="V244" s="343"/>
      <c r="W244" s="351"/>
      <c r="X244" s="5"/>
    </row>
    <row r="245" spans="1:25" ht="15.6" x14ac:dyDescent="0.3">
      <c r="A245" s="223"/>
      <c r="B245" s="230" t="s">
        <v>167</v>
      </c>
      <c r="C245" s="231"/>
      <c r="D245" s="231"/>
      <c r="E245" s="231"/>
      <c r="F245" s="242"/>
      <c r="G245" s="231"/>
      <c r="H245" s="231"/>
      <c r="I245" s="231"/>
      <c r="J245" s="231"/>
      <c r="K245" s="231"/>
      <c r="L245" s="231"/>
      <c r="M245" s="231"/>
      <c r="N245" s="231"/>
      <c r="O245" s="231"/>
      <c r="P245" s="231"/>
      <c r="Q245" s="231"/>
      <c r="R245" s="242" t="s">
        <v>104</v>
      </c>
      <c r="S245" s="231" t="s">
        <v>105</v>
      </c>
      <c r="T245" s="242" t="s">
        <v>113</v>
      </c>
      <c r="U245" s="231" t="s">
        <v>105</v>
      </c>
      <c r="V245" s="224"/>
      <c r="W245" s="230"/>
      <c r="X245" s="5"/>
    </row>
    <row r="246" spans="1:25" ht="15.6" x14ac:dyDescent="0.3">
      <c r="A246" s="189"/>
      <c r="B246" s="247" t="s">
        <v>90</v>
      </c>
      <c r="C246" s="261"/>
      <c r="D246" s="261"/>
      <c r="E246" s="261"/>
      <c r="F246" s="248"/>
      <c r="G246" s="261"/>
      <c r="H246" s="261"/>
      <c r="I246" s="261"/>
      <c r="J246" s="261"/>
      <c r="K246" s="261"/>
      <c r="L246" s="261"/>
      <c r="M246" s="261"/>
      <c r="N246" s="261"/>
      <c r="O246" s="261"/>
      <c r="P246" s="261"/>
      <c r="Q246" s="261"/>
      <c r="R246" s="247">
        <v>7467</v>
      </c>
      <c r="S246" s="250">
        <f t="shared" ref="S246:S253" si="5">R246/$R$255</f>
        <v>0.99560000000000004</v>
      </c>
      <c r="T246" s="251">
        <v>1002041</v>
      </c>
      <c r="U246" s="250">
        <f t="shared" ref="U246:U253" si="6">T246/$T$255</f>
        <v>0.9954046372832327</v>
      </c>
      <c r="V246" s="218"/>
      <c r="W246" s="221"/>
      <c r="X246" s="5"/>
    </row>
    <row r="247" spans="1:25" ht="15.6" x14ac:dyDescent="0.3">
      <c r="A247" s="278"/>
      <c r="B247" s="329" t="s">
        <v>91</v>
      </c>
      <c r="C247" s="371"/>
      <c r="D247" s="371"/>
      <c r="E247" s="371"/>
      <c r="F247" s="279"/>
      <c r="G247" s="372"/>
      <c r="H247" s="371"/>
      <c r="I247" s="371"/>
      <c r="J247" s="371"/>
      <c r="K247" s="371"/>
      <c r="L247" s="371"/>
      <c r="M247" s="371"/>
      <c r="N247" s="371"/>
      <c r="O247" s="371"/>
      <c r="P247" s="371"/>
      <c r="Q247" s="371"/>
      <c r="R247" s="329">
        <v>28</v>
      </c>
      <c r="S247" s="372">
        <f t="shared" si="5"/>
        <v>3.7333333333333333E-3</v>
      </c>
      <c r="T247" s="330">
        <v>3886</v>
      </c>
      <c r="U247" s="372">
        <f t="shared" si="6"/>
        <v>3.860263622429264E-3</v>
      </c>
      <c r="V247" s="356"/>
      <c r="W247" s="361"/>
      <c r="X247" s="5"/>
      <c r="Y247" s="109"/>
    </row>
    <row r="248" spans="1:25" ht="15.6" x14ac:dyDescent="0.3">
      <c r="A248" s="278"/>
      <c r="B248" s="329" t="s">
        <v>92</v>
      </c>
      <c r="C248" s="371"/>
      <c r="D248" s="371"/>
      <c r="E248" s="371"/>
      <c r="F248" s="279"/>
      <c r="G248" s="372"/>
      <c r="H248" s="371"/>
      <c r="I248" s="371"/>
      <c r="J248" s="371"/>
      <c r="K248" s="371"/>
      <c r="L248" s="371"/>
      <c r="M248" s="371"/>
      <c r="N248" s="371"/>
      <c r="O248" s="371"/>
      <c r="P248" s="371"/>
      <c r="Q248" s="371"/>
      <c r="R248" s="329">
        <v>2</v>
      </c>
      <c r="S248" s="372">
        <f t="shared" si="5"/>
        <v>2.6666666666666668E-4</v>
      </c>
      <c r="T248" s="330">
        <v>333</v>
      </c>
      <c r="U248" s="372">
        <f t="shared" si="6"/>
        <v>3.3079459245212168E-4</v>
      </c>
      <c r="V248" s="356"/>
      <c r="W248" s="361"/>
      <c r="X248" s="5"/>
    </row>
    <row r="249" spans="1:25" ht="15.6" x14ac:dyDescent="0.3">
      <c r="A249" s="278"/>
      <c r="B249" s="329" t="s">
        <v>161</v>
      </c>
      <c r="C249" s="371"/>
      <c r="D249" s="371"/>
      <c r="E249" s="371"/>
      <c r="F249" s="279"/>
      <c r="G249" s="372"/>
      <c r="H249" s="371"/>
      <c r="I249" s="371"/>
      <c r="J249" s="371"/>
      <c r="K249" s="371"/>
      <c r="L249" s="371"/>
      <c r="M249" s="371"/>
      <c r="N249" s="371"/>
      <c r="O249" s="371"/>
      <c r="P249" s="371"/>
      <c r="Q249" s="371"/>
      <c r="R249" s="329">
        <v>1</v>
      </c>
      <c r="S249" s="372">
        <f t="shared" si="5"/>
        <v>1.3333333333333334E-4</v>
      </c>
      <c r="T249" s="330">
        <v>135</v>
      </c>
      <c r="U249" s="372">
        <f t="shared" si="6"/>
        <v>1.3410591585896826E-4</v>
      </c>
      <c r="V249" s="356"/>
      <c r="W249" s="361"/>
      <c r="X249" s="5"/>
      <c r="Y249" s="109"/>
    </row>
    <row r="250" spans="1:25" ht="15.6" x14ac:dyDescent="0.3">
      <c r="A250" s="278"/>
      <c r="B250" s="329" t="s">
        <v>162</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row>
    <row r="251" spans="1:25" ht="15.6" x14ac:dyDescent="0.3">
      <c r="A251" s="278"/>
      <c r="B251" s="329" t="s">
        <v>163</v>
      </c>
      <c r="C251" s="371"/>
      <c r="D251" s="371"/>
      <c r="E251" s="371"/>
      <c r="F251" s="279"/>
      <c r="G251" s="372"/>
      <c r="H251" s="371"/>
      <c r="I251" s="371"/>
      <c r="J251" s="371"/>
      <c r="K251" s="371"/>
      <c r="L251" s="371"/>
      <c r="M251" s="371"/>
      <c r="N251" s="371"/>
      <c r="O251" s="371"/>
      <c r="P251" s="371"/>
      <c r="Q251" s="371"/>
      <c r="R251" s="329">
        <v>1</v>
      </c>
      <c r="S251" s="372">
        <f t="shared" si="5"/>
        <v>1.3333333333333334E-4</v>
      </c>
      <c r="T251" s="330">
        <v>70</v>
      </c>
      <c r="U251" s="372">
        <f t="shared" si="6"/>
        <v>6.9536400815761325E-5</v>
      </c>
      <c r="V251" s="356"/>
      <c r="W251" s="361"/>
      <c r="X251" s="5"/>
      <c r="Y251" s="109"/>
    </row>
    <row r="252" spans="1:25" ht="15.6" x14ac:dyDescent="0.3">
      <c r="A252" s="278"/>
      <c r="B252" s="329" t="s">
        <v>164</v>
      </c>
      <c r="C252" s="371"/>
      <c r="D252" s="371"/>
      <c r="E252" s="371"/>
      <c r="F252" s="279"/>
      <c r="G252" s="372"/>
      <c r="H252" s="371"/>
      <c r="I252" s="371"/>
      <c r="J252" s="371"/>
      <c r="K252" s="371"/>
      <c r="L252" s="371"/>
      <c r="M252" s="371"/>
      <c r="N252" s="371"/>
      <c r="O252" s="371"/>
      <c r="P252" s="371"/>
      <c r="Q252" s="371"/>
      <c r="R252" s="329">
        <v>1</v>
      </c>
      <c r="S252" s="372">
        <f t="shared" si="5"/>
        <v>1.3333333333333334E-4</v>
      </c>
      <c r="T252" s="330">
        <v>202</v>
      </c>
      <c r="U252" s="372">
        <f t="shared" si="6"/>
        <v>2.0066218521119696E-4</v>
      </c>
      <c r="V252" s="356"/>
      <c r="W252" s="361"/>
      <c r="X252" s="5"/>
    </row>
    <row r="253" spans="1:25" ht="15.6" x14ac:dyDescent="0.3">
      <c r="A253" s="278"/>
      <c r="B253" s="329" t="s">
        <v>165</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c r="Y253" s="109"/>
    </row>
    <row r="254" spans="1:25" ht="15.6" x14ac:dyDescent="0.3">
      <c r="A254" s="278"/>
      <c r="B254" s="329"/>
      <c r="C254" s="371"/>
      <c r="D254" s="371"/>
      <c r="E254" s="371"/>
      <c r="F254" s="279"/>
      <c r="G254" s="372"/>
      <c r="H254" s="371"/>
      <c r="I254" s="371"/>
      <c r="J254" s="371"/>
      <c r="K254" s="371"/>
      <c r="L254" s="371"/>
      <c r="M254" s="371"/>
      <c r="N254" s="371"/>
      <c r="O254" s="371"/>
      <c r="P254" s="371"/>
      <c r="Q254" s="371"/>
      <c r="R254" s="329"/>
      <c r="S254" s="372"/>
      <c r="T254" s="330"/>
      <c r="U254" s="372"/>
      <c r="V254" s="356"/>
      <c r="W254" s="361"/>
      <c r="X254" s="5"/>
    </row>
    <row r="255" spans="1:25" ht="15.6" x14ac:dyDescent="0.3">
      <c r="A255" s="278"/>
      <c r="B255" s="279" t="s">
        <v>119</v>
      </c>
      <c r="C255" s="279"/>
      <c r="D255" s="279"/>
      <c r="E255" s="279"/>
      <c r="F255" s="279"/>
      <c r="G255" s="279"/>
      <c r="H255" s="373"/>
      <c r="I255" s="373"/>
      <c r="J255" s="373"/>
      <c r="K255" s="373"/>
      <c r="L255" s="373"/>
      <c r="M255" s="373"/>
      <c r="N255" s="373"/>
      <c r="O255" s="373"/>
      <c r="P255" s="373"/>
      <c r="Q255" s="373"/>
      <c r="R255" s="329">
        <f>SUM(R246:R254)</f>
        <v>7500</v>
      </c>
      <c r="S255" s="372">
        <f>SUM(S246:S254)</f>
        <v>1</v>
      </c>
      <c r="T255" s="330">
        <f>SUM(T246:T254)</f>
        <v>1006667</v>
      </c>
      <c r="U255" s="372">
        <f>SUM(U246:U254)</f>
        <v>1</v>
      </c>
      <c r="V255" s="305"/>
      <c r="W255" s="310"/>
      <c r="X255" s="5"/>
    </row>
    <row r="256" spans="1:25" ht="15.6" x14ac:dyDescent="0.3">
      <c r="A256" s="177"/>
      <c r="B256" s="275"/>
      <c r="C256" s="275"/>
      <c r="D256" s="275"/>
      <c r="E256" s="275"/>
      <c r="F256" s="275"/>
      <c r="G256" s="275"/>
      <c r="H256" s="368"/>
      <c r="I256" s="368"/>
      <c r="J256" s="368"/>
      <c r="K256" s="368"/>
      <c r="L256" s="368"/>
      <c r="M256" s="368"/>
      <c r="N256" s="368"/>
      <c r="O256" s="368"/>
      <c r="P256" s="368"/>
      <c r="Q256" s="368"/>
      <c r="R256" s="327"/>
      <c r="S256" s="369"/>
      <c r="T256" s="370"/>
      <c r="U256" s="369"/>
      <c r="V256" s="275"/>
      <c r="W256" s="275"/>
      <c r="X256" s="5"/>
    </row>
    <row r="257" spans="1:24" ht="15.6" x14ac:dyDescent="0.3">
      <c r="A257" s="243"/>
      <c r="B257" s="230" t="s">
        <v>283</v>
      </c>
      <c r="C257" s="231"/>
      <c r="D257" s="231"/>
      <c r="E257" s="231"/>
      <c r="F257" s="242"/>
      <c r="G257" s="231"/>
      <c r="H257" s="231"/>
      <c r="I257" s="231"/>
      <c r="J257" s="231"/>
      <c r="K257" s="231"/>
      <c r="L257" s="231"/>
      <c r="M257" s="231"/>
      <c r="N257" s="231"/>
      <c r="O257" s="231"/>
      <c r="P257" s="231"/>
      <c r="Q257" s="231"/>
      <c r="R257" s="242" t="s">
        <v>104</v>
      </c>
      <c r="S257" s="231" t="s">
        <v>105</v>
      </c>
      <c r="T257" s="242" t="s">
        <v>113</v>
      </c>
      <c r="U257" s="231" t="s">
        <v>105</v>
      </c>
      <c r="V257" s="244"/>
      <c r="W257" s="245"/>
      <c r="X257" s="5"/>
    </row>
    <row r="258" spans="1:24" ht="15.6" x14ac:dyDescent="0.3">
      <c r="A258" s="189"/>
      <c r="B258" s="247" t="s">
        <v>90</v>
      </c>
      <c r="C258" s="261"/>
      <c r="D258" s="261"/>
      <c r="E258" s="261"/>
      <c r="F258" s="248"/>
      <c r="G258" s="261"/>
      <c r="H258" s="261"/>
      <c r="I258" s="261"/>
      <c r="J258" s="261"/>
      <c r="K258" s="261"/>
      <c r="L258" s="261"/>
      <c r="M258" s="261"/>
      <c r="N258" s="261"/>
      <c r="O258" s="261"/>
      <c r="P258" s="261"/>
      <c r="Q258" s="261"/>
      <c r="R258" s="247">
        <v>91</v>
      </c>
      <c r="S258" s="250">
        <f t="shared" ref="S258:S265" si="7">R258/$R$267</f>
        <v>0.61073825503355705</v>
      </c>
      <c r="T258" s="251">
        <v>15371</v>
      </c>
      <c r="U258" s="250">
        <f t="shared" ref="U258:U265" si="8">T258/$T$267</f>
        <v>0.6127322012277765</v>
      </c>
      <c r="V258" s="190"/>
      <c r="W258" s="190"/>
      <c r="X258" s="5"/>
    </row>
    <row r="259" spans="1:24" ht="15.6" x14ac:dyDescent="0.3">
      <c r="A259" s="278"/>
      <c r="B259" s="329" t="s">
        <v>91</v>
      </c>
      <c r="C259" s="371"/>
      <c r="D259" s="371"/>
      <c r="E259" s="371"/>
      <c r="F259" s="279"/>
      <c r="G259" s="372"/>
      <c r="H259" s="371"/>
      <c r="I259" s="371"/>
      <c r="J259" s="371"/>
      <c r="K259" s="371"/>
      <c r="L259" s="371"/>
      <c r="M259" s="371"/>
      <c r="N259" s="371"/>
      <c r="O259" s="371"/>
      <c r="P259" s="371"/>
      <c r="Q259" s="371"/>
      <c r="R259" s="329">
        <v>1</v>
      </c>
      <c r="S259" s="372">
        <f t="shared" si="7"/>
        <v>6.7114093959731542E-3</v>
      </c>
      <c r="T259" s="330">
        <v>169</v>
      </c>
      <c r="U259" s="372">
        <f t="shared" si="8"/>
        <v>6.7368253208961171E-3</v>
      </c>
      <c r="V259" s="305"/>
      <c r="W259" s="310"/>
      <c r="X259" s="5"/>
    </row>
    <row r="260" spans="1:24" ht="15.6" x14ac:dyDescent="0.3">
      <c r="A260" s="278"/>
      <c r="B260" s="329" t="s">
        <v>92</v>
      </c>
      <c r="C260" s="371"/>
      <c r="D260" s="371"/>
      <c r="E260" s="371"/>
      <c r="F260" s="279"/>
      <c r="G260" s="372"/>
      <c r="H260" s="371"/>
      <c r="I260" s="371"/>
      <c r="J260" s="371"/>
      <c r="K260" s="371"/>
      <c r="L260" s="371"/>
      <c r="M260" s="371"/>
      <c r="N260" s="371"/>
      <c r="O260" s="371"/>
      <c r="P260" s="371"/>
      <c r="Q260" s="371"/>
      <c r="R260" s="329">
        <v>10</v>
      </c>
      <c r="S260" s="372">
        <f t="shared" si="7"/>
        <v>6.7114093959731544E-2</v>
      </c>
      <c r="T260" s="330">
        <v>1365</v>
      </c>
      <c r="U260" s="372">
        <f t="shared" si="8"/>
        <v>5.4412819899545564E-2</v>
      </c>
      <c r="V260" s="305"/>
      <c r="W260" s="310"/>
      <c r="X260" s="5"/>
    </row>
    <row r="261" spans="1:24" ht="15.6" x14ac:dyDescent="0.3">
      <c r="A261" s="278"/>
      <c r="B261" s="329" t="s">
        <v>161</v>
      </c>
      <c r="C261" s="371"/>
      <c r="D261" s="371"/>
      <c r="E261" s="371"/>
      <c r="F261" s="279"/>
      <c r="G261" s="372"/>
      <c r="H261" s="371"/>
      <c r="I261" s="371"/>
      <c r="J261" s="371"/>
      <c r="K261" s="371"/>
      <c r="L261" s="371"/>
      <c r="M261" s="371"/>
      <c r="N261" s="371"/>
      <c r="O261" s="371"/>
      <c r="P261" s="371"/>
      <c r="Q261" s="371"/>
      <c r="R261" s="329">
        <v>1</v>
      </c>
      <c r="S261" s="372">
        <f t="shared" si="7"/>
        <v>6.7114093959731542E-3</v>
      </c>
      <c r="T261" s="330">
        <v>107</v>
      </c>
      <c r="U261" s="372">
        <f t="shared" si="8"/>
        <v>4.2653272741768316E-3</v>
      </c>
      <c r="V261" s="305"/>
      <c r="W261" s="310"/>
      <c r="X261" s="5"/>
    </row>
    <row r="262" spans="1:24" ht="15.6" x14ac:dyDescent="0.3">
      <c r="A262" s="278"/>
      <c r="B262" s="329" t="s">
        <v>162</v>
      </c>
      <c r="C262" s="371"/>
      <c r="D262" s="371"/>
      <c r="E262" s="371"/>
      <c r="F262" s="279"/>
      <c r="G262" s="372"/>
      <c r="H262" s="371"/>
      <c r="I262" s="371"/>
      <c r="J262" s="371"/>
      <c r="K262" s="371"/>
      <c r="L262" s="371"/>
      <c r="M262" s="371"/>
      <c r="N262" s="371"/>
      <c r="O262" s="371"/>
      <c r="P262" s="371"/>
      <c r="Q262" s="371"/>
      <c r="R262" s="329">
        <v>1</v>
      </c>
      <c r="S262" s="372">
        <f t="shared" si="7"/>
        <v>6.7114093959731542E-3</v>
      </c>
      <c r="T262" s="330">
        <v>94</v>
      </c>
      <c r="U262" s="372">
        <f t="shared" si="8"/>
        <v>3.7471099418002075E-3</v>
      </c>
      <c r="V262" s="305"/>
      <c r="W262" s="310"/>
      <c r="X262" s="5"/>
    </row>
    <row r="263" spans="1:24" ht="15.6" x14ac:dyDescent="0.3">
      <c r="A263" s="278"/>
      <c r="B263" s="329" t="s">
        <v>163</v>
      </c>
      <c r="C263" s="371"/>
      <c r="D263" s="371"/>
      <c r="E263" s="371"/>
      <c r="F263" s="279"/>
      <c r="G263" s="372"/>
      <c r="H263" s="371"/>
      <c r="I263" s="371"/>
      <c r="J263" s="371"/>
      <c r="K263" s="371"/>
      <c r="L263" s="371"/>
      <c r="M263" s="371"/>
      <c r="N263" s="371"/>
      <c r="O263" s="371"/>
      <c r="P263" s="371"/>
      <c r="Q263" s="371"/>
      <c r="R263" s="329">
        <v>3</v>
      </c>
      <c r="S263" s="372">
        <f t="shared" si="7"/>
        <v>2.0134228187919462E-2</v>
      </c>
      <c r="T263" s="330">
        <v>492</v>
      </c>
      <c r="U263" s="372">
        <f t="shared" si="8"/>
        <v>1.961253288686917E-2</v>
      </c>
      <c r="V263" s="305"/>
      <c r="W263" s="310"/>
      <c r="X263" s="5"/>
    </row>
    <row r="264" spans="1:24" ht="15.6" x14ac:dyDescent="0.3">
      <c r="A264" s="278"/>
      <c r="B264" s="329" t="s">
        <v>164</v>
      </c>
      <c r="C264" s="371"/>
      <c r="D264" s="371"/>
      <c r="E264" s="371"/>
      <c r="F264" s="279"/>
      <c r="G264" s="372"/>
      <c r="H264" s="371"/>
      <c r="I264" s="371"/>
      <c r="J264" s="371"/>
      <c r="K264" s="371"/>
      <c r="L264" s="371"/>
      <c r="M264" s="371"/>
      <c r="N264" s="371"/>
      <c r="O264" s="371"/>
      <c r="P264" s="371"/>
      <c r="Q264" s="371"/>
      <c r="R264" s="329">
        <v>17</v>
      </c>
      <c r="S264" s="372">
        <f t="shared" si="7"/>
        <v>0.11409395973154363</v>
      </c>
      <c r="T264" s="330">
        <v>2475</v>
      </c>
      <c r="U264" s="372">
        <f t="shared" si="8"/>
        <v>9.8660607510165033E-2</v>
      </c>
      <c r="V264" s="305"/>
      <c r="W264" s="310"/>
      <c r="X264" s="5"/>
    </row>
    <row r="265" spans="1:24" ht="15.6" x14ac:dyDescent="0.3">
      <c r="A265" s="278"/>
      <c r="B265" s="329" t="s">
        <v>165</v>
      </c>
      <c r="C265" s="371"/>
      <c r="D265" s="371"/>
      <c r="E265" s="371"/>
      <c r="F265" s="279"/>
      <c r="G265" s="372"/>
      <c r="H265" s="371"/>
      <c r="I265" s="371"/>
      <c r="J265" s="371"/>
      <c r="K265" s="371"/>
      <c r="L265" s="371"/>
      <c r="M265" s="371"/>
      <c r="N265" s="371"/>
      <c r="O265" s="371"/>
      <c r="P265" s="371"/>
      <c r="Q265" s="371"/>
      <c r="R265" s="329">
        <v>25</v>
      </c>
      <c r="S265" s="372">
        <f t="shared" si="7"/>
        <v>0.16778523489932887</v>
      </c>
      <c r="T265" s="330">
        <v>5013</v>
      </c>
      <c r="U265" s="372">
        <f t="shared" si="8"/>
        <v>0.19983257593877063</v>
      </c>
      <c r="V265" s="305"/>
      <c r="W265" s="310"/>
      <c r="X265" s="5"/>
    </row>
    <row r="266" spans="1:24" ht="15.6" x14ac:dyDescent="0.3">
      <c r="A266" s="278"/>
      <c r="B266" s="329"/>
      <c r="C266" s="371"/>
      <c r="D266" s="371"/>
      <c r="E266" s="371"/>
      <c r="F266" s="279"/>
      <c r="G266" s="372"/>
      <c r="H266" s="371"/>
      <c r="I266" s="371"/>
      <c r="J266" s="371"/>
      <c r="K266" s="371"/>
      <c r="L266" s="371"/>
      <c r="M266" s="371"/>
      <c r="N266" s="371"/>
      <c r="O266" s="371"/>
      <c r="P266" s="371"/>
      <c r="Q266" s="371"/>
      <c r="R266" s="329"/>
      <c r="S266" s="372"/>
      <c r="T266" s="330"/>
      <c r="U266" s="372"/>
      <c r="V266" s="305"/>
      <c r="W266" s="310"/>
      <c r="X266" s="5"/>
    </row>
    <row r="267" spans="1:24" ht="15.6" x14ac:dyDescent="0.3">
      <c r="A267" s="278"/>
      <c r="B267" s="279" t="s">
        <v>119</v>
      </c>
      <c r="C267" s="279"/>
      <c r="D267" s="279"/>
      <c r="E267" s="279"/>
      <c r="F267" s="279"/>
      <c r="G267" s="279"/>
      <c r="H267" s="373"/>
      <c r="I267" s="373"/>
      <c r="J267" s="373"/>
      <c r="K267" s="373"/>
      <c r="L267" s="373"/>
      <c r="M267" s="373"/>
      <c r="N267" s="373"/>
      <c r="O267" s="373"/>
      <c r="P267" s="373"/>
      <c r="Q267" s="373"/>
      <c r="R267" s="329">
        <f>SUM(R258:R266)</f>
        <v>149</v>
      </c>
      <c r="S267" s="372">
        <f>SUM(S258:S266)</f>
        <v>0.99999999999999989</v>
      </c>
      <c r="T267" s="330">
        <f>SUM(T258:T266)</f>
        <v>25086</v>
      </c>
      <c r="U267" s="372">
        <f>SUM(U258:U266)</f>
        <v>1</v>
      </c>
      <c r="V267" s="305"/>
      <c r="W267" s="310"/>
      <c r="X267" s="5"/>
    </row>
    <row r="268" spans="1:24" ht="15.6" x14ac:dyDescent="0.3">
      <c r="A268" s="177"/>
      <c r="B268" s="275"/>
      <c r="C268" s="275"/>
      <c r="D268" s="275"/>
      <c r="E268" s="275"/>
      <c r="F268" s="275"/>
      <c r="G268" s="275"/>
      <c r="H268" s="368"/>
      <c r="I268" s="368"/>
      <c r="J268" s="368"/>
      <c r="K268" s="368"/>
      <c r="L268" s="368"/>
      <c r="M268" s="368"/>
      <c r="N268" s="368"/>
      <c r="O268" s="368"/>
      <c r="P268" s="368"/>
      <c r="Q268" s="368"/>
      <c r="R268" s="327"/>
      <c r="S268" s="369"/>
      <c r="T268" s="370"/>
      <c r="U268" s="369"/>
      <c r="V268" s="275"/>
      <c r="W268" s="275"/>
      <c r="X268" s="5"/>
    </row>
    <row r="269" spans="1:24" ht="15.6" x14ac:dyDescent="0.3">
      <c r="A269" s="243"/>
      <c r="B269" s="230" t="s">
        <v>169</v>
      </c>
      <c r="C269" s="244"/>
      <c r="D269" s="244"/>
      <c r="E269" s="244"/>
      <c r="F269" s="244"/>
      <c r="G269" s="244"/>
      <c r="H269" s="246"/>
      <c r="I269" s="246"/>
      <c r="J269" s="246"/>
      <c r="K269" s="246"/>
      <c r="L269" s="246"/>
      <c r="M269" s="246"/>
      <c r="N269" s="246"/>
      <c r="O269" s="246"/>
      <c r="P269" s="246"/>
      <c r="Q269" s="246"/>
      <c r="R269" s="242" t="s">
        <v>104</v>
      </c>
      <c r="S269" s="231" t="s">
        <v>105</v>
      </c>
      <c r="T269" s="242" t="s">
        <v>113</v>
      </c>
      <c r="U269" s="231" t="s">
        <v>105</v>
      </c>
      <c r="V269" s="244"/>
      <c r="W269" s="245"/>
      <c r="X269" s="5"/>
    </row>
    <row r="270" spans="1:24" ht="15.6" x14ac:dyDescent="0.3">
      <c r="A270" s="189"/>
      <c r="B270" s="247" t="s">
        <v>90</v>
      </c>
      <c r="C270" s="248"/>
      <c r="D270" s="248"/>
      <c r="E270" s="248"/>
      <c r="F270" s="248"/>
      <c r="G270" s="248"/>
      <c r="H270" s="249"/>
      <c r="I270" s="249"/>
      <c r="J270" s="249"/>
      <c r="K270" s="249"/>
      <c r="L270" s="249"/>
      <c r="M270" s="249"/>
      <c r="N270" s="249"/>
      <c r="O270" s="249"/>
      <c r="P270" s="249"/>
      <c r="Q270" s="249"/>
      <c r="R270" s="247">
        <v>0</v>
      </c>
      <c r="S270" s="250">
        <v>0</v>
      </c>
      <c r="T270" s="251">
        <v>0</v>
      </c>
      <c r="U270" s="250">
        <v>0</v>
      </c>
      <c r="V270" s="248"/>
      <c r="W270" s="190"/>
      <c r="X270" s="5"/>
    </row>
    <row r="271" spans="1:24" ht="15.6" x14ac:dyDescent="0.3">
      <c r="A271" s="278"/>
      <c r="B271" s="329" t="s">
        <v>91</v>
      </c>
      <c r="C271" s="279"/>
      <c r="D271" s="279"/>
      <c r="E271" s="279"/>
      <c r="F271" s="279"/>
      <c r="G271" s="279"/>
      <c r="H271" s="373"/>
      <c r="I271" s="373"/>
      <c r="J271" s="373"/>
      <c r="K271" s="373"/>
      <c r="L271" s="373"/>
      <c r="M271" s="373"/>
      <c r="N271" s="373"/>
      <c r="O271" s="373"/>
      <c r="P271" s="373"/>
      <c r="Q271" s="373"/>
      <c r="R271" s="329">
        <v>0</v>
      </c>
      <c r="S271" s="372">
        <v>0</v>
      </c>
      <c r="T271" s="330">
        <v>0</v>
      </c>
      <c r="U271" s="372">
        <v>0</v>
      </c>
      <c r="V271" s="279"/>
      <c r="W271" s="310"/>
      <c r="X271" s="5"/>
    </row>
    <row r="272" spans="1:24" ht="15.6" x14ac:dyDescent="0.3">
      <c r="A272" s="278"/>
      <c r="B272" s="329" t="s">
        <v>92</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161</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162</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163</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164</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165</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c r="C278" s="279"/>
      <c r="D278" s="279"/>
      <c r="E278" s="279"/>
      <c r="F278" s="279"/>
      <c r="G278" s="279"/>
      <c r="H278" s="373"/>
      <c r="I278" s="373"/>
      <c r="J278" s="373"/>
      <c r="K278" s="373"/>
      <c r="L278" s="373"/>
      <c r="M278" s="373"/>
      <c r="N278" s="373"/>
      <c r="O278" s="373"/>
      <c r="P278" s="373"/>
      <c r="Q278" s="373"/>
      <c r="R278" s="329"/>
      <c r="S278" s="372"/>
      <c r="T278" s="330"/>
      <c r="U278" s="372"/>
      <c r="V278" s="279"/>
      <c r="W278" s="310"/>
      <c r="X278" s="5"/>
    </row>
    <row r="279" spans="1:24" ht="15.6" x14ac:dyDescent="0.3">
      <c r="A279" s="278"/>
      <c r="B279" s="279" t="s">
        <v>119</v>
      </c>
      <c r="C279" s="279"/>
      <c r="D279" s="279"/>
      <c r="E279" s="279"/>
      <c r="F279" s="279"/>
      <c r="G279" s="279"/>
      <c r="H279" s="373"/>
      <c r="I279" s="373"/>
      <c r="J279" s="373"/>
      <c r="K279" s="373"/>
      <c r="L279" s="373"/>
      <c r="M279" s="373"/>
      <c r="N279" s="373"/>
      <c r="O279" s="373"/>
      <c r="P279" s="373"/>
      <c r="Q279" s="373"/>
      <c r="R279" s="329">
        <f>SUM(R270:R277)</f>
        <v>0</v>
      </c>
      <c r="S279" s="372">
        <f>SUM(S270:S278)</f>
        <v>0</v>
      </c>
      <c r="T279" s="330">
        <f>SUM(T270:T277)</f>
        <v>0</v>
      </c>
      <c r="U279" s="372">
        <f>SUM(U270:U278)</f>
        <v>0</v>
      </c>
      <c r="V279" s="279"/>
      <c r="W279" s="310"/>
      <c r="X279" s="5"/>
    </row>
    <row r="280" spans="1:24" ht="15.6" x14ac:dyDescent="0.3">
      <c r="A280" s="278"/>
      <c r="B280" s="279"/>
      <c r="C280" s="279"/>
      <c r="D280" s="279"/>
      <c r="E280" s="279"/>
      <c r="F280" s="279"/>
      <c r="G280" s="279"/>
      <c r="H280" s="373"/>
      <c r="I280" s="373"/>
      <c r="J280" s="373"/>
      <c r="K280" s="373"/>
      <c r="L280" s="373"/>
      <c r="M280" s="373"/>
      <c r="N280" s="373"/>
      <c r="O280" s="373"/>
      <c r="P280" s="373"/>
      <c r="Q280" s="373"/>
      <c r="R280" s="329"/>
      <c r="S280" s="372"/>
      <c r="T280" s="330"/>
      <c r="U280" s="372"/>
      <c r="V280" s="279"/>
      <c r="W280" s="310"/>
      <c r="X280" s="5"/>
    </row>
    <row r="281" spans="1:24" ht="15.6" x14ac:dyDescent="0.3">
      <c r="A281" s="278"/>
      <c r="B281" s="288" t="s">
        <v>170</v>
      </c>
      <c r="C281" s="279"/>
      <c r="D281" s="279"/>
      <c r="E281" s="279"/>
      <c r="F281" s="279"/>
      <c r="G281" s="279"/>
      <c r="H281" s="373"/>
      <c r="I281" s="373"/>
      <c r="J281" s="373"/>
      <c r="K281" s="373"/>
      <c r="L281" s="373"/>
      <c r="M281" s="373"/>
      <c r="N281" s="373"/>
      <c r="O281" s="373"/>
      <c r="P281" s="373"/>
      <c r="Q281" s="373"/>
      <c r="R281" s="376">
        <f>R279+R267+R255</f>
        <v>7649</v>
      </c>
      <c r="S281" s="372"/>
      <c r="T281" s="377">
        <f>+T279+T267+T255</f>
        <v>1031753</v>
      </c>
      <c r="U281" s="372"/>
      <c r="V281" s="279"/>
      <c r="W281" s="310"/>
      <c r="X281" s="5"/>
    </row>
    <row r="282" spans="1:24" ht="15.6" x14ac:dyDescent="0.3">
      <c r="A282" s="177"/>
      <c r="B282" s="340"/>
      <c r="C282" s="340"/>
      <c r="D282" s="340"/>
      <c r="E282" s="340"/>
      <c r="F282" s="340"/>
      <c r="G282" s="340"/>
      <c r="H282" s="374"/>
      <c r="I282" s="374"/>
      <c r="J282" s="374"/>
      <c r="K282" s="374"/>
      <c r="L282" s="374"/>
      <c r="M282" s="374"/>
      <c r="N282" s="374"/>
      <c r="O282" s="374"/>
      <c r="P282" s="374"/>
      <c r="Q282" s="374"/>
      <c r="R282" s="374"/>
      <c r="S282" s="374"/>
      <c r="T282" s="375"/>
      <c r="U282" s="374"/>
      <c r="V282" s="340"/>
      <c r="W282" s="275"/>
      <c r="X282" s="5"/>
    </row>
    <row r="283" spans="1:24" ht="15.6" x14ac:dyDescent="0.3">
      <c r="A283" s="177"/>
      <c r="B283" s="252"/>
      <c r="C283" s="252"/>
      <c r="D283" s="252"/>
      <c r="E283" s="252"/>
      <c r="F283" s="252"/>
      <c r="G283" s="252"/>
      <c r="H283" s="253"/>
      <c r="I283" s="253"/>
      <c r="J283" s="253"/>
      <c r="K283" s="253"/>
      <c r="L283" s="253"/>
      <c r="M283" s="253"/>
      <c r="N283" s="253"/>
      <c r="O283" s="253"/>
      <c r="P283" s="253"/>
      <c r="Q283" s="253"/>
      <c r="R283" s="253"/>
      <c r="S283" s="253"/>
      <c r="T283" s="254"/>
      <c r="U283" s="253"/>
      <c r="V283" s="252"/>
      <c r="W283" s="179"/>
      <c r="X283" s="5"/>
    </row>
    <row r="284" spans="1:24" ht="15.6" x14ac:dyDescent="0.3">
      <c r="A284" s="222"/>
      <c r="B284" s="255" t="s">
        <v>93</v>
      </c>
      <c r="C284" s="252"/>
      <c r="D284" s="252"/>
      <c r="E284" s="252"/>
      <c r="F284" s="256" t="s">
        <v>99</v>
      </c>
      <c r="G284" s="252"/>
      <c r="H284" s="255" t="s">
        <v>101</v>
      </c>
      <c r="I284" s="257"/>
      <c r="J284" s="257"/>
      <c r="K284" s="257"/>
      <c r="L284" s="257"/>
      <c r="M284" s="257"/>
      <c r="N284" s="257"/>
      <c r="O284" s="257"/>
      <c r="P284" s="257"/>
      <c r="Q284" s="257"/>
      <c r="R284" s="257"/>
      <c r="S284" s="257"/>
      <c r="T284" s="257"/>
      <c r="U284" s="257"/>
      <c r="V284" s="257"/>
      <c r="W284" s="187"/>
      <c r="X284" s="5"/>
    </row>
    <row r="285" spans="1:24" ht="15.6" x14ac:dyDescent="0.3">
      <c r="A285" s="222"/>
      <c r="B285" s="257"/>
      <c r="C285" s="252"/>
      <c r="D285" s="252"/>
      <c r="E285" s="252"/>
      <c r="F285" s="252"/>
      <c r="G285" s="252"/>
      <c r="H285" s="252"/>
      <c r="I285" s="257"/>
      <c r="J285" s="257"/>
      <c r="K285" s="257"/>
      <c r="L285" s="257"/>
      <c r="M285" s="257"/>
      <c r="N285" s="257"/>
      <c r="O285" s="257"/>
      <c r="P285" s="257"/>
      <c r="Q285" s="257"/>
      <c r="R285" s="257"/>
      <c r="S285" s="257"/>
      <c r="T285" s="257"/>
      <c r="U285" s="257"/>
      <c r="V285" s="257"/>
      <c r="W285" s="187"/>
      <c r="X285" s="5"/>
    </row>
    <row r="286" spans="1:24" ht="15.6" x14ac:dyDescent="0.3">
      <c r="A286" s="222"/>
      <c r="B286" s="255" t="s">
        <v>94</v>
      </c>
      <c r="C286" s="255"/>
      <c r="D286" s="255"/>
      <c r="E286" s="255"/>
      <c r="F286" s="258" t="s">
        <v>153</v>
      </c>
      <c r="G286" s="255"/>
      <c r="H286" s="255" t="s">
        <v>157</v>
      </c>
      <c r="I286" s="257"/>
      <c r="J286" s="257"/>
      <c r="K286" s="257"/>
      <c r="L286" s="257"/>
      <c r="M286" s="257"/>
      <c r="N286" s="257"/>
      <c r="O286" s="257"/>
      <c r="P286" s="257"/>
      <c r="Q286" s="257"/>
      <c r="R286" s="257"/>
      <c r="S286" s="257"/>
      <c r="T286" s="257"/>
      <c r="U286" s="257"/>
      <c r="V286" s="257"/>
      <c r="W286" s="187"/>
      <c r="X286" s="5"/>
    </row>
    <row r="287" spans="1:24" ht="15.6" x14ac:dyDescent="0.3">
      <c r="A287" s="222"/>
      <c r="B287" s="255" t="s">
        <v>277</v>
      </c>
      <c r="C287" s="255"/>
      <c r="D287" s="255"/>
      <c r="E287" s="255"/>
      <c r="F287" s="258" t="s">
        <v>278</v>
      </c>
      <c r="G287" s="255"/>
      <c r="H287" s="255" t="s">
        <v>279</v>
      </c>
      <c r="I287" s="257"/>
      <c r="J287" s="257"/>
      <c r="K287" s="257"/>
      <c r="L287" s="257"/>
      <c r="M287" s="257"/>
      <c r="N287" s="257"/>
      <c r="O287" s="257"/>
      <c r="P287" s="257"/>
      <c r="Q287" s="257"/>
      <c r="R287" s="257"/>
      <c r="S287" s="257"/>
      <c r="T287" s="257"/>
      <c r="U287" s="257"/>
      <c r="V287" s="257"/>
      <c r="W287" s="187"/>
      <c r="X287" s="5"/>
    </row>
    <row r="288" spans="1:24" ht="15.6" x14ac:dyDescent="0.3">
      <c r="A288" s="222"/>
      <c r="B288" s="255" t="s">
        <v>95</v>
      </c>
      <c r="C288" s="255"/>
      <c r="D288" s="255"/>
      <c r="E288" s="255"/>
      <c r="F288" s="258" t="s">
        <v>152</v>
      </c>
      <c r="G288" s="255"/>
      <c r="H288" s="255" t="s">
        <v>158</v>
      </c>
      <c r="I288" s="257"/>
      <c r="J288" s="257"/>
      <c r="K288" s="257"/>
      <c r="L288" s="257"/>
      <c r="M288" s="257"/>
      <c r="N288" s="257"/>
      <c r="O288" s="257"/>
      <c r="P288" s="257"/>
      <c r="Q288" s="257"/>
      <c r="R288" s="257"/>
      <c r="S288" s="257"/>
      <c r="T288" s="257"/>
      <c r="U288" s="257"/>
      <c r="V288" s="257"/>
      <c r="W288" s="187"/>
      <c r="X288" s="5"/>
    </row>
    <row r="289" spans="1:24" ht="15.6" x14ac:dyDescent="0.3">
      <c r="A289" s="222"/>
      <c r="B289" s="255"/>
      <c r="C289" s="255"/>
      <c r="D289" s="255"/>
      <c r="E289" s="255"/>
      <c r="F289" s="255"/>
      <c r="G289" s="259"/>
      <c r="H289" s="257"/>
      <c r="I289" s="257"/>
      <c r="J289" s="257"/>
      <c r="K289" s="257"/>
      <c r="L289" s="257"/>
      <c r="M289" s="257"/>
      <c r="N289" s="257"/>
      <c r="O289" s="257"/>
      <c r="P289" s="257"/>
      <c r="Q289" s="257"/>
      <c r="R289" s="257"/>
      <c r="S289" s="257"/>
      <c r="T289" s="257"/>
      <c r="U289" s="257"/>
      <c r="V289" s="257"/>
      <c r="W289" s="187"/>
      <c r="X289" s="5"/>
    </row>
    <row r="290" spans="1:24" ht="18" thickBot="1" x14ac:dyDescent="0.35">
      <c r="A290" s="222"/>
      <c r="B290" s="260" t="str">
        <f>B195</f>
        <v>PM12 INVESTOR REPORT QUARTER ENDING JULY 2010</v>
      </c>
      <c r="C290" s="255"/>
      <c r="D290" s="255"/>
      <c r="E290" s="255"/>
      <c r="F290" s="255"/>
      <c r="G290" s="259"/>
      <c r="H290" s="257"/>
      <c r="I290" s="257"/>
      <c r="J290" s="257"/>
      <c r="K290" s="257"/>
      <c r="L290" s="257"/>
      <c r="M290" s="257"/>
      <c r="N290" s="257"/>
      <c r="O290" s="257"/>
      <c r="P290" s="257"/>
      <c r="Q290" s="257"/>
      <c r="R290" s="257"/>
      <c r="S290" s="257"/>
      <c r="T290" s="257"/>
      <c r="U290" s="257"/>
      <c r="V290" s="257"/>
      <c r="W290" s="187"/>
      <c r="X290" s="5"/>
    </row>
    <row r="291" spans="1:24" x14ac:dyDescent="0.2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row>
  </sheetData>
  <phoneticPr fontId="0" type="noConversion"/>
  <hyperlinks>
    <hyperlink ref="P231" r:id="rId1" xr:uid="{00000000-0004-0000-0F00-000000000000}"/>
    <hyperlink ref="I9" r:id="rId2" xr:uid="{00000000-0004-0000-0F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195" max="14" man="1"/>
  </rowBreak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89CB31"/>
  </sheetPr>
  <dimension ref="A1:Y291"/>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255"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255"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255" t="s">
        <v>2</v>
      </c>
      <c r="C15" s="252"/>
      <c r="D15" s="252"/>
      <c r="E15" s="252"/>
      <c r="F15" s="252"/>
      <c r="G15" s="252"/>
      <c r="H15" s="268"/>
      <c r="I15" s="268"/>
      <c r="J15" s="268"/>
      <c r="K15" s="268"/>
      <c r="L15" s="268"/>
      <c r="M15" s="268"/>
      <c r="N15" s="268"/>
      <c r="O15" s="268"/>
      <c r="P15" s="268"/>
      <c r="Q15" s="268"/>
      <c r="R15" s="268" t="s">
        <v>106</v>
      </c>
      <c r="S15" s="269">
        <v>0.6</v>
      </c>
      <c r="T15" s="256" t="s">
        <v>145</v>
      </c>
      <c r="U15" s="269">
        <v>0.4</v>
      </c>
      <c r="V15" s="267"/>
      <c r="W15" s="252"/>
      <c r="X15" s="5"/>
    </row>
    <row r="16" spans="1:24" ht="15.6" x14ac:dyDescent="0.3">
      <c r="A16" s="177"/>
      <c r="B16" s="255" t="s">
        <v>3</v>
      </c>
      <c r="C16" s="252"/>
      <c r="D16" s="252"/>
      <c r="E16" s="252"/>
      <c r="F16" s="252"/>
      <c r="G16" s="252"/>
      <c r="H16" s="268"/>
      <c r="I16" s="268"/>
      <c r="J16" s="268"/>
      <c r="K16" s="268"/>
      <c r="L16" s="268"/>
      <c r="M16" s="268"/>
      <c r="N16" s="268"/>
      <c r="O16" s="268"/>
      <c r="P16" s="268"/>
      <c r="Q16" s="268"/>
      <c r="R16" s="268" t="s">
        <v>106</v>
      </c>
      <c r="S16" s="269">
        <v>0.64510000000000001</v>
      </c>
      <c r="T16" s="256" t="s">
        <v>145</v>
      </c>
      <c r="U16" s="269">
        <v>0.35489999999999999</v>
      </c>
      <c r="V16" s="267"/>
      <c r="W16" s="252"/>
      <c r="X16" s="5"/>
    </row>
    <row r="17" spans="1:25" ht="15.6" x14ac:dyDescent="0.3">
      <c r="A17" s="177"/>
      <c r="B17" s="255" t="s">
        <v>4</v>
      </c>
      <c r="C17" s="252"/>
      <c r="D17" s="252"/>
      <c r="E17" s="252"/>
      <c r="F17" s="252"/>
      <c r="G17" s="252"/>
      <c r="H17" s="252"/>
      <c r="I17" s="252"/>
      <c r="J17" s="252"/>
      <c r="K17" s="252"/>
      <c r="L17" s="252"/>
      <c r="M17" s="252"/>
      <c r="N17" s="252"/>
      <c r="O17" s="252"/>
      <c r="P17" s="252"/>
      <c r="Q17" s="252"/>
      <c r="R17" s="252"/>
      <c r="S17" s="252"/>
      <c r="T17" s="252"/>
      <c r="U17" s="252"/>
      <c r="V17" s="270">
        <v>38918</v>
      </c>
      <c r="W17" s="252"/>
      <c r="X17" s="5"/>
    </row>
    <row r="18" spans="1:25" ht="15.6" x14ac:dyDescent="0.3">
      <c r="A18" s="177"/>
      <c r="B18" s="255" t="s">
        <v>5</v>
      </c>
      <c r="C18" s="252"/>
      <c r="D18" s="252"/>
      <c r="E18" s="252"/>
      <c r="F18" s="252"/>
      <c r="G18" s="252"/>
      <c r="H18" s="252"/>
      <c r="I18" s="252"/>
      <c r="J18" s="252"/>
      <c r="K18" s="252"/>
      <c r="L18" s="252"/>
      <c r="M18" s="252"/>
      <c r="N18" s="252"/>
      <c r="O18" s="252"/>
      <c r="P18" s="252"/>
      <c r="Q18" s="252"/>
      <c r="R18" s="252"/>
      <c r="S18" s="252"/>
      <c r="T18" s="252"/>
      <c r="U18" s="252"/>
      <c r="V18" s="270">
        <v>40500</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6"/>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84"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6"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6" t="s">
        <v>197</v>
      </c>
      <c r="C27" s="280"/>
      <c r="D27" s="285" t="s">
        <v>220</v>
      </c>
      <c r="E27" s="285"/>
      <c r="F27" s="285" t="s">
        <v>148</v>
      </c>
      <c r="G27" s="285"/>
      <c r="H27" s="285" t="s">
        <v>148</v>
      </c>
      <c r="I27" s="285"/>
      <c r="J27" s="285" t="s">
        <v>148</v>
      </c>
      <c r="K27" s="285"/>
      <c r="L27" s="285" t="s">
        <v>171</v>
      </c>
      <c r="M27" s="285"/>
      <c r="N27" s="285" t="s">
        <v>171</v>
      </c>
      <c r="O27" s="285"/>
      <c r="P27" s="285" t="s">
        <v>149</v>
      </c>
      <c r="Q27" s="285"/>
      <c r="R27" s="285" t="s">
        <v>149</v>
      </c>
      <c r="S27" s="280"/>
      <c r="T27" s="287"/>
      <c r="U27" s="281"/>
      <c r="V27" s="281"/>
      <c r="W27" s="282"/>
      <c r="X27" s="5"/>
    </row>
    <row r="28" spans="1:25" ht="15.6" x14ac:dyDescent="0.3">
      <c r="A28" s="278"/>
      <c r="B28" s="288" t="s">
        <v>198</v>
      </c>
      <c r="C28" s="280"/>
      <c r="D28" s="285" t="s">
        <v>221</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293"/>
      <c r="D31" s="294">
        <v>1500000</v>
      </c>
      <c r="E31" s="289"/>
      <c r="F31" s="290">
        <v>145000</v>
      </c>
      <c r="G31" s="290"/>
      <c r="H31" s="295">
        <v>245000</v>
      </c>
      <c r="I31" s="295"/>
      <c r="J31" s="294">
        <v>311000</v>
      </c>
      <c r="K31" s="290"/>
      <c r="L31" s="290">
        <v>25000</v>
      </c>
      <c r="M31" s="290"/>
      <c r="N31" s="295">
        <v>126000</v>
      </c>
      <c r="O31" s="290"/>
      <c r="P31" s="290">
        <v>17000</v>
      </c>
      <c r="Q31" s="290"/>
      <c r="R31" s="295">
        <v>106000</v>
      </c>
      <c r="S31" s="296"/>
      <c r="T31" s="296"/>
      <c r="U31" s="297"/>
      <c r="V31" s="296"/>
      <c r="W31" s="292"/>
      <c r="X31" s="5"/>
    </row>
    <row r="32" spans="1:25" ht="15.6" x14ac:dyDescent="0.3">
      <c r="A32" s="278"/>
      <c r="B32" s="279" t="s">
        <v>137</v>
      </c>
      <c r="C32" s="289"/>
      <c r="D32" s="294">
        <f>D31*D38</f>
        <v>958731.45</v>
      </c>
      <c r="E32" s="289"/>
      <c r="F32" s="290">
        <f>F31*F38</f>
        <v>92677.475000000006</v>
      </c>
      <c r="G32" s="290"/>
      <c r="H32" s="295">
        <f>H31*H38</f>
        <v>156592.97500000001</v>
      </c>
      <c r="I32" s="295"/>
      <c r="J32" s="294">
        <f>J31*J38</f>
        <v>198776.98729999998</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6" t="s">
        <v>139</v>
      </c>
      <c r="C33" s="289"/>
      <c r="D33" s="298">
        <f>D37*D31</f>
        <v>949290.9</v>
      </c>
      <c r="E33" s="293"/>
      <c r="F33" s="296">
        <f>F37*F31</f>
        <v>91764.903000000006</v>
      </c>
      <c r="G33" s="296"/>
      <c r="H33" s="299">
        <f>H31*H37</f>
        <v>155051.04300000001</v>
      </c>
      <c r="I33" s="299"/>
      <c r="J33" s="298">
        <f>J37*J31</f>
        <v>196819.64660000001</v>
      </c>
      <c r="K33" s="296"/>
      <c r="L33" s="296">
        <f>L31*L37</f>
        <v>25000</v>
      </c>
      <c r="M33" s="296"/>
      <c r="N33" s="299">
        <f>N31*N37</f>
        <v>126000</v>
      </c>
      <c r="O33" s="296"/>
      <c r="P33" s="296">
        <f>P31*P37</f>
        <v>17000</v>
      </c>
      <c r="Q33" s="296"/>
      <c r="R33" s="299">
        <f>R31*R37</f>
        <v>106000</v>
      </c>
      <c r="S33" s="290"/>
      <c r="T33" s="290"/>
      <c r="U33" s="291"/>
      <c r="V33" s="290"/>
      <c r="W33" s="292"/>
      <c r="X33" s="5"/>
    </row>
    <row r="34" spans="1:24" ht="15.6" x14ac:dyDescent="0.3">
      <c r="A34" s="283"/>
      <c r="B34" s="279" t="s">
        <v>293</v>
      </c>
      <c r="C34" s="293"/>
      <c r="D34" s="290">
        <v>815217</v>
      </c>
      <c r="E34" s="289"/>
      <c r="F34" s="290">
        <v>145000</v>
      </c>
      <c r="G34" s="290"/>
      <c r="H34" s="290">
        <v>168966</v>
      </c>
      <c r="I34" s="290"/>
      <c r="J34" s="290">
        <v>169022</v>
      </c>
      <c r="K34" s="290"/>
      <c r="L34" s="290">
        <v>25000</v>
      </c>
      <c r="M34" s="290"/>
      <c r="N34" s="290">
        <v>86897</v>
      </c>
      <c r="O34" s="290"/>
      <c r="P34" s="290">
        <v>17000</v>
      </c>
      <c r="Q34" s="290"/>
      <c r="R34" s="290">
        <v>73103</v>
      </c>
      <c r="S34" s="296"/>
      <c r="T34" s="296"/>
      <c r="U34" s="297"/>
      <c r="V34" s="300">
        <f>SUM(C34:R34)</f>
        <v>1500205</v>
      </c>
      <c r="W34" s="292"/>
      <c r="X34" s="5"/>
    </row>
    <row r="35" spans="1:24" ht="15.6" x14ac:dyDescent="0.3">
      <c r="A35" s="283"/>
      <c r="B35" s="279" t="s">
        <v>294</v>
      </c>
      <c r="C35" s="301"/>
      <c r="D35" s="290">
        <f>D34*D38</f>
        <v>521049.45098309999</v>
      </c>
      <c r="E35" s="289"/>
      <c r="F35" s="290">
        <f>F34*F38</f>
        <v>92677.475000000006</v>
      </c>
      <c r="G35" s="290"/>
      <c r="H35" s="290">
        <f>H34*H38</f>
        <v>107995.46373</v>
      </c>
      <c r="I35" s="290"/>
      <c r="J35" s="290">
        <f>J34*J38</f>
        <v>108031.1380946</v>
      </c>
      <c r="K35" s="290"/>
      <c r="L35" s="290">
        <f>+L34</f>
        <v>25000</v>
      </c>
      <c r="M35" s="290"/>
      <c r="N35" s="290">
        <f>+N34</f>
        <v>86897</v>
      </c>
      <c r="O35" s="290"/>
      <c r="P35" s="290">
        <f>+P34</f>
        <v>17000</v>
      </c>
      <c r="Q35" s="290"/>
      <c r="R35" s="290">
        <f>+R34</f>
        <v>73103</v>
      </c>
      <c r="S35" s="290"/>
      <c r="T35" s="290"/>
      <c r="U35" s="291"/>
      <c r="V35" s="300">
        <f>SUM(C35:R35)-1</f>
        <v>1031752.5278077</v>
      </c>
      <c r="W35" s="292"/>
      <c r="X35" s="5"/>
    </row>
    <row r="36" spans="1:24" ht="15.6" x14ac:dyDescent="0.3">
      <c r="A36" s="283"/>
      <c r="B36" s="286" t="s">
        <v>295</v>
      </c>
      <c r="C36" s="301"/>
      <c r="D36" s="296">
        <f>D34*D37</f>
        <v>515918.71975019999</v>
      </c>
      <c r="E36" s="293"/>
      <c r="F36" s="296">
        <f>F34*F37</f>
        <v>91764.903000000006</v>
      </c>
      <c r="G36" s="296"/>
      <c r="H36" s="296">
        <f>H34*H37</f>
        <v>106932.0593124</v>
      </c>
      <c r="I36" s="296"/>
      <c r="J36" s="296">
        <f>J34*J37</f>
        <v>106967.36433319999</v>
      </c>
      <c r="K36" s="296"/>
      <c r="L36" s="296">
        <f>+L34</f>
        <v>25000</v>
      </c>
      <c r="M36" s="296"/>
      <c r="N36" s="296">
        <f>+N34</f>
        <v>86897</v>
      </c>
      <c r="O36" s="296"/>
      <c r="P36" s="296">
        <f>+P34</f>
        <v>17000</v>
      </c>
      <c r="Q36" s="296"/>
      <c r="R36" s="296">
        <f>+R34</f>
        <v>73103</v>
      </c>
      <c r="S36" s="302"/>
      <c r="T36" s="302"/>
      <c r="U36" s="291"/>
      <c r="V36" s="303">
        <f>SUM(C36:R36)</f>
        <v>1023583.0463958001</v>
      </c>
      <c r="W36" s="292"/>
      <c r="X36" s="5"/>
    </row>
    <row r="37" spans="1:24" ht="15.6" x14ac:dyDescent="0.3">
      <c r="A37" s="278"/>
      <c r="B37" s="304" t="s">
        <v>135</v>
      </c>
      <c r="C37" s="305"/>
      <c r="D37" s="306">
        <v>0.6328606</v>
      </c>
      <c r="E37" s="307"/>
      <c r="F37" s="306">
        <v>0.63286140000000002</v>
      </c>
      <c r="G37" s="306"/>
      <c r="H37" s="306">
        <v>0.63286140000000002</v>
      </c>
      <c r="I37" s="306"/>
      <c r="J37" s="306">
        <v>0.6328606</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0.63915429999999995</v>
      </c>
      <c r="E38" s="307"/>
      <c r="F38" s="306">
        <v>0.63915500000000003</v>
      </c>
      <c r="G38" s="306"/>
      <c r="H38" s="306">
        <v>0.63915500000000003</v>
      </c>
      <c r="I38" s="306"/>
      <c r="J38" s="306">
        <v>0.63915429999999995</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235</v>
      </c>
      <c r="E39" s="279"/>
      <c r="F39" s="287" t="s">
        <v>235</v>
      </c>
      <c r="G39" s="287"/>
      <c r="H39" s="287" t="s">
        <v>235</v>
      </c>
      <c r="I39" s="287"/>
      <c r="J39" s="287" t="s">
        <v>236</v>
      </c>
      <c r="K39" s="287"/>
      <c r="L39" s="287" t="s">
        <v>237</v>
      </c>
      <c r="M39" s="287"/>
      <c r="N39" s="287" t="s">
        <v>237</v>
      </c>
      <c r="O39" s="287"/>
      <c r="P39" s="287" t="s">
        <v>238</v>
      </c>
      <c r="Q39" s="287"/>
      <c r="R39" s="287" t="s">
        <v>238</v>
      </c>
      <c r="S39" s="313"/>
      <c r="T39" s="314"/>
      <c r="U39" s="281"/>
      <c r="V39" s="281"/>
      <c r="W39" s="282"/>
      <c r="X39" s="5"/>
    </row>
    <row r="40" spans="1:24" ht="15.6" x14ac:dyDescent="0.3">
      <c r="A40" s="278"/>
      <c r="B40" s="279" t="s">
        <v>12</v>
      </c>
      <c r="C40" s="279"/>
      <c r="D40" s="314">
        <v>3.7624999999999998E-3</v>
      </c>
      <c r="E40" s="279"/>
      <c r="F40" s="314">
        <v>8.5000000000000006E-3</v>
      </c>
      <c r="G40" s="313"/>
      <c r="H40" s="314">
        <v>1.0189999999999999E-2</v>
      </c>
      <c r="I40" s="314"/>
      <c r="J40" s="314">
        <v>4.8624999999999996E-3</v>
      </c>
      <c r="K40" s="313"/>
      <c r="L40" s="314">
        <v>9.7000000000000003E-3</v>
      </c>
      <c r="M40" s="313"/>
      <c r="N40" s="314">
        <v>1.1390000000000001E-2</v>
      </c>
      <c r="O40" s="313"/>
      <c r="P40" s="314">
        <v>1.1900000000000001E-2</v>
      </c>
      <c r="Q40" s="313"/>
      <c r="R40" s="314">
        <v>1.359E-2</v>
      </c>
      <c r="S40" s="313"/>
      <c r="T40" s="314"/>
      <c r="U40" s="281"/>
      <c r="V40" s="287"/>
      <c r="W40" s="282"/>
      <c r="X40" s="5"/>
    </row>
    <row r="41" spans="1:24" ht="15.6" x14ac:dyDescent="0.3">
      <c r="A41" s="278"/>
      <c r="B41" s="279" t="s">
        <v>13</v>
      </c>
      <c r="C41" s="279"/>
      <c r="D41" s="314">
        <v>4.6093999999999996E-3</v>
      </c>
      <c r="E41" s="279"/>
      <c r="F41" s="314">
        <v>8.1624999999999996E-3</v>
      </c>
      <c r="G41" s="313"/>
      <c r="H41" s="314">
        <v>8.0300000000000007E-3</v>
      </c>
      <c r="I41" s="314"/>
      <c r="J41" s="314">
        <v>5.4587999999999998E-3</v>
      </c>
      <c r="K41" s="313"/>
      <c r="L41" s="314">
        <v>9.3624999999999993E-3</v>
      </c>
      <c r="M41" s="313"/>
      <c r="N41" s="314">
        <v>9.2300000000000004E-3</v>
      </c>
      <c r="O41" s="313"/>
      <c r="P41" s="314">
        <v>1.15625E-2</v>
      </c>
      <c r="Q41" s="313"/>
      <c r="R41" s="314">
        <v>1.1429999999999999E-2</v>
      </c>
      <c r="S41" s="313"/>
      <c r="T41" s="314"/>
      <c r="U41" s="281"/>
      <c r="V41" s="313" t="s">
        <v>199</v>
      </c>
      <c r="W41" s="282"/>
      <c r="X41" s="5"/>
    </row>
    <row r="42" spans="1:24" ht="15.6" x14ac:dyDescent="0.3">
      <c r="A42" s="278"/>
      <c r="B42" s="279" t="s">
        <v>296</v>
      </c>
      <c r="C42" s="279"/>
      <c r="D42" s="287" t="s">
        <v>286</v>
      </c>
      <c r="E42" s="279"/>
      <c r="F42" s="287" t="s">
        <v>235</v>
      </c>
      <c r="G42" s="287"/>
      <c r="H42" s="287" t="s">
        <v>267</v>
      </c>
      <c r="I42" s="287"/>
      <c r="J42" s="287" t="s">
        <v>266</v>
      </c>
      <c r="K42" s="287"/>
      <c r="L42" s="287" t="s">
        <v>237</v>
      </c>
      <c r="M42" s="287"/>
      <c r="N42" s="287" t="s">
        <v>265</v>
      </c>
      <c r="O42" s="287"/>
      <c r="P42" s="287" t="s">
        <v>238</v>
      </c>
      <c r="Q42" s="287"/>
      <c r="R42" s="287" t="s">
        <v>240</v>
      </c>
      <c r="S42" s="313"/>
      <c r="T42" s="314"/>
      <c r="U42" s="281"/>
      <c r="V42" s="281"/>
      <c r="W42" s="282"/>
      <c r="X42" s="5"/>
    </row>
    <row r="43" spans="1:24" ht="15.6" x14ac:dyDescent="0.3">
      <c r="A43" s="278"/>
      <c r="B43" s="279" t="s">
        <v>297</v>
      </c>
      <c r="C43" s="315"/>
      <c r="D43" s="314">
        <v>8.7033000000000006E-3</v>
      </c>
      <c r="E43" s="314"/>
      <c r="F43" s="314">
        <f>+F40</f>
        <v>8.5000000000000006E-3</v>
      </c>
      <c r="G43" s="314"/>
      <c r="H43" s="314">
        <v>8.4609999999999998E-3</v>
      </c>
      <c r="I43" s="314"/>
      <c r="J43" s="314">
        <v>8.5819999999999994E-3</v>
      </c>
      <c r="K43" s="314"/>
      <c r="L43" s="314">
        <f>+L40</f>
        <v>9.7000000000000003E-3</v>
      </c>
      <c r="M43" s="314"/>
      <c r="N43" s="314">
        <v>9.8010000000000007E-3</v>
      </c>
      <c r="O43" s="314"/>
      <c r="P43" s="314">
        <f>+P40</f>
        <v>1.1900000000000001E-2</v>
      </c>
      <c r="Q43" s="313"/>
      <c r="R43" s="314">
        <v>1.2135999999999999E-2</v>
      </c>
      <c r="S43" s="287"/>
      <c r="T43" s="287"/>
      <c r="U43" s="281"/>
      <c r="V43" s="313">
        <f>SUMPRODUCT(D43:R43,D35:R35)/V35</f>
        <v>9.0594753325680608E-3</v>
      </c>
      <c r="W43" s="282"/>
      <c r="X43" s="5"/>
    </row>
    <row r="44" spans="1:24" ht="15.6" x14ac:dyDescent="0.3">
      <c r="A44" s="278"/>
      <c r="B44" s="279" t="s">
        <v>298</v>
      </c>
      <c r="C44" s="315"/>
      <c r="D44" s="314">
        <v>8.3657999999999996E-3</v>
      </c>
      <c r="E44" s="314"/>
      <c r="F44" s="314">
        <f>+F41</f>
        <v>8.1624999999999996E-3</v>
      </c>
      <c r="G44" s="314"/>
      <c r="H44" s="314">
        <v>8.1235000000000005E-3</v>
      </c>
      <c r="I44" s="314"/>
      <c r="J44" s="314">
        <v>8.2445000000000001E-3</v>
      </c>
      <c r="K44" s="314"/>
      <c r="L44" s="314">
        <f>+L41</f>
        <v>9.3624999999999993E-3</v>
      </c>
      <c r="M44" s="314"/>
      <c r="N44" s="314">
        <v>9.4634999999999997E-3</v>
      </c>
      <c r="O44" s="314"/>
      <c r="P44" s="314">
        <f>+P41</f>
        <v>1.15625E-2</v>
      </c>
      <c r="Q44" s="313"/>
      <c r="R44" s="314">
        <v>1.17985E-2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40770</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316" t="s">
        <v>123</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206</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0.24586680663160362</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20"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21" t="s">
        <v>116</v>
      </c>
      <c r="W55" s="282"/>
      <c r="X55" s="5"/>
    </row>
    <row r="56" spans="1:25" ht="15.6" x14ac:dyDescent="0.3">
      <c r="A56" s="278"/>
      <c r="B56" s="286" t="s">
        <v>207</v>
      </c>
      <c r="C56" s="286"/>
      <c r="D56" s="286"/>
      <c r="E56" s="286"/>
      <c r="F56" s="286"/>
      <c r="G56" s="286"/>
      <c r="H56" s="286"/>
      <c r="I56" s="286"/>
      <c r="J56" s="286"/>
      <c r="K56" s="286"/>
      <c r="L56" s="286"/>
      <c r="M56" s="286"/>
      <c r="N56" s="286"/>
      <c r="O56" s="286"/>
      <c r="P56" s="286"/>
      <c r="Q56" s="286"/>
      <c r="R56" s="286"/>
      <c r="S56" s="286"/>
      <c r="T56" s="322"/>
      <c r="U56" s="322"/>
      <c r="V56" s="323">
        <v>40497</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91</v>
      </c>
      <c r="S57" s="279"/>
      <c r="T57" s="325">
        <v>40315</v>
      </c>
      <c r="U57" s="326"/>
      <c r="V57" s="325">
        <v>40405</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91</v>
      </c>
      <c r="S58" s="279"/>
      <c r="T58" s="325">
        <v>40406</v>
      </c>
      <c r="U58" s="326"/>
      <c r="V58" s="325">
        <v>40496</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40483</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305</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t="s">
        <v>17</v>
      </c>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1031753</v>
      </c>
      <c r="O68" s="329"/>
      <c r="P68" s="329">
        <f>8171+397+21-1</f>
        <v>8588</v>
      </c>
      <c r="Q68" s="329"/>
      <c r="R68" s="329">
        <f>397+21</f>
        <v>418</v>
      </c>
      <c r="S68" s="329"/>
      <c r="T68" s="329">
        <v>0</v>
      </c>
      <c r="U68" s="329"/>
      <c r="V68" s="330">
        <f>+N68-P68+R68-T68</f>
        <v>1023583</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1031753</v>
      </c>
      <c r="O71" s="329"/>
      <c r="P71" s="329">
        <f>SUM(P68:P70)</f>
        <v>8588</v>
      </c>
      <c r="Q71" s="329"/>
      <c r="R71" s="329">
        <f>SUM(R68:R70)</f>
        <v>418</v>
      </c>
      <c r="S71" s="329"/>
      <c r="T71" s="329">
        <f>SUM(T68:T70)</f>
        <v>0</v>
      </c>
      <c r="U71" s="329"/>
      <c r="V71" s="329">
        <f>SUM(V68:V70)</f>
        <v>1023583</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1031753</v>
      </c>
      <c r="O84" s="329"/>
      <c r="P84" s="329"/>
      <c r="Q84" s="329"/>
      <c r="R84" s="329"/>
      <c r="S84" s="329"/>
      <c r="T84" s="329"/>
      <c r="U84" s="329"/>
      <c r="V84" s="329">
        <f>SUM(V71:V83)</f>
        <v>1023583</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230" t="s">
        <v>27</v>
      </c>
      <c r="C87" s="230"/>
      <c r="D87" s="230"/>
      <c r="E87" s="230"/>
      <c r="F87" s="230"/>
      <c r="G87" s="230"/>
      <c r="H87" s="231"/>
      <c r="I87" s="231"/>
      <c r="J87" s="231"/>
      <c r="K87" s="231"/>
      <c r="L87" s="232" t="s">
        <v>97</v>
      </c>
      <c r="M87" s="231"/>
      <c r="N87" s="233">
        <f>+T196</f>
        <v>40480</v>
      </c>
      <c r="O87" s="231"/>
      <c r="P87" s="231"/>
      <c r="Q87" s="231"/>
      <c r="R87" s="231"/>
      <c r="S87" s="231"/>
      <c r="T87" s="231" t="s">
        <v>110</v>
      </c>
      <c r="U87" s="231"/>
      <c r="V87" s="231"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8588-536</f>
        <v>8052</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4932+2754+58-734-272</f>
        <v>6738</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104+51</f>
        <v>155</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56</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0</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8052</v>
      </c>
      <c r="U96" s="279"/>
      <c r="V96" s="329">
        <f>SUM(V88:V95)</f>
        <v>6949</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-21</v>
      </c>
      <c r="U97" s="279"/>
      <c r="V97" s="329">
        <v>21</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-252</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8031</v>
      </c>
      <c r="U100" s="279"/>
      <c r="V100" s="329">
        <f>V96+V98+V97+V99</f>
        <v>6718</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259</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210</v>
      </c>
      <c r="C104" s="279"/>
      <c r="D104" s="279"/>
      <c r="E104" s="279"/>
      <c r="F104" s="279"/>
      <c r="G104" s="279"/>
      <c r="H104" s="279"/>
      <c r="I104" s="279"/>
      <c r="J104" s="279"/>
      <c r="K104" s="279"/>
      <c r="L104" s="279"/>
      <c r="M104" s="279"/>
      <c r="N104" s="279"/>
      <c r="O104" s="279"/>
      <c r="P104" s="279"/>
      <c r="Q104" s="279"/>
      <c r="R104" s="279"/>
      <c r="S104" s="279"/>
      <c r="T104" s="279"/>
      <c r="U104" s="279"/>
      <c r="V104" s="330">
        <f>-392-671-12</f>
        <v>-1075</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-474</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-1786+196</f>
        <v>-1590</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-196</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-212</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-61</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-221</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-50</v>
      </c>
      <c r="W111" s="282"/>
      <c r="X111" s="5"/>
      <c r="Y111" s="109"/>
    </row>
    <row r="112" spans="1:25" ht="15.6" x14ac:dyDescent="0.3">
      <c r="A112" s="336">
        <v>7</v>
      </c>
      <c r="B112" s="279" t="s">
        <v>35</v>
      </c>
      <c r="C112" s="279"/>
      <c r="D112" s="279"/>
      <c r="E112" s="279"/>
      <c r="F112" s="279"/>
      <c r="G112" s="279"/>
      <c r="H112" s="279"/>
      <c r="I112" s="279"/>
      <c r="J112" s="279"/>
      <c r="K112" s="279"/>
      <c r="L112" s="279"/>
      <c r="M112" s="279"/>
      <c r="N112" s="279"/>
      <c r="O112" s="279"/>
      <c r="P112" s="279"/>
      <c r="Q112" s="279"/>
      <c r="R112" s="279"/>
      <c r="S112" s="279"/>
      <c r="T112" s="279"/>
      <c r="U112" s="279"/>
      <c r="V112" s="330">
        <v>-10</v>
      </c>
      <c r="W112" s="282"/>
      <c r="X112" s="5"/>
    </row>
    <row r="113" spans="1:24" ht="15.6" x14ac:dyDescent="0.3">
      <c r="A113" s="336">
        <f t="shared" ref="A113:A118" si="0">+A112+1</f>
        <v>8</v>
      </c>
      <c r="B113" s="279" t="s">
        <v>46</v>
      </c>
      <c r="C113" s="279"/>
      <c r="D113" s="279"/>
      <c r="E113" s="279"/>
      <c r="F113" s="279"/>
      <c r="G113" s="279"/>
      <c r="H113" s="279"/>
      <c r="I113" s="279"/>
      <c r="J113" s="279"/>
      <c r="K113" s="279"/>
      <c r="L113" s="279"/>
      <c r="M113" s="279"/>
      <c r="N113" s="279"/>
      <c r="O113" s="279"/>
      <c r="P113" s="279"/>
      <c r="Q113" s="279"/>
      <c r="R113" s="279"/>
      <c r="S113" s="279"/>
      <c r="T113" s="329">
        <f>-V113</f>
        <v>536</v>
      </c>
      <c r="U113" s="279"/>
      <c r="V113" s="330">
        <v>-536</v>
      </c>
      <c r="W113" s="282"/>
      <c r="X113" s="5"/>
    </row>
    <row r="114" spans="1:24" ht="15.6" x14ac:dyDescent="0.3">
      <c r="A114" s="336">
        <f t="shared" si="0"/>
        <v>9</v>
      </c>
      <c r="B114" s="279" t="s">
        <v>130</v>
      </c>
      <c r="C114" s="279"/>
      <c r="D114" s="279"/>
      <c r="E114" s="279"/>
      <c r="F114" s="279"/>
      <c r="G114" s="279"/>
      <c r="H114" s="279"/>
      <c r="I114" s="279"/>
      <c r="J114" s="279"/>
      <c r="K114" s="279"/>
      <c r="L114" s="279"/>
      <c r="M114" s="279"/>
      <c r="N114" s="279"/>
      <c r="O114" s="279"/>
      <c r="P114" s="279"/>
      <c r="Q114" s="279"/>
      <c r="R114" s="279"/>
      <c r="S114" s="279"/>
      <c r="T114" s="279"/>
      <c r="U114" s="279"/>
      <c r="V114" s="330">
        <v>0</v>
      </c>
      <c r="W114" s="282"/>
      <c r="X114" s="5"/>
    </row>
    <row r="115" spans="1:24" ht="15.6" x14ac:dyDescent="0.3">
      <c r="A115" s="336">
        <f t="shared" si="0"/>
        <v>10</v>
      </c>
      <c r="B115" s="279" t="s">
        <v>36</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37</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154</v>
      </c>
      <c r="C117" s="279"/>
      <c r="D117" s="279"/>
      <c r="E117" s="279"/>
      <c r="F117" s="279"/>
      <c r="G117" s="279"/>
      <c r="H117" s="279"/>
      <c r="I117" s="279"/>
      <c r="J117" s="279"/>
      <c r="K117" s="279"/>
      <c r="L117" s="279"/>
      <c r="M117" s="279"/>
      <c r="N117" s="279"/>
      <c r="O117" s="279"/>
      <c r="P117" s="279"/>
      <c r="Q117" s="279"/>
      <c r="R117" s="279"/>
      <c r="S117" s="279"/>
      <c r="T117" s="279"/>
      <c r="U117" s="279"/>
      <c r="V117" s="330">
        <v>-392</v>
      </c>
      <c r="W117" s="282"/>
      <c r="X117" s="5"/>
    </row>
    <row r="118" spans="1:24" ht="15.6" x14ac:dyDescent="0.3">
      <c r="A118" s="336">
        <f t="shared" si="0"/>
        <v>13</v>
      </c>
      <c r="B118" s="279" t="s">
        <v>131</v>
      </c>
      <c r="C118" s="279"/>
      <c r="D118" s="279"/>
      <c r="E118" s="279"/>
      <c r="F118" s="279"/>
      <c r="G118" s="279"/>
      <c r="H118" s="279"/>
      <c r="I118" s="279"/>
      <c r="J118" s="279"/>
      <c r="K118" s="279"/>
      <c r="L118" s="279"/>
      <c r="M118" s="279"/>
      <c r="N118" s="279"/>
      <c r="O118" s="279"/>
      <c r="P118" s="279"/>
      <c r="Q118" s="279"/>
      <c r="R118" s="279"/>
      <c r="S118" s="279"/>
      <c r="T118" s="279"/>
      <c r="U118" s="279"/>
      <c r="V118" s="330">
        <f>-V100-SUM(V102:V117)</f>
        <v>-1899</v>
      </c>
      <c r="W118" s="282"/>
      <c r="X118" s="5"/>
    </row>
    <row r="119" spans="1:24" ht="15.6" x14ac:dyDescent="0.3">
      <c r="A119" s="278"/>
      <c r="B119" s="333" t="s">
        <v>38</v>
      </c>
      <c r="C119" s="305"/>
      <c r="D119" s="305"/>
      <c r="E119" s="305"/>
      <c r="F119" s="305"/>
      <c r="G119" s="305"/>
      <c r="H119" s="305"/>
      <c r="I119" s="305"/>
      <c r="J119" s="305"/>
      <c r="K119" s="305"/>
      <c r="L119" s="305"/>
      <c r="M119" s="305"/>
      <c r="N119" s="305"/>
      <c r="O119" s="305"/>
      <c r="P119" s="305"/>
      <c r="Q119" s="305"/>
      <c r="R119" s="305"/>
      <c r="S119" s="305"/>
      <c r="T119" s="305"/>
      <c r="U119" s="305"/>
      <c r="V119" s="337"/>
      <c r="W119" s="310"/>
      <c r="X119" s="5"/>
    </row>
    <row r="120" spans="1:24" ht="15.6" x14ac:dyDescent="0.3">
      <c r="A120" s="278"/>
      <c r="B120" s="279" t="s">
        <v>179</v>
      </c>
      <c r="C120" s="279"/>
      <c r="D120" s="279"/>
      <c r="E120" s="279"/>
      <c r="F120" s="279"/>
      <c r="G120" s="279"/>
      <c r="H120" s="279"/>
      <c r="I120" s="279"/>
      <c r="J120" s="279"/>
      <c r="K120" s="279"/>
      <c r="L120" s="279"/>
      <c r="M120" s="279"/>
      <c r="N120" s="279"/>
      <c r="O120" s="279"/>
      <c r="P120" s="279"/>
      <c r="Q120" s="279"/>
      <c r="R120" s="279"/>
      <c r="S120" s="279"/>
      <c r="T120" s="329">
        <f>-T180</f>
        <v>-11</v>
      </c>
      <c r="U120" s="329"/>
      <c r="V120" s="330"/>
      <c r="W120" s="282"/>
      <c r="X120" s="5"/>
    </row>
    <row r="121" spans="1:24" ht="15.6" x14ac:dyDescent="0.3">
      <c r="A121" s="278"/>
      <c r="B121" s="279" t="s">
        <v>180</v>
      </c>
      <c r="C121" s="279"/>
      <c r="D121" s="279"/>
      <c r="E121" s="279"/>
      <c r="F121" s="279"/>
      <c r="G121" s="279"/>
      <c r="H121" s="279"/>
      <c r="I121" s="279"/>
      <c r="J121" s="279"/>
      <c r="K121" s="279"/>
      <c r="L121" s="279"/>
      <c r="M121" s="279"/>
      <c r="N121" s="279"/>
      <c r="O121" s="279"/>
      <c r="P121" s="279"/>
      <c r="Q121" s="279"/>
      <c r="R121" s="279"/>
      <c r="S121" s="279"/>
      <c r="T121" s="329">
        <v>0</v>
      </c>
      <c r="U121" s="329"/>
      <c r="V121" s="330"/>
      <c r="W121" s="282"/>
      <c r="X121" s="5"/>
    </row>
    <row r="122" spans="1:24" ht="15.6" x14ac:dyDescent="0.3">
      <c r="A122" s="278"/>
      <c r="B122" s="279" t="s">
        <v>39</v>
      </c>
      <c r="C122" s="279"/>
      <c r="D122" s="279"/>
      <c r="E122" s="279"/>
      <c r="F122" s="279"/>
      <c r="G122" s="279"/>
      <c r="H122" s="279"/>
      <c r="I122" s="279"/>
      <c r="J122" s="279"/>
      <c r="K122" s="279"/>
      <c r="L122" s="279"/>
      <c r="M122" s="279"/>
      <c r="N122" s="279"/>
      <c r="O122" s="279"/>
      <c r="P122" s="279"/>
      <c r="Q122" s="279"/>
      <c r="R122" s="279"/>
      <c r="S122" s="279"/>
      <c r="T122" s="329">
        <f>-S180</f>
        <v>-386</v>
      </c>
      <c r="U122" s="329"/>
      <c r="V122" s="330"/>
      <c r="W122" s="282"/>
      <c r="X122" s="5"/>
    </row>
    <row r="123" spans="1:24" ht="15.6" x14ac:dyDescent="0.3">
      <c r="A123" s="278"/>
      <c r="B123" s="279" t="s">
        <v>203</v>
      </c>
      <c r="C123" s="279"/>
      <c r="D123" s="279"/>
      <c r="E123" s="279"/>
      <c r="F123" s="279"/>
      <c r="G123" s="279"/>
      <c r="H123" s="279"/>
      <c r="I123" s="279"/>
      <c r="J123" s="279"/>
      <c r="K123" s="279"/>
      <c r="L123" s="279"/>
      <c r="M123" s="279"/>
      <c r="N123" s="279"/>
      <c r="O123" s="279"/>
      <c r="P123" s="279"/>
      <c r="Q123" s="279"/>
      <c r="R123" s="279"/>
      <c r="S123" s="279"/>
      <c r="T123" s="329">
        <v>-5130</v>
      </c>
      <c r="U123" s="329"/>
      <c r="V123" s="330"/>
      <c r="W123" s="282"/>
      <c r="X123" s="5"/>
    </row>
    <row r="124" spans="1:24" ht="15.6" x14ac:dyDescent="0.3">
      <c r="A124" s="278"/>
      <c r="B124" s="279" t="s">
        <v>201</v>
      </c>
      <c r="C124" s="279"/>
      <c r="D124" s="279"/>
      <c r="E124" s="279"/>
      <c r="F124" s="279"/>
      <c r="G124" s="279"/>
      <c r="H124" s="279"/>
      <c r="I124" s="279"/>
      <c r="J124" s="279"/>
      <c r="K124" s="279"/>
      <c r="L124" s="279"/>
      <c r="M124" s="279"/>
      <c r="N124" s="279"/>
      <c r="O124" s="279"/>
      <c r="P124" s="279"/>
      <c r="Q124" s="279"/>
      <c r="R124" s="279"/>
      <c r="S124" s="279"/>
      <c r="T124" s="329">
        <v>-912</v>
      </c>
      <c r="U124" s="329"/>
      <c r="V124" s="330"/>
      <c r="W124" s="282"/>
      <c r="X124" s="5"/>
    </row>
    <row r="125" spans="1:24" ht="15.6" x14ac:dyDescent="0.3">
      <c r="A125" s="278"/>
      <c r="B125" s="279" t="s">
        <v>200</v>
      </c>
      <c r="C125" s="279"/>
      <c r="D125" s="279"/>
      <c r="E125" s="279"/>
      <c r="F125" s="279"/>
      <c r="G125" s="279"/>
      <c r="H125" s="279"/>
      <c r="I125" s="279"/>
      <c r="J125" s="279"/>
      <c r="K125" s="279"/>
      <c r="L125" s="279"/>
      <c r="M125" s="279"/>
      <c r="N125" s="279"/>
      <c r="O125" s="279"/>
      <c r="P125" s="279"/>
      <c r="Q125" s="279"/>
      <c r="R125" s="279"/>
      <c r="S125" s="279"/>
      <c r="T125" s="329">
        <v>-1064</v>
      </c>
      <c r="U125" s="329"/>
      <c r="V125" s="330"/>
      <c r="W125" s="282"/>
      <c r="X125" s="5"/>
    </row>
    <row r="126" spans="1:24" ht="15.6" x14ac:dyDescent="0.3">
      <c r="A126" s="278"/>
      <c r="B126" s="279" t="s">
        <v>260</v>
      </c>
      <c r="C126" s="279"/>
      <c r="D126" s="279"/>
      <c r="E126" s="279"/>
      <c r="F126" s="279"/>
      <c r="G126" s="279"/>
      <c r="H126" s="279"/>
      <c r="I126" s="279"/>
      <c r="J126" s="279"/>
      <c r="K126" s="279"/>
      <c r="L126" s="279"/>
      <c r="M126" s="279"/>
      <c r="N126" s="279"/>
      <c r="O126" s="279"/>
      <c r="P126" s="279"/>
      <c r="Q126" s="279"/>
      <c r="R126" s="279"/>
      <c r="S126" s="279"/>
      <c r="T126" s="329">
        <v>-1064</v>
      </c>
      <c r="U126" s="329"/>
      <c r="V126" s="330"/>
      <c r="W126" s="282"/>
      <c r="X126" s="5"/>
    </row>
    <row r="127" spans="1:24" ht="15.6" x14ac:dyDescent="0.3">
      <c r="A127" s="278"/>
      <c r="B127" s="279" t="s">
        <v>195</v>
      </c>
      <c r="C127" s="279"/>
      <c r="D127" s="279"/>
      <c r="E127" s="279"/>
      <c r="F127" s="279"/>
      <c r="G127" s="279"/>
      <c r="H127" s="279"/>
      <c r="I127" s="279"/>
      <c r="J127" s="279"/>
      <c r="K127" s="279"/>
      <c r="L127" s="279"/>
      <c r="M127" s="279"/>
      <c r="N127" s="279"/>
      <c r="O127" s="279"/>
      <c r="P127" s="279"/>
      <c r="Q127" s="279"/>
      <c r="R127" s="279"/>
      <c r="S127" s="279"/>
      <c r="T127" s="329">
        <v>0</v>
      </c>
      <c r="U127" s="329"/>
      <c r="V127" s="330"/>
      <c r="W127" s="282"/>
      <c r="X127" s="5"/>
    </row>
    <row r="128" spans="1:24" ht="15.6" x14ac:dyDescent="0.3">
      <c r="A128" s="278"/>
      <c r="B128" s="279" t="s">
        <v>194</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261</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193</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40</v>
      </c>
      <c r="C131" s="279"/>
      <c r="D131" s="279"/>
      <c r="E131" s="279"/>
      <c r="F131" s="279"/>
      <c r="G131" s="279"/>
      <c r="H131" s="279"/>
      <c r="I131" s="279"/>
      <c r="J131" s="279"/>
      <c r="K131" s="279"/>
      <c r="L131" s="279"/>
      <c r="M131" s="279"/>
      <c r="N131" s="279"/>
      <c r="O131" s="279"/>
      <c r="P131" s="279"/>
      <c r="Q131" s="279"/>
      <c r="R131" s="279"/>
      <c r="S131" s="279"/>
      <c r="T131" s="329">
        <f>SUM(T120:T130)</f>
        <v>-8567</v>
      </c>
      <c r="U131" s="329"/>
      <c r="V131" s="329">
        <f>SUM(V101:V128)</f>
        <v>-6718</v>
      </c>
      <c r="W131" s="282"/>
      <c r="X131" s="5"/>
    </row>
    <row r="132" spans="1:24" ht="15.6" x14ac:dyDescent="0.3">
      <c r="A132" s="278"/>
      <c r="B132" s="279" t="s">
        <v>41</v>
      </c>
      <c r="C132" s="279"/>
      <c r="D132" s="279"/>
      <c r="E132" s="279"/>
      <c r="F132" s="279"/>
      <c r="G132" s="279"/>
      <c r="H132" s="279"/>
      <c r="I132" s="279"/>
      <c r="J132" s="279"/>
      <c r="K132" s="279"/>
      <c r="L132" s="279"/>
      <c r="M132" s="279"/>
      <c r="N132" s="279"/>
      <c r="O132" s="279"/>
      <c r="P132" s="279"/>
      <c r="Q132" s="279"/>
      <c r="R132" s="279"/>
      <c r="S132" s="279"/>
      <c r="T132" s="329">
        <f>T100+T131+T113</f>
        <v>0</v>
      </c>
      <c r="U132" s="329"/>
      <c r="V132" s="329">
        <f>V100+V131</f>
        <v>0</v>
      </c>
      <c r="W132" s="282"/>
      <c r="X132" s="5"/>
    </row>
    <row r="133" spans="1:24" ht="15.6" x14ac:dyDescent="0.3">
      <c r="A133" s="177"/>
      <c r="B133" s="275"/>
      <c r="C133" s="275"/>
      <c r="D133" s="275"/>
      <c r="E133" s="275"/>
      <c r="F133" s="275"/>
      <c r="G133" s="275"/>
      <c r="H133" s="275"/>
      <c r="I133" s="275"/>
      <c r="J133" s="275"/>
      <c r="K133" s="275"/>
      <c r="L133" s="275"/>
      <c r="M133" s="275"/>
      <c r="N133" s="275"/>
      <c r="O133" s="275"/>
      <c r="P133" s="275"/>
      <c r="Q133" s="275"/>
      <c r="R133" s="275"/>
      <c r="S133" s="275"/>
      <c r="T133" s="327"/>
      <c r="U133" s="327"/>
      <c r="V133" s="327"/>
      <c r="W133" s="275"/>
      <c r="X133" s="5"/>
    </row>
    <row r="134" spans="1:24" ht="15.6" x14ac:dyDescent="0.3">
      <c r="A134" s="177"/>
      <c r="B134" s="179"/>
      <c r="C134" s="179"/>
      <c r="D134" s="179"/>
      <c r="E134" s="179"/>
      <c r="F134" s="179"/>
      <c r="G134" s="179"/>
      <c r="H134" s="179"/>
      <c r="I134" s="179"/>
      <c r="J134" s="179"/>
      <c r="K134" s="179"/>
      <c r="L134" s="179"/>
      <c r="M134" s="179"/>
      <c r="N134" s="179"/>
      <c r="O134" s="179"/>
      <c r="P134" s="179"/>
      <c r="Q134" s="179"/>
      <c r="R134" s="179"/>
      <c r="S134" s="179"/>
      <c r="T134" s="179"/>
      <c r="U134" s="179"/>
      <c r="V134" s="199"/>
      <c r="W134" s="179"/>
      <c r="X134" s="5"/>
    </row>
    <row r="135" spans="1:24" ht="18" thickBot="1" x14ac:dyDescent="0.35">
      <c r="A135" s="194"/>
      <c r="B135" s="264" t="str">
        <f>B64</f>
        <v>PM12 INVESTOR REPORT QUARTER ENDING OCTOBER 2010</v>
      </c>
      <c r="C135" s="195"/>
      <c r="D135" s="195"/>
      <c r="E135" s="195"/>
      <c r="F135" s="195"/>
      <c r="G135" s="195"/>
      <c r="H135" s="195"/>
      <c r="I135" s="195"/>
      <c r="J135" s="195"/>
      <c r="K135" s="195"/>
      <c r="L135" s="195"/>
      <c r="M135" s="195"/>
      <c r="N135" s="195"/>
      <c r="O135" s="195"/>
      <c r="P135" s="195"/>
      <c r="Q135" s="195"/>
      <c r="R135" s="195"/>
      <c r="S135" s="195"/>
      <c r="T135" s="195"/>
      <c r="U135" s="195"/>
      <c r="V135" s="207"/>
      <c r="W135" s="197"/>
      <c r="X135" s="5"/>
    </row>
    <row r="136" spans="1:24" ht="15.6" x14ac:dyDescent="0.3">
      <c r="A136" s="235"/>
      <c r="B136" s="238" t="s">
        <v>42</v>
      </c>
      <c r="C136" s="236"/>
      <c r="D136" s="236"/>
      <c r="E136" s="236"/>
      <c r="F136" s="236"/>
      <c r="G136" s="236"/>
      <c r="H136" s="236"/>
      <c r="I136" s="236"/>
      <c r="J136" s="236"/>
      <c r="K136" s="236"/>
      <c r="L136" s="236"/>
      <c r="M136" s="236"/>
      <c r="N136" s="236"/>
      <c r="O136" s="236"/>
      <c r="P136" s="236"/>
      <c r="Q136" s="236"/>
      <c r="R136" s="236"/>
      <c r="S136" s="236"/>
      <c r="T136" s="236"/>
      <c r="U136" s="236"/>
      <c r="V136" s="237"/>
      <c r="W136" s="236"/>
      <c r="X136" s="5"/>
    </row>
    <row r="137" spans="1:24" ht="15.6" x14ac:dyDescent="0.3">
      <c r="A137" s="177"/>
      <c r="B137" s="186"/>
      <c r="C137" s="179"/>
      <c r="D137" s="179"/>
      <c r="E137" s="179"/>
      <c r="F137" s="179"/>
      <c r="G137" s="179"/>
      <c r="H137" s="179"/>
      <c r="I137" s="179"/>
      <c r="J137" s="179"/>
      <c r="K137" s="179"/>
      <c r="L137" s="179"/>
      <c r="M137" s="179"/>
      <c r="N137" s="179"/>
      <c r="O137" s="179"/>
      <c r="P137" s="179"/>
      <c r="Q137" s="179"/>
      <c r="R137" s="179"/>
      <c r="S137" s="179"/>
      <c r="T137" s="179"/>
      <c r="U137" s="179"/>
      <c r="V137" s="199"/>
      <c r="W137" s="179"/>
      <c r="X137" s="5"/>
    </row>
    <row r="138" spans="1:24" ht="15.6" x14ac:dyDescent="0.3">
      <c r="A138" s="177"/>
      <c r="B138" s="208" t="s">
        <v>43</v>
      </c>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278"/>
      <c r="B139" s="279" t="s">
        <v>44</v>
      </c>
      <c r="C139" s="279"/>
      <c r="D139" s="279"/>
      <c r="E139" s="279"/>
      <c r="F139" s="279"/>
      <c r="G139" s="279"/>
      <c r="H139" s="279"/>
      <c r="I139" s="279"/>
      <c r="J139" s="279"/>
      <c r="K139" s="279"/>
      <c r="L139" s="279"/>
      <c r="M139" s="279"/>
      <c r="N139" s="279"/>
      <c r="O139" s="279"/>
      <c r="P139" s="279"/>
      <c r="Q139" s="279"/>
      <c r="R139" s="279"/>
      <c r="S139" s="279"/>
      <c r="T139" s="279"/>
      <c r="U139" s="279"/>
      <c r="V139" s="330">
        <f>+V34*0.019</f>
        <v>28503.895</v>
      </c>
      <c r="W139" s="310"/>
      <c r="X139" s="5"/>
    </row>
    <row r="140" spans="1:24" ht="15.6" x14ac:dyDescent="0.3">
      <c r="A140" s="278"/>
      <c r="B140" s="279" t="s">
        <v>45</v>
      </c>
      <c r="C140" s="279"/>
      <c r="D140" s="279"/>
      <c r="E140" s="279"/>
      <c r="F140" s="279"/>
      <c r="G140" s="279"/>
      <c r="H140" s="279"/>
      <c r="I140" s="279"/>
      <c r="J140" s="279"/>
      <c r="K140" s="279"/>
      <c r="L140" s="279"/>
      <c r="M140" s="279"/>
      <c r="N140" s="279"/>
      <c r="O140" s="279"/>
      <c r="P140" s="279"/>
      <c r="Q140" s="279"/>
      <c r="R140" s="279"/>
      <c r="S140" s="279"/>
      <c r="T140" s="279"/>
      <c r="U140" s="279"/>
      <c r="V140" s="330">
        <v>28504</v>
      </c>
      <c r="W140" s="310"/>
      <c r="X140" s="5"/>
    </row>
    <row r="141" spans="1:24" ht="15.6" x14ac:dyDescent="0.3">
      <c r="A141" s="278"/>
      <c r="B141" s="279" t="s">
        <v>141</v>
      </c>
      <c r="C141" s="279"/>
      <c r="D141" s="279"/>
      <c r="E141" s="279"/>
      <c r="F141" s="279"/>
      <c r="G141" s="279"/>
      <c r="H141" s="279"/>
      <c r="I141" s="279"/>
      <c r="J141" s="279"/>
      <c r="K141" s="279"/>
      <c r="L141" s="279"/>
      <c r="M141" s="279"/>
      <c r="N141" s="279"/>
      <c r="O141" s="279"/>
      <c r="P141" s="279"/>
      <c r="Q141" s="279"/>
      <c r="R141" s="279"/>
      <c r="S141" s="279"/>
      <c r="T141" s="279"/>
      <c r="U141" s="279"/>
      <c r="V141" s="330">
        <v>0</v>
      </c>
      <c r="W141" s="310"/>
      <c r="X141" s="5"/>
    </row>
    <row r="142" spans="1:24" ht="15.6" x14ac:dyDescent="0.3">
      <c r="A142" s="278"/>
      <c r="B142" s="279" t="s">
        <v>128</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129</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181</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46</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134</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230</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c r="Y147" s="109"/>
    </row>
    <row r="148" spans="1:25" ht="15.6" x14ac:dyDescent="0.3">
      <c r="A148" s="278"/>
      <c r="B148" s="279" t="s">
        <v>47</v>
      </c>
      <c r="C148" s="279"/>
      <c r="D148" s="279"/>
      <c r="E148" s="279"/>
      <c r="F148" s="279"/>
      <c r="G148" s="279"/>
      <c r="H148" s="279"/>
      <c r="I148" s="279"/>
      <c r="J148" s="279"/>
      <c r="K148" s="279"/>
      <c r="L148" s="279"/>
      <c r="M148" s="279"/>
      <c r="N148" s="279"/>
      <c r="O148" s="279"/>
      <c r="P148" s="279"/>
      <c r="Q148" s="279"/>
      <c r="R148" s="279"/>
      <c r="S148" s="279"/>
      <c r="T148" s="279"/>
      <c r="U148" s="279"/>
      <c r="V148" s="330">
        <f>SUM(V140:V147)</f>
        <v>28504</v>
      </c>
      <c r="W148" s="310"/>
      <c r="X148" s="5"/>
    </row>
    <row r="149" spans="1:25" ht="15.6" x14ac:dyDescent="0.3">
      <c r="A149" s="278"/>
      <c r="B149" s="305"/>
      <c r="C149" s="305"/>
      <c r="D149" s="305"/>
      <c r="E149" s="305"/>
      <c r="F149" s="305"/>
      <c r="G149" s="305"/>
      <c r="H149" s="305"/>
      <c r="I149" s="305"/>
      <c r="J149" s="305"/>
      <c r="K149" s="305"/>
      <c r="L149" s="305"/>
      <c r="M149" s="305"/>
      <c r="N149" s="305"/>
      <c r="O149" s="305"/>
      <c r="P149" s="305"/>
      <c r="Q149" s="305"/>
      <c r="R149" s="305"/>
      <c r="S149" s="305"/>
      <c r="T149" s="305"/>
      <c r="U149" s="305"/>
      <c r="V149" s="335"/>
      <c r="W149" s="310"/>
      <c r="X149" s="5"/>
    </row>
    <row r="150" spans="1:25" ht="15.6" x14ac:dyDescent="0.3">
      <c r="A150" s="278"/>
      <c r="B150" s="333" t="s">
        <v>269</v>
      </c>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279" t="s">
        <v>160</v>
      </c>
      <c r="C151" s="279"/>
      <c r="D151" s="279"/>
      <c r="E151" s="279"/>
      <c r="F151" s="279"/>
      <c r="G151" s="279"/>
      <c r="H151" s="279"/>
      <c r="I151" s="279"/>
      <c r="J151" s="279"/>
      <c r="K151" s="279"/>
      <c r="L151" s="279"/>
      <c r="M151" s="279"/>
      <c r="N151" s="279"/>
      <c r="O151" s="279"/>
      <c r="P151" s="279"/>
      <c r="Q151" s="279"/>
      <c r="R151" s="279"/>
      <c r="S151" s="279"/>
      <c r="T151" s="279"/>
      <c r="U151" s="279"/>
      <c r="V151" s="330">
        <v>0</v>
      </c>
      <c r="W151" s="310"/>
      <c r="X151" s="5"/>
    </row>
    <row r="152" spans="1:25" ht="15.6" x14ac:dyDescent="0.3">
      <c r="A152" s="278"/>
      <c r="B152" s="279" t="s">
        <v>178</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270</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305"/>
      <c r="C154" s="305"/>
      <c r="D154" s="305"/>
      <c r="E154" s="305"/>
      <c r="F154" s="305"/>
      <c r="G154" s="305"/>
      <c r="H154" s="305"/>
      <c r="I154" s="305"/>
      <c r="J154" s="305"/>
      <c r="K154" s="305"/>
      <c r="L154" s="305"/>
      <c r="M154" s="305"/>
      <c r="N154" s="305"/>
      <c r="O154" s="305"/>
      <c r="P154" s="305"/>
      <c r="Q154" s="305"/>
      <c r="R154" s="305"/>
      <c r="S154" s="305"/>
      <c r="T154" s="305"/>
      <c r="U154" s="305"/>
      <c r="V154" s="335"/>
      <c r="W154" s="310"/>
      <c r="X154" s="5"/>
    </row>
    <row r="155" spans="1:25" ht="15.6" x14ac:dyDescent="0.3">
      <c r="A155" s="177"/>
      <c r="B155" s="275"/>
      <c r="C155" s="275"/>
      <c r="D155" s="275"/>
      <c r="E155" s="275"/>
      <c r="F155" s="275"/>
      <c r="G155" s="275"/>
      <c r="H155" s="275"/>
      <c r="I155" s="275"/>
      <c r="J155" s="275"/>
      <c r="K155" s="275"/>
      <c r="L155" s="275"/>
      <c r="M155" s="275"/>
      <c r="N155" s="275"/>
      <c r="O155" s="275"/>
      <c r="P155" s="275"/>
      <c r="Q155" s="275"/>
      <c r="R155" s="275"/>
      <c r="S155" s="275"/>
      <c r="T155" s="275"/>
      <c r="U155" s="275"/>
      <c r="V155" s="338"/>
      <c r="W155" s="275"/>
      <c r="X155" s="5"/>
    </row>
    <row r="156" spans="1:25" ht="15.6" x14ac:dyDescent="0.3">
      <c r="A156" s="177"/>
      <c r="B156" s="208" t="s">
        <v>24</v>
      </c>
      <c r="C156" s="179"/>
      <c r="D156" s="179"/>
      <c r="E156" s="179"/>
      <c r="F156" s="179"/>
      <c r="G156" s="179"/>
      <c r="H156" s="179"/>
      <c r="I156" s="179"/>
      <c r="J156" s="179"/>
      <c r="K156" s="179"/>
      <c r="L156" s="179"/>
      <c r="M156" s="179"/>
      <c r="N156" s="179"/>
      <c r="O156" s="179"/>
      <c r="P156" s="179"/>
      <c r="Q156" s="179"/>
      <c r="R156" s="179"/>
      <c r="S156" s="179"/>
      <c r="T156" s="179"/>
      <c r="U156" s="179"/>
      <c r="V156" s="199"/>
      <c r="W156" s="179"/>
      <c r="X156" s="5"/>
    </row>
    <row r="157" spans="1:25" ht="15.6" x14ac:dyDescent="0.3">
      <c r="A157" s="278"/>
      <c r="B157" s="279" t="s">
        <v>48</v>
      </c>
      <c r="C157" s="279"/>
      <c r="D157" s="279"/>
      <c r="E157" s="279"/>
      <c r="F157" s="279"/>
      <c r="G157" s="279"/>
      <c r="H157" s="279"/>
      <c r="I157" s="279"/>
      <c r="J157" s="279"/>
      <c r="K157" s="279"/>
      <c r="L157" s="279"/>
      <c r="M157" s="279"/>
      <c r="N157" s="279"/>
      <c r="O157" s="279"/>
      <c r="P157" s="279"/>
      <c r="Q157" s="279"/>
      <c r="R157" s="279"/>
      <c r="S157" s="279"/>
      <c r="T157" s="279"/>
      <c r="U157" s="279"/>
      <c r="V157" s="339" t="s">
        <v>123</v>
      </c>
      <c r="W157" s="282"/>
      <c r="X157" s="5"/>
    </row>
    <row r="158" spans="1:25" ht="15.6" x14ac:dyDescent="0.3">
      <c r="A158" s="278"/>
      <c r="B158" s="279" t="s">
        <v>49</v>
      </c>
      <c r="C158" s="281"/>
      <c r="D158" s="281"/>
      <c r="E158" s="281"/>
      <c r="F158" s="281"/>
      <c r="G158" s="281"/>
      <c r="H158" s="281"/>
      <c r="I158" s="281"/>
      <c r="J158" s="281"/>
      <c r="K158" s="281"/>
      <c r="L158" s="281"/>
      <c r="M158" s="281"/>
      <c r="N158" s="281"/>
      <c r="O158" s="281"/>
      <c r="P158" s="281"/>
      <c r="Q158" s="281"/>
      <c r="R158" s="281"/>
      <c r="S158" s="281"/>
      <c r="T158" s="281"/>
      <c r="U158" s="281"/>
      <c r="V158" s="339" t="s">
        <v>123</v>
      </c>
      <c r="W158" s="282"/>
      <c r="X158" s="5"/>
    </row>
    <row r="159" spans="1:25" ht="15.6" x14ac:dyDescent="0.3">
      <c r="A159" s="278"/>
      <c r="B159" s="279" t="s">
        <v>50</v>
      </c>
      <c r="C159" s="279"/>
      <c r="D159" s="279"/>
      <c r="E159" s="279"/>
      <c r="F159" s="279"/>
      <c r="G159" s="279"/>
      <c r="H159" s="279"/>
      <c r="I159" s="279"/>
      <c r="J159" s="279"/>
      <c r="K159" s="279"/>
      <c r="L159" s="279"/>
      <c r="M159" s="279"/>
      <c r="N159" s="279"/>
      <c r="O159" s="279"/>
      <c r="P159" s="279"/>
      <c r="Q159" s="279"/>
      <c r="R159" s="279"/>
      <c r="S159" s="279"/>
      <c r="T159" s="279"/>
      <c r="U159" s="279"/>
      <c r="V159" s="339" t="s">
        <v>123</v>
      </c>
      <c r="W159" s="282"/>
      <c r="X159" s="5"/>
    </row>
    <row r="160" spans="1:25" ht="15.6" x14ac:dyDescent="0.3">
      <c r="A160" s="278"/>
      <c r="B160" s="279" t="s">
        <v>51</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177"/>
      <c r="B161" s="275"/>
      <c r="C161" s="275"/>
      <c r="D161" s="275"/>
      <c r="E161" s="275"/>
      <c r="F161" s="275"/>
      <c r="G161" s="275"/>
      <c r="H161" s="275"/>
      <c r="I161" s="275"/>
      <c r="J161" s="275"/>
      <c r="K161" s="275"/>
      <c r="L161" s="275"/>
      <c r="M161" s="275"/>
      <c r="N161" s="275"/>
      <c r="O161" s="275"/>
      <c r="P161" s="275"/>
      <c r="Q161" s="275"/>
      <c r="R161" s="275"/>
      <c r="S161" s="275"/>
      <c r="T161" s="275"/>
      <c r="U161" s="275"/>
      <c r="V161" s="338"/>
      <c r="W161" s="275"/>
      <c r="X161" s="5"/>
    </row>
    <row r="162" spans="1:24" ht="15.6" x14ac:dyDescent="0.3">
      <c r="A162" s="177"/>
      <c r="B162" s="208" t="s">
        <v>52</v>
      </c>
      <c r="C162" s="179"/>
      <c r="D162" s="179"/>
      <c r="E162" s="179"/>
      <c r="F162" s="179"/>
      <c r="G162" s="179"/>
      <c r="H162" s="179"/>
      <c r="I162" s="179"/>
      <c r="J162" s="179"/>
      <c r="K162" s="179"/>
      <c r="L162" s="179"/>
      <c r="M162" s="179"/>
      <c r="N162" s="179"/>
      <c r="O162" s="179"/>
      <c r="P162" s="179"/>
      <c r="Q162" s="179"/>
      <c r="R162" s="179"/>
      <c r="S162" s="179"/>
      <c r="T162" s="179"/>
      <c r="U162" s="179"/>
      <c r="V162" s="209"/>
      <c r="W162" s="179"/>
      <c r="X162" s="5"/>
    </row>
    <row r="163" spans="1:24" ht="15.6" x14ac:dyDescent="0.3">
      <c r="A163" s="278"/>
      <c r="B163" s="279" t="s">
        <v>53</v>
      </c>
      <c r="C163" s="279"/>
      <c r="D163" s="279"/>
      <c r="E163" s="279"/>
      <c r="F163" s="279"/>
      <c r="G163" s="279"/>
      <c r="H163" s="279"/>
      <c r="I163" s="279"/>
      <c r="J163" s="279"/>
      <c r="K163" s="279"/>
      <c r="L163" s="279"/>
      <c r="M163" s="279"/>
      <c r="N163" s="279"/>
      <c r="O163" s="279"/>
      <c r="P163" s="279"/>
      <c r="Q163" s="279"/>
      <c r="R163" s="279"/>
      <c r="S163" s="279"/>
      <c r="T163" s="279"/>
      <c r="U163" s="279"/>
      <c r="V163" s="330">
        <v>0</v>
      </c>
      <c r="W163" s="310"/>
      <c r="X163" s="5"/>
    </row>
    <row r="164" spans="1:24" ht="15.6" x14ac:dyDescent="0.3">
      <c r="A164" s="278"/>
      <c r="B164" s="279" t="s">
        <v>54</v>
      </c>
      <c r="C164" s="279"/>
      <c r="D164" s="279"/>
      <c r="E164" s="279"/>
      <c r="F164" s="279"/>
      <c r="G164" s="279"/>
      <c r="H164" s="279"/>
      <c r="I164" s="279"/>
      <c r="J164" s="279"/>
      <c r="K164" s="279"/>
      <c r="L164" s="279"/>
      <c r="M164" s="279"/>
      <c r="N164" s="279"/>
      <c r="O164" s="279"/>
      <c r="P164" s="279"/>
      <c r="Q164" s="279"/>
      <c r="R164" s="279"/>
      <c r="S164" s="279"/>
      <c r="T164" s="279"/>
      <c r="U164" s="279"/>
      <c r="V164" s="330">
        <f>-V113</f>
        <v>536</v>
      </c>
      <c r="W164" s="310"/>
      <c r="X164" s="5"/>
    </row>
    <row r="165" spans="1:24" ht="15.6" x14ac:dyDescent="0.3">
      <c r="A165" s="278"/>
      <c r="B165" s="279" t="s">
        <v>55</v>
      </c>
      <c r="C165" s="279"/>
      <c r="D165" s="279"/>
      <c r="E165" s="279"/>
      <c r="F165" s="279"/>
      <c r="G165" s="279"/>
      <c r="H165" s="279"/>
      <c r="I165" s="279"/>
      <c r="J165" s="279"/>
      <c r="K165" s="279"/>
      <c r="L165" s="279"/>
      <c r="M165" s="279"/>
      <c r="N165" s="279"/>
      <c r="O165" s="279"/>
      <c r="P165" s="279"/>
      <c r="Q165" s="279"/>
      <c r="R165" s="279"/>
      <c r="S165" s="279"/>
      <c r="T165" s="279"/>
      <c r="U165" s="279"/>
      <c r="V165" s="330">
        <f>V164+V163</f>
        <v>536</v>
      </c>
      <c r="W165" s="310"/>
      <c r="X165" s="5"/>
    </row>
    <row r="166" spans="1:24" ht="15.6" x14ac:dyDescent="0.3">
      <c r="A166" s="278"/>
      <c r="B166" s="399" t="s">
        <v>310</v>
      </c>
      <c r="C166" s="279"/>
      <c r="D166" s="279"/>
      <c r="E166" s="279"/>
      <c r="F166" s="279"/>
      <c r="G166" s="279"/>
      <c r="H166" s="279"/>
      <c r="I166" s="279"/>
      <c r="J166" s="279"/>
      <c r="K166" s="279"/>
      <c r="L166" s="279"/>
      <c r="M166" s="279"/>
      <c r="N166" s="279"/>
      <c r="O166" s="279"/>
      <c r="P166" s="279"/>
      <c r="Q166" s="279"/>
      <c r="R166" s="279"/>
      <c r="S166" s="279"/>
      <c r="T166" s="279"/>
      <c r="U166" s="279"/>
      <c r="V166" s="330">
        <f>V113</f>
        <v>-536</v>
      </c>
      <c r="W166" s="310"/>
      <c r="X166" s="5"/>
    </row>
    <row r="167" spans="1:24" ht="15.6" x14ac:dyDescent="0.3">
      <c r="A167" s="278"/>
      <c r="B167" s="279" t="s">
        <v>56</v>
      </c>
      <c r="C167" s="279"/>
      <c r="D167" s="279"/>
      <c r="E167" s="279"/>
      <c r="F167" s="279"/>
      <c r="G167" s="279"/>
      <c r="H167" s="279"/>
      <c r="I167" s="279"/>
      <c r="J167" s="279"/>
      <c r="K167" s="279"/>
      <c r="L167" s="279"/>
      <c r="M167" s="279"/>
      <c r="N167" s="279"/>
      <c r="O167" s="279"/>
      <c r="P167" s="279"/>
      <c r="Q167" s="279"/>
      <c r="R167" s="279"/>
      <c r="S167" s="279"/>
      <c r="T167" s="279"/>
      <c r="U167" s="279"/>
      <c r="V167" s="330">
        <f>V165+V166</f>
        <v>0</v>
      </c>
      <c r="W167" s="310"/>
      <c r="X167" s="5"/>
    </row>
    <row r="168" spans="1:24" ht="15.6" x14ac:dyDescent="0.3">
      <c r="A168" s="278"/>
      <c r="B168" s="279" t="s">
        <v>282</v>
      </c>
      <c r="C168" s="279"/>
      <c r="D168" s="279"/>
      <c r="E168" s="279"/>
      <c r="F168" s="279"/>
      <c r="G168" s="279"/>
      <c r="H168" s="279"/>
      <c r="I168" s="279"/>
      <c r="J168" s="279"/>
      <c r="K168" s="279"/>
      <c r="L168" s="279"/>
      <c r="M168" s="279"/>
      <c r="N168" s="279"/>
      <c r="O168" s="279"/>
      <c r="P168" s="279"/>
      <c r="Q168" s="279"/>
      <c r="R168" s="279"/>
      <c r="S168" s="279"/>
      <c r="T168" s="279"/>
      <c r="U168" s="279"/>
      <c r="V168" s="330">
        <f>-V99</f>
        <v>252</v>
      </c>
      <c r="W168" s="310"/>
      <c r="X168" s="5"/>
    </row>
    <row r="169" spans="1:24" ht="16.2" thickBot="1" x14ac:dyDescent="0.35">
      <c r="A169" s="177"/>
      <c r="B169" s="275"/>
      <c r="C169" s="275"/>
      <c r="D169" s="275"/>
      <c r="E169" s="275"/>
      <c r="F169" s="275"/>
      <c r="G169" s="275"/>
      <c r="H169" s="275"/>
      <c r="I169" s="275"/>
      <c r="J169" s="275"/>
      <c r="K169" s="275"/>
      <c r="L169" s="275"/>
      <c r="M169" s="275"/>
      <c r="N169" s="275"/>
      <c r="O169" s="275"/>
      <c r="P169" s="275"/>
      <c r="Q169" s="275"/>
      <c r="R169" s="275"/>
      <c r="S169" s="275"/>
      <c r="T169" s="275"/>
      <c r="U169" s="275"/>
      <c r="V169" s="338"/>
      <c r="W169" s="275"/>
      <c r="X169" s="5"/>
    </row>
    <row r="170" spans="1:24"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76"/>
      <c r="U170" s="176"/>
      <c r="V170" s="198"/>
      <c r="W170" s="176"/>
      <c r="X170" s="5"/>
    </row>
    <row r="171" spans="1:24" ht="15.6" x14ac:dyDescent="0.3">
      <c r="A171" s="177"/>
      <c r="B171" s="208" t="s">
        <v>57</v>
      </c>
      <c r="C171" s="179"/>
      <c r="D171" s="179"/>
      <c r="E171" s="179"/>
      <c r="F171" s="179"/>
      <c r="G171" s="179"/>
      <c r="H171" s="179"/>
      <c r="I171" s="179"/>
      <c r="J171" s="179"/>
      <c r="K171" s="179"/>
      <c r="L171" s="179"/>
      <c r="M171" s="179"/>
      <c r="N171" s="179"/>
      <c r="O171" s="179"/>
      <c r="P171" s="179"/>
      <c r="Q171" s="179"/>
      <c r="R171" s="179"/>
      <c r="S171" s="179"/>
      <c r="T171" s="179"/>
      <c r="U171" s="179"/>
      <c r="V171" s="199"/>
      <c r="W171" s="179"/>
      <c r="X171" s="5"/>
    </row>
    <row r="172" spans="1:24" ht="15.6" x14ac:dyDescent="0.3">
      <c r="A172" s="177"/>
      <c r="B172" s="186"/>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278"/>
      <c r="B173" s="279" t="s">
        <v>58</v>
      </c>
      <c r="C173" s="279"/>
      <c r="D173" s="279"/>
      <c r="E173" s="279"/>
      <c r="F173" s="279"/>
      <c r="G173" s="279"/>
      <c r="H173" s="279"/>
      <c r="I173" s="279"/>
      <c r="J173" s="279"/>
      <c r="K173" s="279"/>
      <c r="L173" s="279"/>
      <c r="M173" s="279"/>
      <c r="N173" s="279"/>
      <c r="O173" s="279"/>
      <c r="P173" s="279"/>
      <c r="Q173" s="279"/>
      <c r="R173" s="279"/>
      <c r="S173" s="279"/>
      <c r="T173" s="279"/>
      <c r="U173" s="279"/>
      <c r="V173" s="330">
        <f>V71</f>
        <v>1023583</v>
      </c>
      <c r="W173" s="282"/>
      <c r="X173" s="5"/>
    </row>
    <row r="174" spans="1:24" ht="15.6" x14ac:dyDescent="0.3">
      <c r="A174" s="278"/>
      <c r="B174" s="279" t="s">
        <v>59</v>
      </c>
      <c r="C174" s="279"/>
      <c r="D174" s="279"/>
      <c r="E174" s="279"/>
      <c r="F174" s="279"/>
      <c r="G174" s="279"/>
      <c r="H174" s="279"/>
      <c r="I174" s="279"/>
      <c r="J174" s="279"/>
      <c r="K174" s="279"/>
      <c r="L174" s="279"/>
      <c r="M174" s="279"/>
      <c r="N174" s="279"/>
      <c r="O174" s="279"/>
      <c r="P174" s="279"/>
      <c r="Q174" s="279"/>
      <c r="R174" s="279"/>
      <c r="S174" s="279"/>
      <c r="T174" s="279"/>
      <c r="U174" s="279"/>
      <c r="V174" s="330">
        <f>V84</f>
        <v>1023583</v>
      </c>
      <c r="W174" s="282"/>
      <c r="X174" s="5"/>
    </row>
    <row r="175" spans="1:24" ht="16.2" thickBot="1" x14ac:dyDescent="0.35">
      <c r="A175" s="177"/>
      <c r="B175" s="275"/>
      <c r="C175" s="275"/>
      <c r="D175" s="275"/>
      <c r="E175" s="275"/>
      <c r="F175" s="275"/>
      <c r="G175" s="275"/>
      <c r="H175" s="275"/>
      <c r="I175" s="275"/>
      <c r="J175" s="275"/>
      <c r="K175" s="275"/>
      <c r="L175" s="275"/>
      <c r="M175" s="275"/>
      <c r="N175" s="275"/>
      <c r="O175" s="275"/>
      <c r="P175" s="275"/>
      <c r="Q175" s="275"/>
      <c r="R175" s="275"/>
      <c r="S175" s="275"/>
      <c r="T175" s="275"/>
      <c r="U175" s="275"/>
      <c r="V175" s="338"/>
      <c r="W175" s="275"/>
      <c r="X175" s="5"/>
    </row>
    <row r="176" spans="1:24"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76"/>
      <c r="U176" s="176"/>
      <c r="V176" s="198"/>
      <c r="W176" s="176"/>
      <c r="X176" s="5"/>
    </row>
    <row r="177" spans="1:24" ht="15.6" x14ac:dyDescent="0.3">
      <c r="A177" s="177"/>
      <c r="B177" s="208" t="s">
        <v>60</v>
      </c>
      <c r="C177" s="203"/>
      <c r="D177" s="203"/>
      <c r="E177" s="203"/>
      <c r="F177" s="203"/>
      <c r="G177" s="203"/>
      <c r="H177" s="210"/>
      <c r="I177" s="210"/>
      <c r="J177" s="210"/>
      <c r="K177" s="210"/>
      <c r="L177" s="210"/>
      <c r="M177" s="210"/>
      <c r="N177" s="210"/>
      <c r="O177" s="210"/>
      <c r="P177" s="210"/>
      <c r="Q177" s="210"/>
      <c r="R177" s="210"/>
      <c r="S177" s="210" t="s">
        <v>103</v>
      </c>
      <c r="T177" s="210" t="s">
        <v>182</v>
      </c>
      <c r="U177" s="181"/>
      <c r="V177" s="211" t="s">
        <v>119</v>
      </c>
      <c r="W177" s="212"/>
      <c r="X177" s="5"/>
    </row>
    <row r="178" spans="1:24" ht="15.6" x14ac:dyDescent="0.3">
      <c r="A178" s="278"/>
      <c r="B178" s="279" t="s">
        <v>61</v>
      </c>
      <c r="C178" s="279"/>
      <c r="D178" s="279"/>
      <c r="E178" s="279"/>
      <c r="F178" s="279"/>
      <c r="G178" s="279"/>
      <c r="H178" s="279"/>
      <c r="I178" s="279"/>
      <c r="J178" s="279"/>
      <c r="K178" s="279"/>
      <c r="L178" s="279"/>
      <c r="M178" s="279"/>
      <c r="N178" s="279"/>
      <c r="O178" s="279"/>
      <c r="P178" s="279"/>
      <c r="Q178" s="279"/>
      <c r="R178" s="279"/>
      <c r="S178" s="330">
        <f>+V34*0.16</f>
        <v>240032.80000000002</v>
      </c>
      <c r="T178" s="317"/>
      <c r="U178" s="279"/>
      <c r="V178" s="330"/>
      <c r="W178" s="310"/>
      <c r="X178" s="5"/>
    </row>
    <row r="179" spans="1:24" ht="15.6" x14ac:dyDescent="0.3">
      <c r="A179" s="278"/>
      <c r="B179" s="279" t="s">
        <v>62</v>
      </c>
      <c r="C179" s="279"/>
      <c r="D179" s="279"/>
      <c r="E179" s="279"/>
      <c r="F179" s="279"/>
      <c r="G179" s="279"/>
      <c r="H179" s="279"/>
      <c r="I179" s="279"/>
      <c r="J179" s="279"/>
      <c r="K179" s="279"/>
      <c r="L179" s="279"/>
      <c r="M179" s="279"/>
      <c r="N179" s="279"/>
      <c r="O179" s="279"/>
      <c r="P179" s="279"/>
      <c r="Q179" s="279"/>
      <c r="R179" s="279"/>
      <c r="S179" s="330">
        <f>+'July 10'!S181</f>
        <v>47388</v>
      </c>
      <c r="T179" s="330">
        <f>+'July 10'!T181</f>
        <v>6277</v>
      </c>
      <c r="U179" s="279"/>
      <c r="V179" s="330">
        <f>S179+T179</f>
        <v>53665</v>
      </c>
      <c r="W179" s="310"/>
      <c r="X179" s="5"/>
    </row>
    <row r="180" spans="1:24" ht="15.6" x14ac:dyDescent="0.3">
      <c r="A180" s="278"/>
      <c r="B180" s="279" t="s">
        <v>63</v>
      </c>
      <c r="C180" s="279"/>
      <c r="D180" s="279"/>
      <c r="E180" s="279"/>
      <c r="F180" s="279"/>
      <c r="G180" s="279"/>
      <c r="H180" s="279"/>
      <c r="I180" s="279"/>
      <c r="J180" s="279"/>
      <c r="K180" s="279"/>
      <c r="L180" s="279"/>
      <c r="M180" s="279"/>
      <c r="N180" s="279"/>
      <c r="O180" s="279"/>
      <c r="P180" s="279"/>
      <c r="Q180" s="279"/>
      <c r="R180" s="279"/>
      <c r="S180" s="329">
        <f>386</f>
        <v>386</v>
      </c>
      <c r="T180" s="329">
        <v>11</v>
      </c>
      <c r="U180" s="279"/>
      <c r="V180" s="330">
        <f>S180+T180</f>
        <v>397</v>
      </c>
      <c r="W180" s="310"/>
      <c r="X180" s="5"/>
    </row>
    <row r="181" spans="1:24" ht="15.6" x14ac:dyDescent="0.3">
      <c r="A181" s="278"/>
      <c r="B181" s="279" t="s">
        <v>64</v>
      </c>
      <c r="C181" s="279"/>
      <c r="D181" s="279"/>
      <c r="E181" s="279"/>
      <c r="F181" s="279"/>
      <c r="G181" s="279"/>
      <c r="H181" s="279"/>
      <c r="I181" s="279"/>
      <c r="J181" s="279"/>
      <c r="K181" s="279"/>
      <c r="L181" s="279"/>
      <c r="M181" s="279"/>
      <c r="N181" s="279"/>
      <c r="O181" s="279"/>
      <c r="P181" s="279"/>
      <c r="Q181" s="279"/>
      <c r="R181" s="279"/>
      <c r="S181" s="330">
        <f>S179+S180</f>
        <v>47774</v>
      </c>
      <c r="T181" s="330">
        <f>T180+T179</f>
        <v>6288</v>
      </c>
      <c r="U181" s="279"/>
      <c r="V181" s="330">
        <f>S181+T181</f>
        <v>54062</v>
      </c>
      <c r="W181" s="310"/>
      <c r="X181" s="5"/>
    </row>
    <row r="182" spans="1:24" ht="15.6" x14ac:dyDescent="0.3">
      <c r="A182" s="278"/>
      <c r="B182" s="279" t="s">
        <v>65</v>
      </c>
      <c r="C182" s="279"/>
      <c r="D182" s="279"/>
      <c r="E182" s="279"/>
      <c r="F182" s="279"/>
      <c r="G182" s="279"/>
      <c r="H182" s="279"/>
      <c r="I182" s="279"/>
      <c r="J182" s="279"/>
      <c r="K182" s="279"/>
      <c r="L182" s="279"/>
      <c r="M182" s="279"/>
      <c r="N182" s="279"/>
      <c r="O182" s="279"/>
      <c r="P182" s="279"/>
      <c r="Q182" s="279"/>
      <c r="R182" s="279"/>
      <c r="S182" s="330">
        <f>S178-S181-T181</f>
        <v>185970.80000000002</v>
      </c>
      <c r="T182" s="317"/>
      <c r="U182" s="279"/>
      <c r="V182" s="330"/>
      <c r="W182" s="310"/>
      <c r="X182" s="5"/>
    </row>
    <row r="183" spans="1:24" ht="16.2" thickBot="1" x14ac:dyDescent="0.35">
      <c r="A183" s="177"/>
      <c r="B183" s="275"/>
      <c r="C183" s="275"/>
      <c r="D183" s="275"/>
      <c r="E183" s="275"/>
      <c r="F183" s="275"/>
      <c r="G183" s="275"/>
      <c r="H183" s="275"/>
      <c r="I183" s="275"/>
      <c r="J183" s="275"/>
      <c r="K183" s="275"/>
      <c r="L183" s="275"/>
      <c r="M183" s="275"/>
      <c r="N183" s="275"/>
      <c r="O183" s="275"/>
      <c r="P183" s="275"/>
      <c r="Q183" s="275"/>
      <c r="R183" s="275"/>
      <c r="S183" s="275"/>
      <c r="T183" s="275"/>
      <c r="U183" s="275"/>
      <c r="V183" s="338"/>
      <c r="W183" s="275"/>
      <c r="X183" s="5"/>
    </row>
    <row r="184" spans="1:24"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76"/>
      <c r="U184" s="176"/>
      <c r="V184" s="198"/>
      <c r="W184" s="176"/>
      <c r="X184" s="5"/>
    </row>
    <row r="185" spans="1:24" ht="15.6" x14ac:dyDescent="0.3">
      <c r="A185" s="177"/>
      <c r="B185" s="208" t="s">
        <v>66</v>
      </c>
      <c r="C185" s="179"/>
      <c r="D185" s="179"/>
      <c r="E185" s="179"/>
      <c r="F185" s="179"/>
      <c r="G185" s="179"/>
      <c r="H185" s="179"/>
      <c r="I185" s="179"/>
      <c r="J185" s="179"/>
      <c r="K185" s="179"/>
      <c r="L185" s="179"/>
      <c r="M185" s="179"/>
      <c r="N185" s="179"/>
      <c r="O185" s="179"/>
      <c r="P185" s="179"/>
      <c r="Q185" s="179"/>
      <c r="R185" s="179"/>
      <c r="S185" s="179"/>
      <c r="T185" s="179"/>
      <c r="U185" s="179"/>
      <c r="V185" s="213"/>
      <c r="W185" s="179"/>
      <c r="X185" s="5"/>
    </row>
    <row r="186" spans="1:24" ht="15.6" x14ac:dyDescent="0.3">
      <c r="A186" s="278"/>
      <c r="B186" s="279" t="s">
        <v>67</v>
      </c>
      <c r="C186" s="279"/>
      <c r="D186" s="279"/>
      <c r="E186" s="279"/>
      <c r="F186" s="279"/>
      <c r="G186" s="279"/>
      <c r="H186" s="279"/>
      <c r="I186" s="279"/>
      <c r="J186" s="279"/>
      <c r="K186" s="279"/>
      <c r="L186" s="279"/>
      <c r="M186" s="279"/>
      <c r="N186" s="279"/>
      <c r="O186" s="279"/>
      <c r="P186" s="279"/>
      <c r="Q186" s="279"/>
      <c r="R186" s="279"/>
      <c r="S186" s="279"/>
      <c r="T186" s="279"/>
      <c r="U186" s="279"/>
      <c r="V186" s="339">
        <f>(V100+V102+V103+V104+V105)/-(V106+V107)</f>
        <v>2.8930571108622622</v>
      </c>
      <c r="W186" s="282" t="s">
        <v>120</v>
      </c>
      <c r="X186" s="5"/>
    </row>
    <row r="187" spans="1:24" ht="15.6" x14ac:dyDescent="0.3">
      <c r="A187" s="278"/>
      <c r="B187" s="279" t="s">
        <v>68</v>
      </c>
      <c r="C187" s="279"/>
      <c r="D187" s="279"/>
      <c r="E187" s="279"/>
      <c r="F187" s="279"/>
      <c r="G187" s="279"/>
      <c r="H187" s="279"/>
      <c r="I187" s="279"/>
      <c r="J187" s="279"/>
      <c r="K187" s="279"/>
      <c r="L187" s="279"/>
      <c r="M187" s="279"/>
      <c r="N187" s="279"/>
      <c r="O187" s="279"/>
      <c r="P187" s="279"/>
      <c r="Q187" s="279"/>
      <c r="R187" s="279"/>
      <c r="S187" s="279"/>
      <c r="T187" s="279"/>
      <c r="U187" s="279"/>
      <c r="V187" s="341">
        <v>1.51</v>
      </c>
      <c r="W187" s="282" t="s">
        <v>120</v>
      </c>
      <c r="X187" s="5"/>
    </row>
    <row r="188" spans="1:24" ht="15.6" x14ac:dyDescent="0.3">
      <c r="A188" s="278"/>
      <c r="B188" s="279" t="s">
        <v>69</v>
      </c>
      <c r="C188" s="279"/>
      <c r="D188" s="279"/>
      <c r="E188" s="279"/>
      <c r="F188" s="279"/>
      <c r="G188" s="279"/>
      <c r="H188" s="279"/>
      <c r="I188" s="279"/>
      <c r="J188" s="279"/>
      <c r="K188" s="279"/>
      <c r="L188" s="279"/>
      <c r="M188" s="279"/>
      <c r="N188" s="279"/>
      <c r="O188" s="279"/>
      <c r="P188" s="279"/>
      <c r="Q188" s="279"/>
      <c r="R188" s="279"/>
      <c r="S188" s="279"/>
      <c r="T188" s="279"/>
      <c r="U188" s="279"/>
      <c r="V188" s="339">
        <f>(V100+V102+V103+V104+V105+V106+V107)/-(V108+V109)</f>
        <v>12.384615384615385</v>
      </c>
      <c r="W188" s="282" t="s">
        <v>120</v>
      </c>
      <c r="X188" s="5"/>
    </row>
    <row r="189" spans="1:24" ht="15.6" x14ac:dyDescent="0.3">
      <c r="A189" s="278"/>
      <c r="B189" s="279" t="s">
        <v>70</v>
      </c>
      <c r="C189" s="279"/>
      <c r="D189" s="279"/>
      <c r="E189" s="279"/>
      <c r="F189" s="279"/>
      <c r="G189" s="279"/>
      <c r="H189" s="279"/>
      <c r="I189" s="279"/>
      <c r="J189" s="279"/>
      <c r="K189" s="279"/>
      <c r="L189" s="279"/>
      <c r="M189" s="279"/>
      <c r="N189" s="279"/>
      <c r="O189" s="279"/>
      <c r="P189" s="279"/>
      <c r="Q189" s="279"/>
      <c r="R189" s="279"/>
      <c r="S189" s="279"/>
      <c r="T189" s="279"/>
      <c r="U189" s="279"/>
      <c r="V189" s="341">
        <v>4.88</v>
      </c>
      <c r="W189" s="282" t="s">
        <v>120</v>
      </c>
      <c r="X189" s="5"/>
    </row>
    <row r="190" spans="1:24" ht="15.6" x14ac:dyDescent="0.3">
      <c r="A190" s="278"/>
      <c r="B190" s="279" t="s">
        <v>204</v>
      </c>
      <c r="C190" s="279"/>
      <c r="D190" s="279"/>
      <c r="E190" s="279"/>
      <c r="F190" s="279"/>
      <c r="G190" s="279"/>
      <c r="H190" s="279"/>
      <c r="I190" s="279"/>
      <c r="J190" s="279"/>
      <c r="K190" s="279"/>
      <c r="L190" s="279"/>
      <c r="M190" s="279"/>
      <c r="N190" s="279"/>
      <c r="O190" s="279"/>
      <c r="P190" s="279"/>
      <c r="Q190" s="279"/>
      <c r="R190" s="279"/>
      <c r="S190" s="279"/>
      <c r="T190" s="279"/>
      <c r="U190" s="279"/>
      <c r="V190" s="339">
        <f>(V100+V102+V103+V104+V105+V106+V107+V108+V109)/-(V110+V111)</f>
        <v>11.468634686346864</v>
      </c>
      <c r="W190" s="282" t="s">
        <v>120</v>
      </c>
      <c r="X190" s="5"/>
    </row>
    <row r="191" spans="1:24" ht="15.6" x14ac:dyDescent="0.3">
      <c r="A191" s="278"/>
      <c r="B191" s="279" t="s">
        <v>205</v>
      </c>
      <c r="C191" s="279"/>
      <c r="D191" s="279"/>
      <c r="E191" s="279"/>
      <c r="F191" s="279"/>
      <c r="G191" s="279"/>
      <c r="H191" s="279"/>
      <c r="I191" s="279"/>
      <c r="J191" s="279"/>
      <c r="K191" s="279"/>
      <c r="L191" s="279"/>
      <c r="M191" s="279"/>
      <c r="N191" s="279"/>
      <c r="O191" s="279"/>
      <c r="P191" s="279"/>
      <c r="Q191" s="279"/>
      <c r="R191" s="279"/>
      <c r="S191" s="279"/>
      <c r="T191" s="279"/>
      <c r="U191" s="279"/>
      <c r="V191" s="341">
        <v>4.55</v>
      </c>
      <c r="W191" s="282" t="s">
        <v>120</v>
      </c>
      <c r="X191" s="5"/>
    </row>
    <row r="192" spans="1:24" ht="15.6" x14ac:dyDescent="0.3">
      <c r="A192" s="278"/>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82"/>
      <c r="X192" s="5"/>
    </row>
    <row r="193" spans="1:24" ht="15.6" x14ac:dyDescent="0.3">
      <c r="A193" s="177"/>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5"/>
    </row>
    <row r="194" spans="1:24" ht="15.6" x14ac:dyDescent="0.3">
      <c r="A194" s="177"/>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5"/>
    </row>
    <row r="195" spans="1:24" ht="18" thickBot="1" x14ac:dyDescent="0.35">
      <c r="A195" s="194"/>
      <c r="B195" s="264" t="str">
        <f>B135</f>
        <v>PM12 INVESTOR REPORT QUARTER ENDING OCTOBER 2010</v>
      </c>
      <c r="C195" s="265"/>
      <c r="D195" s="265"/>
      <c r="E195" s="265"/>
      <c r="F195" s="265"/>
      <c r="G195" s="265"/>
      <c r="H195" s="265"/>
      <c r="I195" s="265"/>
      <c r="J195" s="265"/>
      <c r="K195" s="265"/>
      <c r="L195" s="265"/>
      <c r="M195" s="265"/>
      <c r="N195" s="265"/>
      <c r="O195" s="265"/>
      <c r="P195" s="265"/>
      <c r="Q195" s="265"/>
      <c r="R195" s="265"/>
      <c r="S195" s="265"/>
      <c r="T195" s="265"/>
      <c r="U195" s="265"/>
      <c r="V195" s="265"/>
      <c r="W195" s="266"/>
      <c r="X195" s="5"/>
    </row>
    <row r="196" spans="1:24" ht="15.6" x14ac:dyDescent="0.3">
      <c r="A196" s="235"/>
      <c r="B196" s="238" t="s">
        <v>71</v>
      </c>
      <c r="C196" s="239"/>
      <c r="D196" s="239"/>
      <c r="E196" s="239"/>
      <c r="F196" s="239"/>
      <c r="G196" s="240"/>
      <c r="H196" s="240"/>
      <c r="I196" s="240"/>
      <c r="J196" s="240"/>
      <c r="K196" s="240"/>
      <c r="L196" s="240"/>
      <c r="M196" s="240"/>
      <c r="N196" s="240"/>
      <c r="O196" s="240"/>
      <c r="P196" s="240"/>
      <c r="Q196" s="240"/>
      <c r="R196" s="240"/>
      <c r="S196" s="240"/>
      <c r="T196" s="240">
        <v>40480</v>
      </c>
      <c r="U196" s="236"/>
      <c r="V196" s="236"/>
      <c r="W196" s="236"/>
      <c r="X196" s="5"/>
    </row>
    <row r="197" spans="1:24" ht="15.6" x14ac:dyDescent="0.3">
      <c r="A197" s="214"/>
      <c r="B197" s="215"/>
      <c r="C197" s="216"/>
      <c r="D197" s="216"/>
      <c r="E197" s="216"/>
      <c r="F197" s="216"/>
      <c r="G197" s="217"/>
      <c r="H197" s="217"/>
      <c r="I197" s="217"/>
      <c r="J197" s="217"/>
      <c r="K197" s="217"/>
      <c r="L197" s="217"/>
      <c r="M197" s="217"/>
      <c r="N197" s="217"/>
      <c r="O197" s="217"/>
      <c r="P197" s="217"/>
      <c r="Q197" s="217"/>
      <c r="R197" s="217"/>
      <c r="S197" s="217"/>
      <c r="T197" s="217"/>
      <c r="U197" s="179"/>
      <c r="V197" s="179"/>
      <c r="W197" s="179"/>
      <c r="X197" s="5"/>
    </row>
    <row r="198" spans="1:24" ht="15.6" x14ac:dyDescent="0.3">
      <c r="A198" s="344"/>
      <c r="B198" s="279" t="s">
        <v>72</v>
      </c>
      <c r="C198" s="345"/>
      <c r="D198" s="345"/>
      <c r="E198" s="345"/>
      <c r="F198" s="345"/>
      <c r="G198" s="322"/>
      <c r="H198" s="322"/>
      <c r="I198" s="322"/>
      <c r="J198" s="322"/>
      <c r="K198" s="322"/>
      <c r="L198" s="322"/>
      <c r="M198" s="322"/>
      <c r="N198" s="322"/>
      <c r="O198" s="322"/>
      <c r="P198" s="322"/>
      <c r="Q198" s="322"/>
      <c r="R198" s="322"/>
      <c r="S198" s="322"/>
      <c r="T198" s="313">
        <v>5.2060000000000002E-2</v>
      </c>
      <c r="U198" s="279"/>
      <c r="V198" s="279"/>
      <c r="W198" s="310"/>
      <c r="X198" s="5"/>
    </row>
    <row r="199" spans="1:24" ht="15.6" x14ac:dyDescent="0.3">
      <c r="A199" s="344"/>
      <c r="B199" s="279" t="s">
        <v>156</v>
      </c>
      <c r="C199" s="345"/>
      <c r="D199" s="345"/>
      <c r="E199" s="345"/>
      <c r="F199" s="345"/>
      <c r="G199" s="322"/>
      <c r="H199" s="322"/>
      <c r="I199" s="322"/>
      <c r="J199" s="322"/>
      <c r="K199" s="322"/>
      <c r="L199" s="322"/>
      <c r="M199" s="322"/>
      <c r="N199" s="322"/>
      <c r="O199" s="322"/>
      <c r="P199" s="322"/>
      <c r="Q199" s="322"/>
      <c r="R199" s="322"/>
      <c r="S199" s="322"/>
      <c r="T199" s="313">
        <f>'Oct 06'!T197</f>
        <v>4.8538814772447772E-2</v>
      </c>
      <c r="U199" s="279"/>
      <c r="V199" s="279"/>
      <c r="W199" s="310"/>
      <c r="X199" s="5"/>
    </row>
    <row r="200" spans="1:24" ht="15.6" x14ac:dyDescent="0.3">
      <c r="A200" s="344"/>
      <c r="B200" s="279" t="s">
        <v>73</v>
      </c>
      <c r="C200" s="345"/>
      <c r="D200" s="345"/>
      <c r="E200" s="345"/>
      <c r="F200" s="345"/>
      <c r="G200" s="322"/>
      <c r="H200" s="322"/>
      <c r="I200" s="322"/>
      <c r="J200" s="322"/>
      <c r="K200" s="322"/>
      <c r="L200" s="322"/>
      <c r="M200" s="322"/>
      <c r="N200" s="322"/>
      <c r="O200" s="322"/>
      <c r="P200" s="322"/>
      <c r="Q200" s="322"/>
      <c r="R200" s="322"/>
      <c r="S200" s="322"/>
      <c r="T200" s="313">
        <f>T198-T199</f>
        <v>3.5211852275522301E-3</v>
      </c>
      <c r="U200" s="279"/>
      <c r="V200" s="279"/>
      <c r="W200" s="310"/>
      <c r="X200" s="5"/>
    </row>
    <row r="201" spans="1:24" ht="15.6" x14ac:dyDescent="0.3">
      <c r="A201" s="344"/>
      <c r="B201" s="279" t="s">
        <v>74</v>
      </c>
      <c r="C201" s="345"/>
      <c r="D201" s="345"/>
      <c r="E201" s="345"/>
      <c r="F201" s="345"/>
      <c r="G201" s="322"/>
      <c r="H201" s="322"/>
      <c r="I201" s="322"/>
      <c r="J201" s="322"/>
      <c r="K201" s="322"/>
      <c r="L201" s="322"/>
      <c r="M201" s="322"/>
      <c r="N201" s="322"/>
      <c r="O201" s="322"/>
      <c r="P201" s="322"/>
      <c r="Q201" s="322"/>
      <c r="R201" s="322"/>
      <c r="S201" s="322"/>
      <c r="T201" s="313">
        <v>2.572E-2</v>
      </c>
      <c r="U201" s="279"/>
      <c r="V201" s="279"/>
      <c r="W201" s="310"/>
      <c r="X201" s="5"/>
    </row>
    <row r="202" spans="1:24" ht="15.6" x14ac:dyDescent="0.3">
      <c r="A202" s="344"/>
      <c r="B202" s="279" t="s">
        <v>225</v>
      </c>
      <c r="C202" s="345"/>
      <c r="D202" s="345"/>
      <c r="E202" s="345"/>
      <c r="F202" s="345"/>
      <c r="G202" s="322"/>
      <c r="H202" s="322"/>
      <c r="I202" s="322"/>
      <c r="J202" s="322"/>
      <c r="K202" s="322"/>
      <c r="L202" s="322"/>
      <c r="M202" s="322"/>
      <c r="N202" s="322"/>
      <c r="O202" s="322"/>
      <c r="P202" s="322"/>
      <c r="Q202" s="322"/>
      <c r="R202" s="322"/>
      <c r="S202" s="322"/>
      <c r="T202" s="313">
        <f>V43</f>
        <v>9.0594753325680608E-3</v>
      </c>
      <c r="U202" s="279"/>
      <c r="V202" s="279"/>
      <c r="W202" s="310"/>
      <c r="X202" s="5"/>
    </row>
    <row r="203" spans="1:24" ht="15.6" x14ac:dyDescent="0.3">
      <c r="A203" s="344"/>
      <c r="B203" s="279" t="s">
        <v>75</v>
      </c>
      <c r="C203" s="345"/>
      <c r="D203" s="345"/>
      <c r="E203" s="345"/>
      <c r="F203" s="345"/>
      <c r="G203" s="322"/>
      <c r="H203" s="322"/>
      <c r="I203" s="322"/>
      <c r="J203" s="322"/>
      <c r="K203" s="322"/>
      <c r="L203" s="322"/>
      <c r="M203" s="322"/>
      <c r="N203" s="322"/>
      <c r="O203" s="322"/>
      <c r="P203" s="322"/>
      <c r="Q203" s="322"/>
      <c r="R203" s="322"/>
      <c r="S203" s="322"/>
      <c r="T203" s="313">
        <f>T201-T202</f>
        <v>1.6660524667431939E-2</v>
      </c>
      <c r="U203" s="279"/>
      <c r="V203" s="279"/>
      <c r="W203" s="310"/>
      <c r="X203" s="5"/>
    </row>
    <row r="204" spans="1:24" ht="15.6" x14ac:dyDescent="0.3">
      <c r="A204" s="344"/>
      <c r="B204" s="279" t="s">
        <v>271</v>
      </c>
      <c r="C204" s="345"/>
      <c r="D204" s="345"/>
      <c r="E204" s="345"/>
      <c r="F204" s="345"/>
      <c r="G204" s="322"/>
      <c r="H204" s="322"/>
      <c r="I204" s="322"/>
      <c r="J204" s="322"/>
      <c r="K204" s="322"/>
      <c r="L204" s="322"/>
      <c r="M204" s="322"/>
      <c r="N204" s="322"/>
      <c r="O204" s="322"/>
      <c r="P204" s="322"/>
      <c r="Q204" s="322"/>
      <c r="R204" s="322"/>
      <c r="S204" s="322"/>
      <c r="T204" s="313">
        <f>+V100/N71</f>
        <v>6.5112483317228053E-3</v>
      </c>
      <c r="U204" s="279"/>
      <c r="V204" s="279"/>
      <c r="W204" s="310"/>
      <c r="X204" s="5"/>
    </row>
    <row r="205" spans="1:24" ht="15.6" x14ac:dyDescent="0.3">
      <c r="A205" s="344"/>
      <c r="B205" s="279" t="s">
        <v>214</v>
      </c>
      <c r="C205" s="345"/>
      <c r="D205" s="345"/>
      <c r="E205" s="345"/>
      <c r="F205" s="345"/>
      <c r="G205" s="322"/>
      <c r="H205" s="322"/>
      <c r="I205" s="322"/>
      <c r="J205" s="322"/>
      <c r="K205" s="322"/>
      <c r="L205" s="322"/>
      <c r="M205" s="322"/>
      <c r="N205" s="322"/>
      <c r="O205" s="322"/>
      <c r="P205" s="322"/>
      <c r="Q205" s="322"/>
      <c r="R205" s="322"/>
      <c r="S205" s="322"/>
      <c r="T205" s="346">
        <v>50710</v>
      </c>
      <c r="U205" s="279"/>
      <c r="V205" s="279"/>
      <c r="W205" s="310"/>
      <c r="X205" s="5"/>
    </row>
    <row r="206" spans="1:24" ht="15.6" x14ac:dyDescent="0.3">
      <c r="A206" s="344"/>
      <c r="B206" s="279" t="s">
        <v>215</v>
      </c>
      <c r="C206" s="345"/>
      <c r="D206" s="345"/>
      <c r="E206" s="345"/>
      <c r="F206" s="345"/>
      <c r="G206" s="322"/>
      <c r="H206" s="322"/>
      <c r="I206" s="322"/>
      <c r="J206" s="322"/>
      <c r="K206" s="322"/>
      <c r="L206" s="322"/>
      <c r="M206" s="322"/>
      <c r="N206" s="322"/>
      <c r="O206" s="322"/>
      <c r="P206" s="322"/>
      <c r="Q206" s="322"/>
      <c r="R206" s="322"/>
      <c r="S206" s="322"/>
      <c r="T206" s="346">
        <v>50710</v>
      </c>
      <c r="U206" s="279"/>
      <c r="V206" s="279"/>
      <c r="W206" s="310"/>
      <c r="X206" s="5"/>
    </row>
    <row r="207" spans="1:24" ht="15.6" x14ac:dyDescent="0.3">
      <c r="A207" s="344"/>
      <c r="B207" s="279" t="s">
        <v>216</v>
      </c>
      <c r="C207" s="345"/>
      <c r="D207" s="345"/>
      <c r="E207" s="345"/>
      <c r="F207" s="345"/>
      <c r="G207" s="322"/>
      <c r="H207" s="322"/>
      <c r="I207" s="322"/>
      <c r="J207" s="322"/>
      <c r="K207" s="322"/>
      <c r="L207" s="322"/>
      <c r="M207" s="322"/>
      <c r="N207" s="322"/>
      <c r="O207" s="322"/>
      <c r="P207" s="322"/>
      <c r="Q207" s="322"/>
      <c r="R207" s="322"/>
      <c r="S207" s="322"/>
      <c r="T207" s="346">
        <v>50710</v>
      </c>
      <c r="U207" s="279"/>
      <c r="V207" s="279"/>
      <c r="W207" s="310"/>
      <c r="X207" s="5"/>
    </row>
    <row r="208" spans="1:24" ht="15.6" x14ac:dyDescent="0.3">
      <c r="A208" s="344"/>
      <c r="B208" s="279" t="s">
        <v>76</v>
      </c>
      <c r="C208" s="345"/>
      <c r="D208" s="345"/>
      <c r="E208" s="345"/>
      <c r="F208" s="345"/>
      <c r="G208" s="322"/>
      <c r="H208" s="322"/>
      <c r="I208" s="322"/>
      <c r="J208" s="322"/>
      <c r="K208" s="322"/>
      <c r="L208" s="322"/>
      <c r="M208" s="322"/>
      <c r="N208" s="322"/>
      <c r="O208" s="322"/>
      <c r="P208" s="322"/>
      <c r="Q208" s="322"/>
      <c r="R208" s="322"/>
      <c r="S208" s="322"/>
      <c r="T208" s="319">
        <v>21.06</v>
      </c>
      <c r="U208" s="279" t="s">
        <v>115</v>
      </c>
      <c r="V208" s="279"/>
      <c r="W208" s="310"/>
      <c r="X208" s="5"/>
    </row>
    <row r="209" spans="1:24" ht="15.6" x14ac:dyDescent="0.3">
      <c r="A209" s="344"/>
      <c r="B209" s="279" t="s">
        <v>77</v>
      </c>
      <c r="C209" s="345"/>
      <c r="D209" s="345"/>
      <c r="E209" s="345"/>
      <c r="F209" s="345"/>
      <c r="G209" s="322"/>
      <c r="H209" s="322"/>
      <c r="I209" s="322"/>
      <c r="J209" s="322"/>
      <c r="K209" s="322"/>
      <c r="L209" s="322"/>
      <c r="M209" s="322"/>
      <c r="N209" s="322"/>
      <c r="O209" s="322"/>
      <c r="P209" s="322"/>
      <c r="Q209" s="322"/>
      <c r="R209" s="322"/>
      <c r="S209" s="322"/>
      <c r="T209" s="319">
        <v>16.87</v>
      </c>
      <c r="U209" s="279" t="s">
        <v>115</v>
      </c>
      <c r="V209" s="279"/>
      <c r="W209" s="310"/>
      <c r="X209" s="5"/>
    </row>
    <row r="210" spans="1:24" ht="15.6" x14ac:dyDescent="0.3">
      <c r="A210" s="344"/>
      <c r="B210" s="279" t="s">
        <v>78</v>
      </c>
      <c r="C210" s="345"/>
      <c r="D210" s="345"/>
      <c r="E210" s="345"/>
      <c r="F210" s="345"/>
      <c r="G210" s="322"/>
      <c r="H210" s="322"/>
      <c r="I210" s="322"/>
      <c r="J210" s="322"/>
      <c r="K210" s="322"/>
      <c r="L210" s="322"/>
      <c r="M210" s="322"/>
      <c r="N210" s="322"/>
      <c r="O210" s="322"/>
      <c r="P210" s="322"/>
      <c r="Q210" s="322"/>
      <c r="R210" s="322"/>
      <c r="S210" s="322"/>
      <c r="T210" s="313">
        <f>P68/N68</f>
        <v>8.3236976291806274E-3</v>
      </c>
      <c r="U210" s="279"/>
      <c r="V210" s="279"/>
      <c r="W210" s="310"/>
      <c r="X210" s="5"/>
    </row>
    <row r="211" spans="1:24" ht="15.6" x14ac:dyDescent="0.3">
      <c r="A211" s="344"/>
      <c r="B211" s="279" t="s">
        <v>79</v>
      </c>
      <c r="C211" s="345"/>
      <c r="D211" s="345"/>
      <c r="E211" s="345"/>
      <c r="F211" s="345"/>
      <c r="G211" s="322"/>
      <c r="H211" s="322"/>
      <c r="I211" s="322"/>
      <c r="J211" s="322"/>
      <c r="K211" s="322"/>
      <c r="L211" s="322"/>
      <c r="M211" s="322"/>
      <c r="N211" s="322"/>
      <c r="O211" s="322"/>
      <c r="P211" s="322"/>
      <c r="Q211" s="322"/>
      <c r="R211" s="322"/>
      <c r="S211" s="322"/>
      <c r="T211" s="313">
        <v>9.4E-2</v>
      </c>
      <c r="U211" s="279"/>
      <c r="V211" s="279"/>
      <c r="W211" s="310"/>
      <c r="X211" s="5"/>
    </row>
    <row r="212" spans="1:24" ht="15.6" x14ac:dyDescent="0.3">
      <c r="A212" s="214"/>
      <c r="B212" s="342"/>
      <c r="C212" s="342"/>
      <c r="D212" s="342"/>
      <c r="E212" s="342"/>
      <c r="F212" s="342"/>
      <c r="G212" s="275"/>
      <c r="H212" s="275"/>
      <c r="I212" s="275"/>
      <c r="J212" s="275"/>
      <c r="K212" s="275"/>
      <c r="L212" s="275"/>
      <c r="M212" s="275"/>
      <c r="N212" s="275"/>
      <c r="O212" s="275"/>
      <c r="P212" s="275"/>
      <c r="Q212" s="275"/>
      <c r="R212" s="275"/>
      <c r="S212" s="275"/>
      <c r="T212" s="338"/>
      <c r="U212" s="275"/>
      <c r="V212" s="343"/>
      <c r="W212" s="275"/>
      <c r="X212" s="5"/>
    </row>
    <row r="213" spans="1:24" ht="15.6" x14ac:dyDescent="0.3">
      <c r="A213" s="241"/>
      <c r="B213" s="230" t="s">
        <v>80</v>
      </c>
      <c r="C213" s="231"/>
      <c r="D213" s="231"/>
      <c r="E213" s="231"/>
      <c r="F213" s="242"/>
      <c r="G213" s="231"/>
      <c r="H213" s="231"/>
      <c r="I213" s="231"/>
      <c r="J213" s="231"/>
      <c r="K213" s="231"/>
      <c r="L213" s="231"/>
      <c r="M213" s="231"/>
      <c r="N213" s="231"/>
      <c r="O213" s="231"/>
      <c r="P213" s="231"/>
      <c r="Q213" s="231"/>
      <c r="R213" s="231"/>
      <c r="S213" s="231" t="s">
        <v>104</v>
      </c>
      <c r="T213" s="242" t="s">
        <v>111</v>
      </c>
      <c r="U213" s="224"/>
      <c r="V213" s="224"/>
      <c r="W213" s="224"/>
      <c r="X213" s="5"/>
    </row>
    <row r="214" spans="1:24" ht="15.6" x14ac:dyDescent="0.3">
      <c r="A214" s="219"/>
      <c r="B214" s="248" t="s">
        <v>81</v>
      </c>
      <c r="C214" s="204"/>
      <c r="D214" s="204"/>
      <c r="E214" s="204"/>
      <c r="F214" s="190"/>
      <c r="G214" s="190"/>
      <c r="H214" s="191"/>
      <c r="I214" s="191"/>
      <c r="J214" s="191"/>
      <c r="K214" s="191"/>
      <c r="L214" s="191"/>
      <c r="M214" s="191"/>
      <c r="N214" s="191"/>
      <c r="O214" s="191"/>
      <c r="P214" s="191"/>
      <c r="Q214" s="191"/>
      <c r="R214" s="191"/>
      <c r="S214" s="262">
        <v>1</v>
      </c>
      <c r="T214" s="263">
        <v>787</v>
      </c>
      <c r="U214" s="190"/>
      <c r="V214" s="218"/>
      <c r="W214" s="220"/>
      <c r="X214" s="5"/>
    </row>
    <row r="215" spans="1:24" ht="15.6" x14ac:dyDescent="0.3">
      <c r="A215" s="352"/>
      <c r="B215" s="279" t="s">
        <v>150</v>
      </c>
      <c r="C215" s="353"/>
      <c r="D215" s="353"/>
      <c r="E215" s="353"/>
      <c r="F215" s="305"/>
      <c r="G215" s="305"/>
      <c r="H215" s="308"/>
      <c r="I215" s="308"/>
      <c r="J215" s="308"/>
      <c r="K215" s="308"/>
      <c r="L215" s="308"/>
      <c r="M215" s="308"/>
      <c r="N215" s="308"/>
      <c r="O215" s="308"/>
      <c r="P215" s="308"/>
      <c r="Q215" s="308"/>
      <c r="R215" s="308"/>
      <c r="S215" s="354">
        <f>+R267</f>
        <v>141</v>
      </c>
      <c r="T215" s="355">
        <f>+T267</f>
        <v>23771</v>
      </c>
      <c r="U215" s="305"/>
      <c r="V215" s="356"/>
      <c r="W215" s="357"/>
      <c r="X215" s="5"/>
    </row>
    <row r="216" spans="1:24" ht="15.6" x14ac:dyDescent="0.3">
      <c r="A216" s="352"/>
      <c r="B216" s="279" t="s">
        <v>82</v>
      </c>
      <c r="C216" s="353"/>
      <c r="D216" s="353"/>
      <c r="E216" s="353"/>
      <c r="F216" s="305"/>
      <c r="G216" s="305"/>
      <c r="H216" s="308"/>
      <c r="I216" s="308"/>
      <c r="J216" s="308"/>
      <c r="K216" s="308"/>
      <c r="L216" s="308"/>
      <c r="M216" s="308"/>
      <c r="N216" s="308"/>
      <c r="O216" s="308"/>
      <c r="P216" s="308"/>
      <c r="Q216" s="308"/>
      <c r="R216" s="308"/>
      <c r="S216" s="354">
        <f>+R279</f>
        <v>0</v>
      </c>
      <c r="T216" s="355">
        <f>+T279</f>
        <v>0</v>
      </c>
      <c r="U216" s="305"/>
      <c r="V216" s="356"/>
      <c r="W216" s="357"/>
      <c r="X216" s="5"/>
    </row>
    <row r="217" spans="1:24" ht="15.6" x14ac:dyDescent="0.3">
      <c r="A217" s="352"/>
      <c r="B217" s="304" t="s">
        <v>83</v>
      </c>
      <c r="C217" s="353"/>
      <c r="D217" s="353"/>
      <c r="E217" s="353"/>
      <c r="F217" s="305"/>
      <c r="G217" s="305"/>
      <c r="H217" s="305"/>
      <c r="I217" s="305"/>
      <c r="J217" s="305"/>
      <c r="K217" s="305"/>
      <c r="L217" s="305"/>
      <c r="M217" s="305"/>
      <c r="N217" s="305"/>
      <c r="O217" s="305"/>
      <c r="P217" s="305"/>
      <c r="Q217" s="305"/>
      <c r="R217" s="305"/>
      <c r="S217" s="279"/>
      <c r="T217" s="355">
        <v>0</v>
      </c>
      <c r="U217" s="305"/>
      <c r="V217" s="356"/>
      <c r="W217" s="357"/>
      <c r="X217" s="5"/>
    </row>
    <row r="218" spans="1:24" ht="15.6" x14ac:dyDescent="0.3">
      <c r="A218" s="352"/>
      <c r="B218" s="304" t="s">
        <v>84</v>
      </c>
      <c r="C218" s="353"/>
      <c r="D218" s="353"/>
      <c r="E218" s="353"/>
      <c r="F218" s="305"/>
      <c r="G218" s="305"/>
      <c r="H218" s="305"/>
      <c r="I218" s="305"/>
      <c r="J218" s="305"/>
      <c r="K218" s="305"/>
      <c r="L218" s="305"/>
      <c r="M218" s="305"/>
      <c r="N218" s="305"/>
      <c r="O218" s="305"/>
      <c r="P218" s="305"/>
      <c r="Q218" s="305"/>
      <c r="R218" s="305"/>
      <c r="S218" s="279"/>
      <c r="T218" s="358" t="s">
        <v>112</v>
      </c>
      <c r="U218" s="305"/>
      <c r="V218" s="356"/>
      <c r="W218" s="357"/>
      <c r="X218" s="5"/>
    </row>
    <row r="219" spans="1:24" ht="15.6" x14ac:dyDescent="0.3">
      <c r="A219" s="359"/>
      <c r="B219" s="304" t="s">
        <v>85</v>
      </c>
      <c r="C219" s="360"/>
      <c r="D219" s="360"/>
      <c r="E219" s="360"/>
      <c r="F219" s="360"/>
      <c r="G219" s="305"/>
      <c r="H219" s="305"/>
      <c r="I219" s="305"/>
      <c r="J219" s="305"/>
      <c r="K219" s="305"/>
      <c r="L219" s="305"/>
      <c r="M219" s="305"/>
      <c r="N219" s="305"/>
      <c r="O219" s="305"/>
      <c r="P219" s="305"/>
      <c r="Q219" s="305"/>
      <c r="R219" s="305"/>
      <c r="S219" s="279"/>
      <c r="T219" s="355"/>
      <c r="U219" s="305"/>
      <c r="V219" s="356"/>
      <c r="W219" s="361"/>
      <c r="X219" s="5"/>
    </row>
    <row r="220" spans="1:24" ht="15.6" x14ac:dyDescent="0.3">
      <c r="A220" s="359"/>
      <c r="B220" s="284" t="s">
        <v>86</v>
      </c>
      <c r="C220" s="360"/>
      <c r="D220" s="360"/>
      <c r="E220" s="360"/>
      <c r="F220" s="360"/>
      <c r="G220" s="305"/>
      <c r="H220" s="305"/>
      <c r="I220" s="305"/>
      <c r="J220" s="305"/>
      <c r="K220" s="305"/>
      <c r="L220" s="305"/>
      <c r="M220" s="305"/>
      <c r="N220" s="305"/>
      <c r="O220" s="305"/>
      <c r="P220" s="305"/>
      <c r="Q220" s="305"/>
      <c r="R220" s="305"/>
      <c r="S220" s="287"/>
      <c r="T220" s="355">
        <f>+V164</f>
        <v>536</v>
      </c>
      <c r="U220" s="305"/>
      <c r="V220" s="356"/>
      <c r="W220" s="361"/>
      <c r="X220" s="5"/>
    </row>
    <row r="221" spans="1:24" ht="15.6" x14ac:dyDescent="0.3">
      <c r="A221" s="352"/>
      <c r="B221" s="279" t="s">
        <v>87</v>
      </c>
      <c r="C221" s="353"/>
      <c r="D221" s="353"/>
      <c r="E221" s="353"/>
      <c r="F221" s="353"/>
      <c r="G221" s="305"/>
      <c r="H221" s="305"/>
      <c r="I221" s="305"/>
      <c r="J221" s="305"/>
      <c r="K221" s="305"/>
      <c r="L221" s="305"/>
      <c r="M221" s="305"/>
      <c r="N221" s="305"/>
      <c r="O221" s="305"/>
      <c r="P221" s="305"/>
      <c r="Q221" s="305"/>
      <c r="R221" s="305"/>
      <c r="S221" s="287"/>
      <c r="T221" s="355">
        <f>'July 10'!T221+'Oct 10'!T220</f>
        <v>2370</v>
      </c>
      <c r="U221" s="305"/>
      <c r="V221" s="356"/>
      <c r="W221" s="361"/>
      <c r="X221" s="5"/>
    </row>
    <row r="222" spans="1:24" ht="15.6" x14ac:dyDescent="0.3">
      <c r="A222" s="359"/>
      <c r="B222" s="304" t="s">
        <v>292</v>
      </c>
      <c r="C222" s="360"/>
      <c r="D222" s="360"/>
      <c r="E222" s="360"/>
      <c r="F222" s="360"/>
      <c r="G222" s="305"/>
      <c r="H222" s="305"/>
      <c r="I222" s="305"/>
      <c r="J222" s="305"/>
      <c r="K222" s="305"/>
      <c r="L222" s="305"/>
      <c r="M222" s="305"/>
      <c r="N222" s="305"/>
      <c r="O222" s="305"/>
      <c r="P222" s="305"/>
      <c r="Q222" s="305"/>
      <c r="R222" s="305"/>
      <c r="S222" s="287"/>
      <c r="T222" s="355"/>
      <c r="U222" s="305"/>
      <c r="V222" s="356"/>
      <c r="W222" s="361"/>
      <c r="X222" s="5"/>
    </row>
    <row r="223" spans="1:24" ht="15.6" x14ac:dyDescent="0.3">
      <c r="A223" s="359"/>
      <c r="B223" s="279" t="s">
        <v>290</v>
      </c>
      <c r="C223" s="360"/>
      <c r="D223" s="360"/>
      <c r="E223" s="360"/>
      <c r="F223" s="360"/>
      <c r="G223" s="305"/>
      <c r="H223" s="305"/>
      <c r="I223" s="305"/>
      <c r="J223" s="305"/>
      <c r="K223" s="305"/>
      <c r="L223" s="305"/>
      <c r="M223" s="305"/>
      <c r="N223" s="305"/>
      <c r="O223" s="305"/>
      <c r="P223" s="305"/>
      <c r="Q223" s="305"/>
      <c r="R223" s="305"/>
      <c r="S223" s="287">
        <v>0</v>
      </c>
      <c r="T223" s="355">
        <v>0</v>
      </c>
      <c r="U223" s="305"/>
      <c r="V223" s="356"/>
      <c r="W223" s="361"/>
      <c r="X223" s="5"/>
    </row>
    <row r="224" spans="1:24" ht="15.6" x14ac:dyDescent="0.3">
      <c r="A224" s="352"/>
      <c r="B224" s="279" t="s">
        <v>88</v>
      </c>
      <c r="C224" s="362"/>
      <c r="D224" s="362"/>
      <c r="E224" s="362"/>
      <c r="F224" s="363"/>
      <c r="G224" s="305"/>
      <c r="H224" s="305"/>
      <c r="I224" s="305"/>
      <c r="J224" s="305"/>
      <c r="K224" s="305"/>
      <c r="L224" s="305"/>
      <c r="M224" s="305"/>
      <c r="N224" s="305"/>
      <c r="O224" s="305"/>
      <c r="P224" s="305"/>
      <c r="Q224" s="305"/>
      <c r="R224" s="305"/>
      <c r="S224" s="279"/>
      <c r="T224" s="358">
        <v>0</v>
      </c>
      <c r="U224" s="305"/>
      <c r="V224" s="356"/>
      <c r="W224" s="361"/>
      <c r="X224" s="5"/>
    </row>
    <row r="225" spans="1:25" ht="15.6" x14ac:dyDescent="0.3">
      <c r="A225" s="352"/>
      <c r="B225" s="279" t="s">
        <v>89</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304" t="s">
        <v>223</v>
      </c>
      <c r="C226" s="362"/>
      <c r="D226" s="362"/>
      <c r="E226" s="362"/>
      <c r="F226" s="363"/>
      <c r="G226" s="305"/>
      <c r="H226" s="305"/>
      <c r="I226" s="305"/>
      <c r="J226" s="305"/>
      <c r="K226" s="305"/>
      <c r="L226" s="305"/>
      <c r="M226" s="305"/>
      <c r="N226" s="305"/>
      <c r="O226" s="305"/>
      <c r="P226" s="305"/>
      <c r="Q226" s="305"/>
      <c r="R226" s="305"/>
      <c r="S226" s="279"/>
      <c r="T226" s="364"/>
      <c r="U226" s="305"/>
      <c r="V226" s="356"/>
      <c r="W226" s="361"/>
      <c r="X226" s="5"/>
    </row>
    <row r="227" spans="1:25" ht="15.6" x14ac:dyDescent="0.3">
      <c r="A227" s="352"/>
      <c r="B227" s="279" t="s">
        <v>290</v>
      </c>
      <c r="C227" s="362"/>
      <c r="D227" s="362"/>
      <c r="E227" s="362"/>
      <c r="F227" s="363"/>
      <c r="G227" s="305"/>
      <c r="H227" s="305"/>
      <c r="I227" s="305"/>
      <c r="J227" s="305"/>
      <c r="K227" s="305"/>
      <c r="L227" s="305"/>
      <c r="M227" s="305"/>
      <c r="N227" s="305"/>
      <c r="O227" s="305"/>
      <c r="P227" s="305"/>
      <c r="Q227" s="305"/>
      <c r="R227" s="305"/>
      <c r="S227" s="287">
        <v>10</v>
      </c>
      <c r="T227" s="355">
        <v>1443</v>
      </c>
      <c r="U227" s="305"/>
      <c r="V227" s="356"/>
      <c r="W227" s="361"/>
      <c r="X227" s="5"/>
    </row>
    <row r="228" spans="1:25" ht="15.6" x14ac:dyDescent="0.3">
      <c r="A228" s="352"/>
      <c r="B228" s="279" t="s">
        <v>224</v>
      </c>
      <c r="C228" s="362"/>
      <c r="D228" s="362"/>
      <c r="E228" s="362"/>
      <c r="F228" s="363"/>
      <c r="G228" s="305"/>
      <c r="H228" s="305"/>
      <c r="I228" s="305"/>
      <c r="J228" s="305"/>
      <c r="K228" s="305"/>
      <c r="L228" s="305"/>
      <c r="M228" s="305"/>
      <c r="N228" s="305"/>
      <c r="O228" s="305"/>
      <c r="P228" s="305"/>
      <c r="Q228" s="305"/>
      <c r="R228" s="305"/>
      <c r="S228" s="279"/>
      <c r="T228" s="358">
        <v>4.0199999999999996</v>
      </c>
      <c r="U228" s="305"/>
      <c r="V228" s="356"/>
      <c r="W228" s="361"/>
      <c r="X228" s="5"/>
    </row>
    <row r="229" spans="1:25" ht="15.6" x14ac:dyDescent="0.3">
      <c r="A229" s="352"/>
      <c r="B229" s="360"/>
      <c r="C229" s="362"/>
      <c r="D229" s="362"/>
      <c r="E229" s="362"/>
      <c r="F229" s="363"/>
      <c r="G229" s="305"/>
      <c r="H229" s="305"/>
      <c r="I229" s="305"/>
      <c r="J229" s="305"/>
      <c r="K229" s="305"/>
      <c r="L229" s="305"/>
      <c r="M229" s="305"/>
      <c r="N229" s="305"/>
      <c r="O229" s="305"/>
      <c r="P229" s="305"/>
      <c r="Q229" s="305"/>
      <c r="R229" s="305"/>
      <c r="S229" s="279"/>
      <c r="T229" s="364"/>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305"/>
      <c r="T230" s="365"/>
      <c r="U230" s="305"/>
      <c r="V230" s="356"/>
      <c r="W230" s="361"/>
      <c r="X230" s="5"/>
    </row>
    <row r="231" spans="1:25" ht="17.399999999999999" x14ac:dyDescent="0.3">
      <c r="A231" s="352"/>
      <c r="B231" s="366" t="s">
        <v>174</v>
      </c>
      <c r="C231" s="362"/>
      <c r="D231" s="362"/>
      <c r="E231" s="362"/>
      <c r="F231" s="363"/>
      <c r="G231" s="305"/>
      <c r="H231" s="305"/>
      <c r="I231" s="305"/>
      <c r="J231" s="305"/>
      <c r="K231" s="305"/>
      <c r="L231" s="305"/>
      <c r="M231" s="305"/>
      <c r="N231" s="305"/>
      <c r="O231" s="305"/>
      <c r="P231" s="367" t="s">
        <v>173</v>
      </c>
      <c r="Q231" s="305"/>
      <c r="R231" s="305"/>
      <c r="S231" s="305"/>
      <c r="T231" s="365"/>
      <c r="U231" s="305"/>
      <c r="V231" s="356"/>
      <c r="W231" s="361"/>
      <c r="X231" s="5"/>
    </row>
    <row r="232" spans="1:25" ht="15.6" x14ac:dyDescent="0.3">
      <c r="A232" s="347"/>
      <c r="B232" s="342"/>
      <c r="C232" s="348"/>
      <c r="D232" s="348"/>
      <c r="E232" s="348"/>
      <c r="F232" s="349"/>
      <c r="G232" s="275"/>
      <c r="H232" s="275"/>
      <c r="I232" s="275"/>
      <c r="J232" s="275"/>
      <c r="K232" s="275"/>
      <c r="L232" s="275"/>
      <c r="M232" s="275"/>
      <c r="N232" s="275"/>
      <c r="O232" s="275"/>
      <c r="P232" s="275"/>
      <c r="Q232" s="275"/>
      <c r="R232" s="275"/>
      <c r="S232" s="275"/>
      <c r="T232" s="350"/>
      <c r="U232" s="275"/>
      <c r="V232" s="343"/>
      <c r="W232" s="351"/>
      <c r="X232" s="5"/>
    </row>
    <row r="233" spans="1:25" ht="15.6" x14ac:dyDescent="0.3">
      <c r="A233" s="223"/>
      <c r="B233" s="230" t="s">
        <v>304</v>
      </c>
      <c r="C233" s="231"/>
      <c r="D233" s="231"/>
      <c r="E233" s="231"/>
      <c r="F233" s="242"/>
      <c r="G233" s="231"/>
      <c r="H233" s="231"/>
      <c r="I233" s="231"/>
      <c r="J233" s="231"/>
      <c r="K233" s="231"/>
      <c r="L233" s="231"/>
      <c r="M233" s="231"/>
      <c r="N233" s="231"/>
      <c r="O233" s="231"/>
      <c r="P233" s="231"/>
      <c r="Q233" s="231"/>
      <c r="R233" s="242" t="s">
        <v>104</v>
      </c>
      <c r="S233" s="231" t="s">
        <v>105</v>
      </c>
      <c r="T233" s="242" t="s">
        <v>113</v>
      </c>
      <c r="U233" s="231" t="s">
        <v>105</v>
      </c>
      <c r="V233" s="224"/>
      <c r="W233" s="230"/>
      <c r="X233" s="5"/>
    </row>
    <row r="234" spans="1:25" ht="15.6" x14ac:dyDescent="0.3">
      <c r="A234" s="189"/>
      <c r="B234" s="247" t="s">
        <v>90</v>
      </c>
      <c r="C234" s="261"/>
      <c r="D234" s="261"/>
      <c r="E234" s="261"/>
      <c r="F234" s="248"/>
      <c r="G234" s="261"/>
      <c r="H234" s="261"/>
      <c r="I234" s="261"/>
      <c r="J234" s="261"/>
      <c r="K234" s="261"/>
      <c r="L234" s="261"/>
      <c r="M234" s="261"/>
      <c r="N234" s="261"/>
      <c r="O234" s="261"/>
      <c r="P234" s="261"/>
      <c r="Q234" s="261"/>
      <c r="R234" s="329">
        <f t="shared" ref="R234:R241" si="1">+R246+R258+R270</f>
        <v>7517</v>
      </c>
      <c r="S234" s="372">
        <f t="shared" ref="S234:S241" si="2">R234/$R$243</f>
        <v>0.98933929981574098</v>
      </c>
      <c r="T234" s="330">
        <f t="shared" ref="T234:T241" si="3">+T246+T258+T270</f>
        <v>1009509</v>
      </c>
      <c r="U234" s="372">
        <f t="shared" ref="U234:U241" si="4">T234/$T$243</f>
        <v>0.98625026011569161</v>
      </c>
      <c r="V234" s="218"/>
      <c r="W234" s="221"/>
      <c r="X234" s="5"/>
    </row>
    <row r="235" spans="1:25" ht="15.6" x14ac:dyDescent="0.3">
      <c r="A235" s="278"/>
      <c r="B235" s="329" t="s">
        <v>91</v>
      </c>
      <c r="C235" s="371"/>
      <c r="D235" s="371"/>
      <c r="E235" s="371"/>
      <c r="F235" s="279"/>
      <c r="G235" s="372"/>
      <c r="H235" s="371"/>
      <c r="I235" s="371"/>
      <c r="J235" s="371"/>
      <c r="K235" s="371"/>
      <c r="L235" s="371"/>
      <c r="M235" s="371"/>
      <c r="N235" s="371"/>
      <c r="O235" s="371"/>
      <c r="P235" s="371"/>
      <c r="Q235" s="371"/>
      <c r="R235" s="329">
        <f t="shared" si="1"/>
        <v>35</v>
      </c>
      <c r="S235" s="372">
        <f t="shared" si="2"/>
        <v>4.6064753882600687E-3</v>
      </c>
      <c r="T235" s="330">
        <f t="shared" si="3"/>
        <v>5730</v>
      </c>
      <c r="U235" s="372">
        <f t="shared" si="4"/>
        <v>5.5979827722812906E-3</v>
      </c>
      <c r="V235" s="356"/>
      <c r="W235" s="361"/>
      <c r="X235" s="5"/>
      <c r="Y235" s="109"/>
    </row>
    <row r="236" spans="1:25" ht="15.6" x14ac:dyDescent="0.3">
      <c r="A236" s="278"/>
      <c r="B236" s="329" t="s">
        <v>92</v>
      </c>
      <c r="C236" s="371"/>
      <c r="D236" s="371"/>
      <c r="E236" s="371"/>
      <c r="F236" s="279"/>
      <c r="G236" s="372"/>
      <c r="H236" s="371"/>
      <c r="I236" s="371"/>
      <c r="J236" s="371"/>
      <c r="K236" s="371"/>
      <c r="L236" s="371"/>
      <c r="M236" s="371"/>
      <c r="N236" s="371"/>
      <c r="O236" s="371"/>
      <c r="P236" s="371"/>
      <c r="Q236" s="371"/>
      <c r="R236" s="329">
        <f t="shared" si="1"/>
        <v>6</v>
      </c>
      <c r="S236" s="372">
        <f t="shared" si="2"/>
        <v>7.8968149513029742E-4</v>
      </c>
      <c r="T236" s="330">
        <f t="shared" si="3"/>
        <v>926</v>
      </c>
      <c r="U236" s="372">
        <f t="shared" si="4"/>
        <v>9.0466527873167102E-4</v>
      </c>
      <c r="V236" s="356"/>
      <c r="W236" s="361"/>
      <c r="X236" s="5"/>
    </row>
    <row r="237" spans="1:25" ht="15.6" x14ac:dyDescent="0.3">
      <c r="A237" s="278"/>
      <c r="B237" s="329" t="s">
        <v>161</v>
      </c>
      <c r="C237" s="371"/>
      <c r="D237" s="371"/>
      <c r="E237" s="371"/>
      <c r="F237" s="279"/>
      <c r="G237" s="372"/>
      <c r="H237" s="371"/>
      <c r="I237" s="371"/>
      <c r="J237" s="371"/>
      <c r="K237" s="371"/>
      <c r="L237" s="371"/>
      <c r="M237" s="371"/>
      <c r="N237" s="371"/>
      <c r="O237" s="371"/>
      <c r="P237" s="371"/>
      <c r="Q237" s="371"/>
      <c r="R237" s="329">
        <f t="shared" si="1"/>
        <v>5</v>
      </c>
      <c r="S237" s="372">
        <f t="shared" si="2"/>
        <v>6.5806791260858118E-4</v>
      </c>
      <c r="T237" s="330">
        <f t="shared" si="3"/>
        <v>931</v>
      </c>
      <c r="U237" s="372">
        <f t="shared" si="4"/>
        <v>9.095500804526843E-4</v>
      </c>
      <c r="V237" s="356"/>
      <c r="W237" s="361"/>
      <c r="X237" s="5"/>
      <c r="Y237" s="109"/>
    </row>
    <row r="238" spans="1:25" ht="15.6" x14ac:dyDescent="0.3">
      <c r="A238" s="278"/>
      <c r="B238" s="329" t="s">
        <v>162</v>
      </c>
      <c r="C238" s="371"/>
      <c r="D238" s="371"/>
      <c r="E238" s="371"/>
      <c r="F238" s="279"/>
      <c r="G238" s="372"/>
      <c r="H238" s="371"/>
      <c r="I238" s="371"/>
      <c r="J238" s="371"/>
      <c r="K238" s="371"/>
      <c r="L238" s="371"/>
      <c r="M238" s="371"/>
      <c r="N238" s="371"/>
      <c r="O238" s="371"/>
      <c r="P238" s="371"/>
      <c r="Q238" s="371"/>
      <c r="R238" s="329">
        <f t="shared" si="1"/>
        <v>1</v>
      </c>
      <c r="S238" s="372">
        <f t="shared" si="2"/>
        <v>1.3161358252171624E-4</v>
      </c>
      <c r="T238" s="330">
        <f t="shared" si="3"/>
        <v>202</v>
      </c>
      <c r="U238" s="372">
        <f t="shared" si="4"/>
        <v>1.9734598952893904E-4</v>
      </c>
      <c r="V238" s="356"/>
      <c r="W238" s="361"/>
      <c r="X238" s="5"/>
    </row>
    <row r="239" spans="1:25" ht="15.6" x14ac:dyDescent="0.3">
      <c r="A239" s="278"/>
      <c r="B239" s="329" t="s">
        <v>163</v>
      </c>
      <c r="C239" s="371"/>
      <c r="D239" s="371"/>
      <c r="E239" s="371"/>
      <c r="F239" s="279"/>
      <c r="G239" s="372"/>
      <c r="H239" s="371"/>
      <c r="I239" s="371"/>
      <c r="J239" s="371"/>
      <c r="K239" s="371"/>
      <c r="L239" s="371"/>
      <c r="M239" s="371"/>
      <c r="N239" s="371"/>
      <c r="O239" s="371"/>
      <c r="P239" s="371"/>
      <c r="Q239" s="371"/>
      <c r="R239" s="329">
        <f t="shared" si="1"/>
        <v>2</v>
      </c>
      <c r="S239" s="372">
        <f t="shared" si="2"/>
        <v>2.6322716504343247E-4</v>
      </c>
      <c r="T239" s="330">
        <f t="shared" si="3"/>
        <v>297</v>
      </c>
      <c r="U239" s="372">
        <f t="shared" si="4"/>
        <v>2.9015722222819253E-4</v>
      </c>
      <c r="V239" s="356"/>
      <c r="W239" s="361"/>
      <c r="X239" s="5"/>
      <c r="Y239" s="109"/>
    </row>
    <row r="240" spans="1:25" ht="15.6" x14ac:dyDescent="0.3">
      <c r="A240" s="278"/>
      <c r="B240" s="329" t="s">
        <v>164</v>
      </c>
      <c r="C240" s="371"/>
      <c r="D240" s="371"/>
      <c r="E240" s="371"/>
      <c r="F240" s="279"/>
      <c r="G240" s="372"/>
      <c r="H240" s="371"/>
      <c r="I240" s="371"/>
      <c r="J240" s="371"/>
      <c r="K240" s="371"/>
      <c r="L240" s="371"/>
      <c r="M240" s="371"/>
      <c r="N240" s="371"/>
      <c r="O240" s="371"/>
      <c r="P240" s="371"/>
      <c r="Q240" s="371"/>
      <c r="R240" s="329">
        <f t="shared" si="1"/>
        <v>11</v>
      </c>
      <c r="S240" s="372">
        <f t="shared" si="2"/>
        <v>1.4477494077388786E-3</v>
      </c>
      <c r="T240" s="330">
        <f t="shared" si="3"/>
        <v>1605</v>
      </c>
      <c r="U240" s="372">
        <f t="shared" si="4"/>
        <v>1.568021352445283E-3</v>
      </c>
      <c r="V240" s="356"/>
      <c r="W240" s="361"/>
      <c r="X240" s="5"/>
    </row>
    <row r="241" spans="1:25" ht="15.6" x14ac:dyDescent="0.3">
      <c r="A241" s="278"/>
      <c r="B241" s="329" t="s">
        <v>165</v>
      </c>
      <c r="C241" s="371"/>
      <c r="D241" s="371"/>
      <c r="E241" s="371"/>
      <c r="F241" s="279"/>
      <c r="G241" s="372"/>
      <c r="H241" s="371"/>
      <c r="I241" s="371"/>
      <c r="J241" s="371"/>
      <c r="K241" s="371"/>
      <c r="L241" s="371"/>
      <c r="M241" s="371"/>
      <c r="N241" s="371"/>
      <c r="O241" s="371"/>
      <c r="P241" s="371"/>
      <c r="Q241" s="371"/>
      <c r="R241" s="329">
        <f t="shared" si="1"/>
        <v>21</v>
      </c>
      <c r="S241" s="372">
        <f t="shared" si="2"/>
        <v>2.763885232956041E-3</v>
      </c>
      <c r="T241" s="330">
        <f t="shared" si="3"/>
        <v>4383</v>
      </c>
      <c r="U241" s="372">
        <f t="shared" si="4"/>
        <v>4.282017188640296E-3</v>
      </c>
      <c r="V241" s="356"/>
      <c r="W241" s="361"/>
      <c r="X241" s="5"/>
      <c r="Y241" s="109"/>
    </row>
    <row r="242" spans="1:25" ht="15.6" x14ac:dyDescent="0.3">
      <c r="A242" s="278"/>
      <c r="B242" s="329"/>
      <c r="C242" s="371"/>
      <c r="D242" s="371"/>
      <c r="E242" s="371"/>
      <c r="F242" s="279"/>
      <c r="G242" s="372"/>
      <c r="H242" s="371"/>
      <c r="I242" s="371"/>
      <c r="J242" s="371"/>
      <c r="K242" s="371"/>
      <c r="L242" s="371"/>
      <c r="M242" s="371"/>
      <c r="N242" s="371"/>
      <c r="O242" s="371"/>
      <c r="P242" s="371"/>
      <c r="Q242" s="371"/>
      <c r="R242" s="329"/>
      <c r="S242" s="372"/>
      <c r="T242" s="330"/>
      <c r="U242" s="372"/>
      <c r="V242" s="356"/>
      <c r="W242" s="361"/>
      <c r="X242" s="5"/>
    </row>
    <row r="243" spans="1:25" ht="15.6" x14ac:dyDescent="0.3">
      <c r="A243" s="278"/>
      <c r="B243" s="279" t="s">
        <v>119</v>
      </c>
      <c r="C243" s="279"/>
      <c r="D243" s="279"/>
      <c r="E243" s="279"/>
      <c r="F243" s="279"/>
      <c r="G243" s="279"/>
      <c r="H243" s="373"/>
      <c r="I243" s="373"/>
      <c r="J243" s="373"/>
      <c r="K243" s="373"/>
      <c r="L243" s="373"/>
      <c r="M243" s="373"/>
      <c r="N243" s="373"/>
      <c r="O243" s="373"/>
      <c r="P243" s="373"/>
      <c r="Q243" s="373"/>
      <c r="R243" s="329">
        <f>SUM(R234:R242)</f>
        <v>7598</v>
      </c>
      <c r="S243" s="372">
        <f>SUM(S234:S242)</f>
        <v>0.99999999999999989</v>
      </c>
      <c r="T243" s="330">
        <f>SUM(T234:T242)</f>
        <v>1023583</v>
      </c>
      <c r="U243" s="372">
        <f>SUM(U234:U242)</f>
        <v>0.99999999999999989</v>
      </c>
      <c r="V243" s="305"/>
      <c r="W243" s="310"/>
      <c r="X243" s="5"/>
    </row>
    <row r="244" spans="1:25" ht="15.6" x14ac:dyDescent="0.3">
      <c r="A244" s="347"/>
      <c r="B244" s="342"/>
      <c r="C244" s="348"/>
      <c r="D244" s="348"/>
      <c r="E244" s="348"/>
      <c r="F244" s="349"/>
      <c r="G244" s="275"/>
      <c r="H244" s="275"/>
      <c r="I244" s="275"/>
      <c r="J244" s="275"/>
      <c r="K244" s="275"/>
      <c r="L244" s="275"/>
      <c r="M244" s="275"/>
      <c r="N244" s="275"/>
      <c r="O244" s="275"/>
      <c r="P244" s="275"/>
      <c r="Q244" s="275"/>
      <c r="R244" s="275"/>
      <c r="S244" s="275"/>
      <c r="T244" s="350"/>
      <c r="U244" s="275"/>
      <c r="V244" s="343"/>
      <c r="W244" s="351"/>
      <c r="X244" s="5"/>
    </row>
    <row r="245" spans="1:25" ht="15.6" x14ac:dyDescent="0.3">
      <c r="A245" s="223"/>
      <c r="B245" s="230" t="s">
        <v>167</v>
      </c>
      <c r="C245" s="231"/>
      <c r="D245" s="231"/>
      <c r="E245" s="231"/>
      <c r="F245" s="242"/>
      <c r="G245" s="231"/>
      <c r="H245" s="231"/>
      <c r="I245" s="231"/>
      <c r="J245" s="231"/>
      <c r="K245" s="231"/>
      <c r="L245" s="231"/>
      <c r="M245" s="231"/>
      <c r="N245" s="231"/>
      <c r="O245" s="231"/>
      <c r="P245" s="231"/>
      <c r="Q245" s="231"/>
      <c r="R245" s="242" t="s">
        <v>104</v>
      </c>
      <c r="S245" s="231" t="s">
        <v>105</v>
      </c>
      <c r="T245" s="242" t="s">
        <v>113</v>
      </c>
      <c r="U245" s="231" t="s">
        <v>105</v>
      </c>
      <c r="V245" s="224"/>
      <c r="W245" s="230"/>
      <c r="X245" s="5"/>
    </row>
    <row r="246" spans="1:25" ht="15.6" x14ac:dyDescent="0.3">
      <c r="A246" s="189"/>
      <c r="B246" s="247" t="s">
        <v>90</v>
      </c>
      <c r="C246" s="261"/>
      <c r="D246" s="261"/>
      <c r="E246" s="261"/>
      <c r="F246" s="248"/>
      <c r="G246" s="261"/>
      <c r="H246" s="261"/>
      <c r="I246" s="261"/>
      <c r="J246" s="261"/>
      <c r="K246" s="261"/>
      <c r="L246" s="261"/>
      <c r="M246" s="261"/>
      <c r="N246" s="261"/>
      <c r="O246" s="261"/>
      <c r="P246" s="261"/>
      <c r="Q246" s="261"/>
      <c r="R246" s="247">
        <v>7420</v>
      </c>
      <c r="S246" s="250">
        <f t="shared" ref="S246:S253" si="5">R246/$R$255</f>
        <v>0.99503821912297175</v>
      </c>
      <c r="T246" s="251">
        <v>993572</v>
      </c>
      <c r="U246" s="250">
        <f t="shared" ref="U246:U253" si="6">T246/$T$255</f>
        <v>0.99375882665941195</v>
      </c>
      <c r="V246" s="218"/>
      <c r="W246" s="221"/>
      <c r="X246" s="5"/>
    </row>
    <row r="247" spans="1:25" ht="15.6" x14ac:dyDescent="0.3">
      <c r="A247" s="278"/>
      <c r="B247" s="329" t="s">
        <v>91</v>
      </c>
      <c r="C247" s="371"/>
      <c r="D247" s="371"/>
      <c r="E247" s="371"/>
      <c r="F247" s="279"/>
      <c r="G247" s="372"/>
      <c r="H247" s="371"/>
      <c r="I247" s="371"/>
      <c r="J247" s="371"/>
      <c r="K247" s="371"/>
      <c r="L247" s="371"/>
      <c r="M247" s="371"/>
      <c r="N247" s="371"/>
      <c r="O247" s="371"/>
      <c r="P247" s="371"/>
      <c r="Q247" s="371"/>
      <c r="R247" s="329">
        <v>28</v>
      </c>
      <c r="S247" s="372">
        <f t="shared" si="5"/>
        <v>3.7548612042376289E-3</v>
      </c>
      <c r="T247" s="330">
        <v>4817</v>
      </c>
      <c r="U247" s="372">
        <f t="shared" si="6"/>
        <v>4.8179057662840613E-3</v>
      </c>
      <c r="V247" s="356"/>
      <c r="W247" s="361"/>
      <c r="X247" s="5"/>
      <c r="Y247" s="109"/>
    </row>
    <row r="248" spans="1:25" ht="15.6" x14ac:dyDescent="0.3">
      <c r="A248" s="278"/>
      <c r="B248" s="329" t="s">
        <v>92</v>
      </c>
      <c r="C248" s="371"/>
      <c r="D248" s="371"/>
      <c r="E248" s="371"/>
      <c r="F248" s="279"/>
      <c r="G248" s="372"/>
      <c r="H248" s="371"/>
      <c r="I248" s="371"/>
      <c r="J248" s="371"/>
      <c r="K248" s="371"/>
      <c r="L248" s="371"/>
      <c r="M248" s="371"/>
      <c r="N248" s="371"/>
      <c r="O248" s="371"/>
      <c r="P248" s="371"/>
      <c r="Q248" s="371"/>
      <c r="R248" s="329">
        <v>5</v>
      </c>
      <c r="S248" s="372">
        <f t="shared" si="5"/>
        <v>6.705109293281481E-4</v>
      </c>
      <c r="T248" s="330">
        <v>676</v>
      </c>
      <c r="U248" s="372">
        <f t="shared" si="6"/>
        <v>6.7612711189703667E-4</v>
      </c>
      <c r="V248" s="356"/>
      <c r="W248" s="361"/>
      <c r="X248" s="5"/>
    </row>
    <row r="249" spans="1:25" ht="15.6" x14ac:dyDescent="0.3">
      <c r="A249" s="278"/>
      <c r="B249" s="329" t="s">
        <v>161</v>
      </c>
      <c r="C249" s="371"/>
      <c r="D249" s="371"/>
      <c r="E249" s="371"/>
      <c r="F249" s="279"/>
      <c r="G249" s="372"/>
      <c r="H249" s="371"/>
      <c r="I249" s="371"/>
      <c r="J249" s="371"/>
      <c r="K249" s="371"/>
      <c r="L249" s="371"/>
      <c r="M249" s="371"/>
      <c r="N249" s="371"/>
      <c r="O249" s="371"/>
      <c r="P249" s="371"/>
      <c r="Q249" s="371"/>
      <c r="R249" s="329">
        <v>3</v>
      </c>
      <c r="S249" s="372">
        <f t="shared" si="5"/>
        <v>4.0230655759688881E-4</v>
      </c>
      <c r="T249" s="330">
        <v>545</v>
      </c>
      <c r="U249" s="372">
        <f t="shared" si="6"/>
        <v>5.4510247926610206E-4</v>
      </c>
      <c r="V249" s="356"/>
      <c r="W249" s="361"/>
      <c r="X249" s="5"/>
      <c r="Y249" s="109"/>
    </row>
    <row r="250" spans="1:25" ht="15.6" x14ac:dyDescent="0.3">
      <c r="A250" s="278"/>
      <c r="B250" s="329" t="s">
        <v>162</v>
      </c>
      <c r="C250" s="371"/>
      <c r="D250" s="371"/>
      <c r="E250" s="371"/>
      <c r="F250" s="279"/>
      <c r="G250" s="372"/>
      <c r="H250" s="371"/>
      <c r="I250" s="371"/>
      <c r="J250" s="371"/>
      <c r="K250" s="371"/>
      <c r="L250" s="371"/>
      <c r="M250" s="371"/>
      <c r="N250" s="371"/>
      <c r="O250" s="371"/>
      <c r="P250" s="371"/>
      <c r="Q250" s="371"/>
      <c r="R250" s="329">
        <v>1</v>
      </c>
      <c r="S250" s="372">
        <f t="shared" si="5"/>
        <v>1.3410218586562962E-4</v>
      </c>
      <c r="T250" s="330">
        <v>202</v>
      </c>
      <c r="U250" s="372">
        <f t="shared" si="6"/>
        <v>2.0203798314083048E-4</v>
      </c>
      <c r="V250" s="356"/>
      <c r="W250" s="361"/>
      <c r="X250" s="5"/>
    </row>
    <row r="251" spans="1:25" ht="15.6" x14ac:dyDescent="0.3">
      <c r="A251" s="278"/>
      <c r="B251" s="329" t="s">
        <v>163</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c r="Y251" s="109"/>
    </row>
    <row r="252" spans="1:25" ht="15.6" x14ac:dyDescent="0.3">
      <c r="A252" s="278"/>
      <c r="B252" s="329" t="s">
        <v>164</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row>
    <row r="253" spans="1:25" ht="15.6" x14ac:dyDescent="0.3">
      <c r="A253" s="278"/>
      <c r="B253" s="329" t="s">
        <v>165</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c r="Y253" s="109"/>
    </row>
    <row r="254" spans="1:25" ht="15.6" x14ac:dyDescent="0.3">
      <c r="A254" s="278"/>
      <c r="B254" s="329"/>
      <c r="C254" s="371"/>
      <c r="D254" s="371"/>
      <c r="E254" s="371"/>
      <c r="F254" s="279"/>
      <c r="G254" s="372"/>
      <c r="H254" s="371"/>
      <c r="I254" s="371"/>
      <c r="J254" s="371"/>
      <c r="K254" s="371"/>
      <c r="L254" s="371"/>
      <c r="M254" s="371"/>
      <c r="N254" s="371"/>
      <c r="O254" s="371"/>
      <c r="P254" s="371"/>
      <c r="Q254" s="371"/>
      <c r="R254" s="329"/>
      <c r="S254" s="372"/>
      <c r="T254" s="330"/>
      <c r="U254" s="372"/>
      <c r="V254" s="356"/>
      <c r="W254" s="361"/>
      <c r="X254" s="5"/>
    </row>
    <row r="255" spans="1:25" ht="15.6" x14ac:dyDescent="0.3">
      <c r="A255" s="278"/>
      <c r="B255" s="279" t="s">
        <v>119</v>
      </c>
      <c r="C255" s="279"/>
      <c r="D255" s="279"/>
      <c r="E255" s="279"/>
      <c r="F255" s="279"/>
      <c r="G255" s="279"/>
      <c r="H255" s="373"/>
      <c r="I255" s="373"/>
      <c r="J255" s="373"/>
      <c r="K255" s="373"/>
      <c r="L255" s="373"/>
      <c r="M255" s="373"/>
      <c r="N255" s="373"/>
      <c r="O255" s="373"/>
      <c r="P255" s="373"/>
      <c r="Q255" s="373"/>
      <c r="R255" s="329">
        <f>SUM(R246:R254)</f>
        <v>7457</v>
      </c>
      <c r="S255" s="372">
        <f>SUM(S246:S254)</f>
        <v>1</v>
      </c>
      <c r="T255" s="330">
        <f>SUM(T246:T254)</f>
        <v>999812</v>
      </c>
      <c r="U255" s="372">
        <f>SUM(U246:U254)</f>
        <v>0.99999999999999989</v>
      </c>
      <c r="V255" s="305"/>
      <c r="W255" s="310"/>
      <c r="X255" s="5"/>
    </row>
    <row r="256" spans="1:25" ht="15.6" x14ac:dyDescent="0.3">
      <c r="A256" s="177"/>
      <c r="B256" s="275"/>
      <c r="C256" s="275"/>
      <c r="D256" s="275"/>
      <c r="E256" s="275"/>
      <c r="F256" s="275"/>
      <c r="G256" s="275"/>
      <c r="H256" s="368"/>
      <c r="I256" s="368"/>
      <c r="J256" s="368"/>
      <c r="K256" s="368"/>
      <c r="L256" s="368"/>
      <c r="M256" s="368"/>
      <c r="N256" s="368"/>
      <c r="O256" s="368"/>
      <c r="P256" s="368"/>
      <c r="Q256" s="368"/>
      <c r="R256" s="327"/>
      <c r="S256" s="369"/>
      <c r="T256" s="370"/>
      <c r="U256" s="369"/>
      <c r="V256" s="275"/>
      <c r="W256" s="275"/>
      <c r="X256" s="5"/>
    </row>
    <row r="257" spans="1:24" ht="15.6" x14ac:dyDescent="0.3">
      <c r="A257" s="243"/>
      <c r="B257" s="230" t="s">
        <v>283</v>
      </c>
      <c r="C257" s="231"/>
      <c r="D257" s="231"/>
      <c r="E257" s="231"/>
      <c r="F257" s="242"/>
      <c r="G257" s="231"/>
      <c r="H257" s="231"/>
      <c r="I257" s="231"/>
      <c r="J257" s="231"/>
      <c r="K257" s="231"/>
      <c r="L257" s="231"/>
      <c r="M257" s="231"/>
      <c r="N257" s="231"/>
      <c r="O257" s="231"/>
      <c r="P257" s="231"/>
      <c r="Q257" s="231"/>
      <c r="R257" s="242" t="s">
        <v>104</v>
      </c>
      <c r="S257" s="231" t="s">
        <v>105</v>
      </c>
      <c r="T257" s="242" t="s">
        <v>113</v>
      </c>
      <c r="U257" s="231" t="s">
        <v>105</v>
      </c>
      <c r="V257" s="244"/>
      <c r="W257" s="245"/>
      <c r="X257" s="5"/>
    </row>
    <row r="258" spans="1:24" ht="15.6" x14ac:dyDescent="0.3">
      <c r="A258" s="189"/>
      <c r="B258" s="247" t="s">
        <v>90</v>
      </c>
      <c r="C258" s="261"/>
      <c r="D258" s="261"/>
      <c r="E258" s="261"/>
      <c r="F258" s="248"/>
      <c r="G258" s="261"/>
      <c r="H258" s="261"/>
      <c r="I258" s="261"/>
      <c r="J258" s="261"/>
      <c r="K258" s="261"/>
      <c r="L258" s="261"/>
      <c r="M258" s="261"/>
      <c r="N258" s="261"/>
      <c r="O258" s="261"/>
      <c r="P258" s="261"/>
      <c r="Q258" s="261"/>
      <c r="R258" s="247">
        <v>97</v>
      </c>
      <c r="S258" s="250">
        <f t="shared" ref="S258:S265" si="7">R258/$R$267</f>
        <v>0.68794326241134751</v>
      </c>
      <c r="T258" s="251">
        <v>15937</v>
      </c>
      <c r="U258" s="250">
        <f t="shared" ref="U258:U265" si="8">T258/$T$267</f>
        <v>0.67043876992974638</v>
      </c>
      <c r="V258" s="190"/>
      <c r="W258" s="190"/>
      <c r="X258" s="5"/>
    </row>
    <row r="259" spans="1:24" ht="15.6" x14ac:dyDescent="0.3">
      <c r="A259" s="278"/>
      <c r="B259" s="329" t="s">
        <v>91</v>
      </c>
      <c r="C259" s="371"/>
      <c r="D259" s="371"/>
      <c r="E259" s="371"/>
      <c r="F259" s="279"/>
      <c r="G259" s="372"/>
      <c r="H259" s="371"/>
      <c r="I259" s="371"/>
      <c r="J259" s="371"/>
      <c r="K259" s="371"/>
      <c r="L259" s="371"/>
      <c r="M259" s="371"/>
      <c r="N259" s="371"/>
      <c r="O259" s="371"/>
      <c r="P259" s="371"/>
      <c r="Q259" s="371"/>
      <c r="R259" s="329">
        <v>7</v>
      </c>
      <c r="S259" s="372">
        <f t="shared" si="7"/>
        <v>4.9645390070921988E-2</v>
      </c>
      <c r="T259" s="330">
        <v>913</v>
      </c>
      <c r="U259" s="372">
        <f t="shared" si="8"/>
        <v>3.8408144377602961E-2</v>
      </c>
      <c r="V259" s="305"/>
      <c r="W259" s="310"/>
      <c r="X259" s="5"/>
    </row>
    <row r="260" spans="1:24" ht="15.6" x14ac:dyDescent="0.3">
      <c r="A260" s="278"/>
      <c r="B260" s="329" t="s">
        <v>92</v>
      </c>
      <c r="C260" s="371"/>
      <c r="D260" s="371"/>
      <c r="E260" s="371"/>
      <c r="F260" s="279"/>
      <c r="G260" s="372"/>
      <c r="H260" s="371"/>
      <c r="I260" s="371"/>
      <c r="J260" s="371"/>
      <c r="K260" s="371"/>
      <c r="L260" s="371"/>
      <c r="M260" s="371"/>
      <c r="N260" s="371"/>
      <c r="O260" s="371"/>
      <c r="P260" s="371"/>
      <c r="Q260" s="371"/>
      <c r="R260" s="329">
        <v>1</v>
      </c>
      <c r="S260" s="372">
        <f t="shared" si="7"/>
        <v>7.0921985815602835E-3</v>
      </c>
      <c r="T260" s="330">
        <v>250</v>
      </c>
      <c r="U260" s="372">
        <f t="shared" si="8"/>
        <v>1.0517016532749989E-2</v>
      </c>
      <c r="V260" s="305"/>
      <c r="W260" s="310"/>
      <c r="X260" s="5"/>
    </row>
    <row r="261" spans="1:24" ht="15.6" x14ac:dyDescent="0.3">
      <c r="A261" s="278"/>
      <c r="B261" s="329" t="s">
        <v>161</v>
      </c>
      <c r="C261" s="371"/>
      <c r="D261" s="371"/>
      <c r="E261" s="371"/>
      <c r="F261" s="279"/>
      <c r="G261" s="372"/>
      <c r="H261" s="371"/>
      <c r="I261" s="371"/>
      <c r="J261" s="371"/>
      <c r="K261" s="371"/>
      <c r="L261" s="371"/>
      <c r="M261" s="371"/>
      <c r="N261" s="371"/>
      <c r="O261" s="371"/>
      <c r="P261" s="371"/>
      <c r="Q261" s="371"/>
      <c r="R261" s="329">
        <v>2</v>
      </c>
      <c r="S261" s="372">
        <f t="shared" si="7"/>
        <v>1.4184397163120567E-2</v>
      </c>
      <c r="T261" s="330">
        <v>386</v>
      </c>
      <c r="U261" s="372">
        <f t="shared" si="8"/>
        <v>1.6238273526565983E-2</v>
      </c>
      <c r="V261" s="305"/>
      <c r="W261" s="310"/>
      <c r="X261" s="5"/>
    </row>
    <row r="262" spans="1:24" ht="15.6" x14ac:dyDescent="0.3">
      <c r="A262" s="278"/>
      <c r="B262" s="329" t="s">
        <v>162</v>
      </c>
      <c r="C262" s="371"/>
      <c r="D262" s="371"/>
      <c r="E262" s="371"/>
      <c r="F262" s="279"/>
      <c r="G262" s="372"/>
      <c r="H262" s="371"/>
      <c r="I262" s="371"/>
      <c r="J262" s="371"/>
      <c r="K262" s="371"/>
      <c r="L262" s="371"/>
      <c r="M262" s="371"/>
      <c r="N262" s="371"/>
      <c r="O262" s="371"/>
      <c r="P262" s="371"/>
      <c r="Q262" s="371"/>
      <c r="R262" s="329">
        <v>0</v>
      </c>
      <c r="S262" s="372">
        <f t="shared" si="7"/>
        <v>0</v>
      </c>
      <c r="T262" s="330">
        <v>0</v>
      </c>
      <c r="U262" s="372">
        <f t="shared" si="8"/>
        <v>0</v>
      </c>
      <c r="V262" s="305"/>
      <c r="W262" s="310"/>
      <c r="X262" s="5"/>
    </row>
    <row r="263" spans="1:24" ht="15.6" x14ac:dyDescent="0.3">
      <c r="A263" s="278"/>
      <c r="B263" s="329" t="s">
        <v>163</v>
      </c>
      <c r="C263" s="371"/>
      <c r="D263" s="371"/>
      <c r="E263" s="371"/>
      <c r="F263" s="279"/>
      <c r="G263" s="372"/>
      <c r="H263" s="371"/>
      <c r="I263" s="371"/>
      <c r="J263" s="371"/>
      <c r="K263" s="371"/>
      <c r="L263" s="371"/>
      <c r="M263" s="371"/>
      <c r="N263" s="371"/>
      <c r="O263" s="371"/>
      <c r="P263" s="371"/>
      <c r="Q263" s="371"/>
      <c r="R263" s="329">
        <v>2</v>
      </c>
      <c r="S263" s="372">
        <f t="shared" si="7"/>
        <v>1.4184397163120567E-2</v>
      </c>
      <c r="T263" s="330">
        <v>297</v>
      </c>
      <c r="U263" s="372">
        <f t="shared" si="8"/>
        <v>1.2494215640906987E-2</v>
      </c>
      <c r="V263" s="305"/>
      <c r="W263" s="310"/>
      <c r="X263" s="5"/>
    </row>
    <row r="264" spans="1:24" ht="15.6" x14ac:dyDescent="0.3">
      <c r="A264" s="278"/>
      <c r="B264" s="329" t="s">
        <v>164</v>
      </c>
      <c r="C264" s="371"/>
      <c r="D264" s="371"/>
      <c r="E264" s="371"/>
      <c r="F264" s="279"/>
      <c r="G264" s="372"/>
      <c r="H264" s="371"/>
      <c r="I264" s="371"/>
      <c r="J264" s="371"/>
      <c r="K264" s="371"/>
      <c r="L264" s="371"/>
      <c r="M264" s="371"/>
      <c r="N264" s="371"/>
      <c r="O264" s="371"/>
      <c r="P264" s="371"/>
      <c r="Q264" s="371"/>
      <c r="R264" s="329">
        <v>11</v>
      </c>
      <c r="S264" s="372">
        <f t="shared" si="7"/>
        <v>7.8014184397163122E-2</v>
      </c>
      <c r="T264" s="330">
        <v>1605</v>
      </c>
      <c r="U264" s="372">
        <f t="shared" si="8"/>
        <v>6.7519246140254938E-2</v>
      </c>
      <c r="V264" s="305"/>
      <c r="W264" s="310"/>
      <c r="X264" s="5"/>
    </row>
    <row r="265" spans="1:24" ht="15.6" x14ac:dyDescent="0.3">
      <c r="A265" s="278"/>
      <c r="B265" s="329" t="s">
        <v>165</v>
      </c>
      <c r="C265" s="371"/>
      <c r="D265" s="371"/>
      <c r="E265" s="371"/>
      <c r="F265" s="279"/>
      <c r="G265" s="372"/>
      <c r="H265" s="371"/>
      <c r="I265" s="371"/>
      <c r="J265" s="371"/>
      <c r="K265" s="371"/>
      <c r="L265" s="371"/>
      <c r="M265" s="371"/>
      <c r="N265" s="371"/>
      <c r="O265" s="371"/>
      <c r="P265" s="371"/>
      <c r="Q265" s="371"/>
      <c r="R265" s="329">
        <v>21</v>
      </c>
      <c r="S265" s="372">
        <f t="shared" si="7"/>
        <v>0.14893617021276595</v>
      </c>
      <c r="T265" s="330">
        <v>4383</v>
      </c>
      <c r="U265" s="372">
        <f t="shared" si="8"/>
        <v>0.18438433385217282</v>
      </c>
      <c r="V265" s="305"/>
      <c r="W265" s="310"/>
      <c r="X265" s="5"/>
    </row>
    <row r="266" spans="1:24" ht="15.6" x14ac:dyDescent="0.3">
      <c r="A266" s="278"/>
      <c r="B266" s="329"/>
      <c r="C266" s="371"/>
      <c r="D266" s="371"/>
      <c r="E266" s="371"/>
      <c r="F266" s="279"/>
      <c r="G266" s="372"/>
      <c r="H266" s="371"/>
      <c r="I266" s="371"/>
      <c r="J266" s="371"/>
      <c r="K266" s="371"/>
      <c r="L266" s="371"/>
      <c r="M266" s="371"/>
      <c r="N266" s="371"/>
      <c r="O266" s="371"/>
      <c r="P266" s="371"/>
      <c r="Q266" s="371"/>
      <c r="R266" s="329"/>
      <c r="S266" s="372"/>
      <c r="T266" s="330"/>
      <c r="U266" s="372"/>
      <c r="V266" s="305"/>
      <c r="W266" s="310"/>
      <c r="X266" s="5"/>
    </row>
    <row r="267" spans="1:24" ht="15.6" x14ac:dyDescent="0.3">
      <c r="A267" s="278"/>
      <c r="B267" s="279" t="s">
        <v>119</v>
      </c>
      <c r="C267" s="279"/>
      <c r="D267" s="279"/>
      <c r="E267" s="279"/>
      <c r="F267" s="279"/>
      <c r="G267" s="279"/>
      <c r="H267" s="373"/>
      <c r="I267" s="373"/>
      <c r="J267" s="373"/>
      <c r="K267" s="373"/>
      <c r="L267" s="373"/>
      <c r="M267" s="373"/>
      <c r="N267" s="373"/>
      <c r="O267" s="373"/>
      <c r="P267" s="373"/>
      <c r="Q267" s="373"/>
      <c r="R267" s="329">
        <f>SUM(R258:R266)</f>
        <v>141</v>
      </c>
      <c r="S267" s="372">
        <f>SUM(S258:S266)</f>
        <v>1</v>
      </c>
      <c r="T267" s="330">
        <f>SUM(T258:T266)</f>
        <v>23771</v>
      </c>
      <c r="U267" s="372">
        <f>SUM(U258:U266)</f>
        <v>1</v>
      </c>
      <c r="V267" s="305"/>
      <c r="W267" s="310"/>
      <c r="X267" s="5"/>
    </row>
    <row r="268" spans="1:24" ht="15.6" x14ac:dyDescent="0.3">
      <c r="A268" s="177"/>
      <c r="B268" s="275"/>
      <c r="C268" s="275"/>
      <c r="D268" s="275"/>
      <c r="E268" s="275"/>
      <c r="F268" s="275"/>
      <c r="G268" s="275"/>
      <c r="H268" s="368"/>
      <c r="I268" s="368"/>
      <c r="J268" s="368"/>
      <c r="K268" s="368"/>
      <c r="L268" s="368"/>
      <c r="M268" s="368"/>
      <c r="N268" s="368"/>
      <c r="O268" s="368"/>
      <c r="P268" s="368"/>
      <c r="Q268" s="368"/>
      <c r="R268" s="327"/>
      <c r="S268" s="369"/>
      <c r="T268" s="370"/>
      <c r="U268" s="369"/>
      <c r="V268" s="275"/>
      <c r="W268" s="275"/>
      <c r="X268" s="5"/>
    </row>
    <row r="269" spans="1:24" ht="15.6" x14ac:dyDescent="0.3">
      <c r="A269" s="243"/>
      <c r="B269" s="230" t="s">
        <v>169</v>
      </c>
      <c r="C269" s="244"/>
      <c r="D269" s="244"/>
      <c r="E269" s="244"/>
      <c r="F269" s="244"/>
      <c r="G269" s="244"/>
      <c r="H269" s="246"/>
      <c r="I269" s="246"/>
      <c r="J269" s="246"/>
      <c r="K269" s="246"/>
      <c r="L269" s="246"/>
      <c r="M269" s="246"/>
      <c r="N269" s="246"/>
      <c r="O269" s="246"/>
      <c r="P269" s="246"/>
      <c r="Q269" s="246"/>
      <c r="R269" s="242" t="s">
        <v>104</v>
      </c>
      <c r="S269" s="231" t="s">
        <v>105</v>
      </c>
      <c r="T269" s="242" t="s">
        <v>113</v>
      </c>
      <c r="U269" s="231" t="s">
        <v>105</v>
      </c>
      <c r="V269" s="244"/>
      <c r="W269" s="245"/>
      <c r="X269" s="5"/>
    </row>
    <row r="270" spans="1:24" ht="15.6" x14ac:dyDescent="0.3">
      <c r="A270" s="189"/>
      <c r="B270" s="247" t="s">
        <v>90</v>
      </c>
      <c r="C270" s="248"/>
      <c r="D270" s="248"/>
      <c r="E270" s="248"/>
      <c r="F270" s="248"/>
      <c r="G270" s="248"/>
      <c r="H270" s="249"/>
      <c r="I270" s="249"/>
      <c r="J270" s="249"/>
      <c r="K270" s="249"/>
      <c r="L270" s="249"/>
      <c r="M270" s="249"/>
      <c r="N270" s="249"/>
      <c r="O270" s="249"/>
      <c r="P270" s="249"/>
      <c r="Q270" s="249"/>
      <c r="R270" s="247">
        <v>0</v>
      </c>
      <c r="S270" s="250">
        <v>0</v>
      </c>
      <c r="T270" s="251">
        <v>0</v>
      </c>
      <c r="U270" s="250">
        <v>0</v>
      </c>
      <c r="V270" s="248"/>
      <c r="W270" s="190"/>
      <c r="X270" s="5"/>
    </row>
    <row r="271" spans="1:24" ht="15.6" x14ac:dyDescent="0.3">
      <c r="A271" s="278"/>
      <c r="B271" s="329" t="s">
        <v>91</v>
      </c>
      <c r="C271" s="279"/>
      <c r="D271" s="279"/>
      <c r="E271" s="279"/>
      <c r="F271" s="279"/>
      <c r="G271" s="279"/>
      <c r="H271" s="373"/>
      <c r="I271" s="373"/>
      <c r="J271" s="373"/>
      <c r="K271" s="373"/>
      <c r="L271" s="373"/>
      <c r="M271" s="373"/>
      <c r="N271" s="373"/>
      <c r="O271" s="373"/>
      <c r="P271" s="373"/>
      <c r="Q271" s="373"/>
      <c r="R271" s="329">
        <v>0</v>
      </c>
      <c r="S271" s="372">
        <v>0</v>
      </c>
      <c r="T271" s="330">
        <v>0</v>
      </c>
      <c r="U271" s="372">
        <v>0</v>
      </c>
      <c r="V271" s="279"/>
      <c r="W271" s="310"/>
      <c r="X271" s="5"/>
    </row>
    <row r="272" spans="1:24" ht="15.6" x14ac:dyDescent="0.3">
      <c r="A272" s="278"/>
      <c r="B272" s="329" t="s">
        <v>92</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161</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162</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163</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164</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165</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c r="C278" s="279"/>
      <c r="D278" s="279"/>
      <c r="E278" s="279"/>
      <c r="F278" s="279"/>
      <c r="G278" s="279"/>
      <c r="H278" s="373"/>
      <c r="I278" s="373"/>
      <c r="J278" s="373"/>
      <c r="K278" s="373"/>
      <c r="L278" s="373"/>
      <c r="M278" s="373"/>
      <c r="N278" s="373"/>
      <c r="O278" s="373"/>
      <c r="P278" s="373"/>
      <c r="Q278" s="373"/>
      <c r="R278" s="329"/>
      <c r="S278" s="372"/>
      <c r="T278" s="330"/>
      <c r="U278" s="372"/>
      <c r="V278" s="279"/>
      <c r="W278" s="310"/>
      <c r="X278" s="5"/>
    </row>
    <row r="279" spans="1:24" ht="15.6" x14ac:dyDescent="0.3">
      <c r="A279" s="278"/>
      <c r="B279" s="279" t="s">
        <v>119</v>
      </c>
      <c r="C279" s="279"/>
      <c r="D279" s="279"/>
      <c r="E279" s="279"/>
      <c r="F279" s="279"/>
      <c r="G279" s="279"/>
      <c r="H279" s="373"/>
      <c r="I279" s="373"/>
      <c r="J279" s="373"/>
      <c r="K279" s="373"/>
      <c r="L279" s="373"/>
      <c r="M279" s="373"/>
      <c r="N279" s="373"/>
      <c r="O279" s="373"/>
      <c r="P279" s="373"/>
      <c r="Q279" s="373"/>
      <c r="R279" s="329">
        <f>SUM(R270:R277)</f>
        <v>0</v>
      </c>
      <c r="S279" s="372">
        <f>SUM(S270:S278)</f>
        <v>0</v>
      </c>
      <c r="T279" s="330">
        <f>SUM(T270:T277)</f>
        <v>0</v>
      </c>
      <c r="U279" s="372">
        <f>SUM(U270:U278)</f>
        <v>0</v>
      </c>
      <c r="V279" s="279"/>
      <c r="W279" s="310"/>
      <c r="X279" s="5"/>
    </row>
    <row r="280" spans="1:24" ht="15.6" x14ac:dyDescent="0.3">
      <c r="A280" s="278"/>
      <c r="B280" s="279"/>
      <c r="C280" s="279"/>
      <c r="D280" s="279"/>
      <c r="E280" s="279"/>
      <c r="F280" s="279"/>
      <c r="G280" s="279"/>
      <c r="H280" s="373"/>
      <c r="I280" s="373"/>
      <c r="J280" s="373"/>
      <c r="K280" s="373"/>
      <c r="L280" s="373"/>
      <c r="M280" s="373"/>
      <c r="N280" s="373"/>
      <c r="O280" s="373"/>
      <c r="P280" s="373"/>
      <c r="Q280" s="373"/>
      <c r="R280" s="329"/>
      <c r="S280" s="372"/>
      <c r="T280" s="330"/>
      <c r="U280" s="372"/>
      <c r="V280" s="279"/>
      <c r="W280" s="310"/>
      <c r="X280" s="5"/>
    </row>
    <row r="281" spans="1:24" ht="15.6" x14ac:dyDescent="0.3">
      <c r="A281" s="278"/>
      <c r="B281" s="288" t="s">
        <v>170</v>
      </c>
      <c r="C281" s="279"/>
      <c r="D281" s="279"/>
      <c r="E281" s="279"/>
      <c r="F281" s="279"/>
      <c r="G281" s="279"/>
      <c r="H281" s="373"/>
      <c r="I281" s="373"/>
      <c r="J281" s="373"/>
      <c r="K281" s="373"/>
      <c r="L281" s="373"/>
      <c r="M281" s="373"/>
      <c r="N281" s="373"/>
      <c r="O281" s="373"/>
      <c r="P281" s="373"/>
      <c r="Q281" s="373"/>
      <c r="R281" s="376">
        <f>R279+R267+R255</f>
        <v>7598</v>
      </c>
      <c r="S281" s="372"/>
      <c r="T281" s="377">
        <f>+T279+T267+T255</f>
        <v>1023583</v>
      </c>
      <c r="U281" s="372"/>
      <c r="V281" s="279"/>
      <c r="W281" s="310"/>
      <c r="X281" s="5"/>
    </row>
    <row r="282" spans="1:24" ht="15.6" x14ac:dyDescent="0.3">
      <c r="A282" s="177"/>
      <c r="B282" s="340"/>
      <c r="C282" s="340"/>
      <c r="D282" s="340"/>
      <c r="E282" s="340"/>
      <c r="F282" s="340"/>
      <c r="G282" s="340"/>
      <c r="H282" s="374"/>
      <c r="I282" s="374"/>
      <c r="J282" s="374"/>
      <c r="K282" s="374"/>
      <c r="L282" s="374"/>
      <c r="M282" s="374"/>
      <c r="N282" s="374"/>
      <c r="O282" s="374"/>
      <c r="P282" s="374"/>
      <c r="Q282" s="374"/>
      <c r="R282" s="374"/>
      <c r="S282" s="374"/>
      <c r="T282" s="375"/>
      <c r="U282" s="374"/>
      <c r="V282" s="340"/>
      <c r="W282" s="275"/>
      <c r="X282" s="5"/>
    </row>
    <row r="283" spans="1:24" ht="15.6" x14ac:dyDescent="0.3">
      <c r="A283" s="177"/>
      <c r="B283" s="252"/>
      <c r="C283" s="252"/>
      <c r="D283" s="252"/>
      <c r="E283" s="252"/>
      <c r="F283" s="252"/>
      <c r="G283" s="252"/>
      <c r="H283" s="253"/>
      <c r="I283" s="253"/>
      <c r="J283" s="253"/>
      <c r="K283" s="253"/>
      <c r="L283" s="253"/>
      <c r="M283" s="253"/>
      <c r="N283" s="253"/>
      <c r="O283" s="253"/>
      <c r="P283" s="253"/>
      <c r="Q283" s="253"/>
      <c r="R283" s="253"/>
      <c r="S283" s="253"/>
      <c r="T283" s="254"/>
      <c r="U283" s="253"/>
      <c r="V283" s="252"/>
      <c r="W283" s="179"/>
      <c r="X283" s="5"/>
    </row>
    <row r="284" spans="1:24" ht="15.6" x14ac:dyDescent="0.3">
      <c r="A284" s="222"/>
      <c r="B284" s="255" t="s">
        <v>93</v>
      </c>
      <c r="C284" s="252"/>
      <c r="D284" s="252"/>
      <c r="E284" s="252"/>
      <c r="F284" s="256" t="s">
        <v>99</v>
      </c>
      <c r="G284" s="252"/>
      <c r="H284" s="255" t="s">
        <v>101</v>
      </c>
      <c r="I284" s="257"/>
      <c r="J284" s="257"/>
      <c r="K284" s="257"/>
      <c r="L284" s="257"/>
      <c r="M284" s="257"/>
      <c r="N284" s="257"/>
      <c r="O284" s="257"/>
      <c r="P284" s="257"/>
      <c r="Q284" s="257"/>
      <c r="R284" s="257"/>
      <c r="S284" s="257"/>
      <c r="T284" s="257"/>
      <c r="U284" s="257"/>
      <c r="V284" s="257"/>
      <c r="W284" s="187"/>
      <c r="X284" s="5"/>
    </row>
    <row r="285" spans="1:24" ht="15.6" x14ac:dyDescent="0.3">
      <c r="A285" s="222"/>
      <c r="B285" s="257"/>
      <c r="C285" s="252"/>
      <c r="D285" s="252"/>
      <c r="E285" s="252"/>
      <c r="F285" s="252"/>
      <c r="G285" s="252"/>
      <c r="H285" s="252"/>
      <c r="I285" s="257"/>
      <c r="J285" s="257"/>
      <c r="K285" s="257"/>
      <c r="L285" s="257"/>
      <c r="M285" s="257"/>
      <c r="N285" s="257"/>
      <c r="O285" s="257"/>
      <c r="P285" s="257"/>
      <c r="Q285" s="257"/>
      <c r="R285" s="257"/>
      <c r="S285" s="257"/>
      <c r="T285" s="257"/>
      <c r="U285" s="257"/>
      <c r="V285" s="257"/>
      <c r="W285" s="187"/>
      <c r="X285" s="5"/>
    </row>
    <row r="286" spans="1:24" ht="15.6" x14ac:dyDescent="0.3">
      <c r="A286" s="222"/>
      <c r="B286" s="255" t="s">
        <v>94</v>
      </c>
      <c r="C286" s="255"/>
      <c r="D286" s="255"/>
      <c r="E286" s="255"/>
      <c r="F286" s="258" t="s">
        <v>153</v>
      </c>
      <c r="G286" s="255"/>
      <c r="H286" s="255" t="s">
        <v>157</v>
      </c>
      <c r="I286" s="257"/>
      <c r="J286" s="257"/>
      <c r="K286" s="257"/>
      <c r="L286" s="257"/>
      <c r="M286" s="257"/>
      <c r="N286" s="257"/>
      <c r="O286" s="257"/>
      <c r="P286" s="257"/>
      <c r="Q286" s="257"/>
      <c r="R286" s="257"/>
      <c r="S286" s="257"/>
      <c r="T286" s="257"/>
      <c r="U286" s="257"/>
      <c r="V286" s="257"/>
      <c r="W286" s="187"/>
      <c r="X286" s="5"/>
    </row>
    <row r="287" spans="1:24" ht="15.6" x14ac:dyDescent="0.3">
      <c r="A287" s="222"/>
      <c r="B287" s="255" t="s">
        <v>277</v>
      </c>
      <c r="C287" s="255"/>
      <c r="D287" s="255"/>
      <c r="E287" s="255"/>
      <c r="F287" s="258" t="s">
        <v>278</v>
      </c>
      <c r="G287" s="255"/>
      <c r="H287" s="255" t="s">
        <v>279</v>
      </c>
      <c r="I287" s="257"/>
      <c r="J287" s="257"/>
      <c r="K287" s="257"/>
      <c r="L287" s="257"/>
      <c r="M287" s="257"/>
      <c r="N287" s="257"/>
      <c r="O287" s="257"/>
      <c r="P287" s="257"/>
      <c r="Q287" s="257"/>
      <c r="R287" s="257"/>
      <c r="S287" s="257"/>
      <c r="T287" s="257"/>
      <c r="U287" s="257"/>
      <c r="V287" s="257"/>
      <c r="W287" s="187"/>
      <c r="X287" s="5"/>
    </row>
    <row r="288" spans="1:24" ht="15.6" x14ac:dyDescent="0.3">
      <c r="A288" s="222"/>
      <c r="B288" s="255" t="s">
        <v>95</v>
      </c>
      <c r="C288" s="255"/>
      <c r="D288" s="255"/>
      <c r="E288" s="255"/>
      <c r="F288" s="258" t="s">
        <v>152</v>
      </c>
      <c r="G288" s="255"/>
      <c r="H288" s="255" t="s">
        <v>158</v>
      </c>
      <c r="I288" s="257"/>
      <c r="J288" s="257"/>
      <c r="K288" s="257"/>
      <c r="L288" s="257"/>
      <c r="M288" s="257"/>
      <c r="N288" s="257"/>
      <c r="O288" s="257"/>
      <c r="P288" s="257"/>
      <c r="Q288" s="257"/>
      <c r="R288" s="257"/>
      <c r="S288" s="257"/>
      <c r="T288" s="257"/>
      <c r="U288" s="257"/>
      <c r="V288" s="257"/>
      <c r="W288" s="187"/>
      <c r="X288" s="5"/>
    </row>
    <row r="289" spans="1:24" ht="15.6" x14ac:dyDescent="0.3">
      <c r="A289" s="222"/>
      <c r="B289" s="255"/>
      <c r="C289" s="255"/>
      <c r="D289" s="255"/>
      <c r="E289" s="255"/>
      <c r="F289" s="255"/>
      <c r="G289" s="259"/>
      <c r="H289" s="257"/>
      <c r="I289" s="257"/>
      <c r="J289" s="257"/>
      <c r="K289" s="257"/>
      <c r="L289" s="257"/>
      <c r="M289" s="257"/>
      <c r="N289" s="257"/>
      <c r="O289" s="257"/>
      <c r="P289" s="257"/>
      <c r="Q289" s="257"/>
      <c r="R289" s="257"/>
      <c r="S289" s="257"/>
      <c r="T289" s="257"/>
      <c r="U289" s="257"/>
      <c r="V289" s="257"/>
      <c r="W289" s="187"/>
      <c r="X289" s="5"/>
    </row>
    <row r="290" spans="1:24" ht="18" thickBot="1" x14ac:dyDescent="0.35">
      <c r="A290" s="222"/>
      <c r="B290" s="260" t="str">
        <f>B195</f>
        <v>PM12 INVESTOR REPORT QUARTER ENDING OCTOBER 2010</v>
      </c>
      <c r="C290" s="255"/>
      <c r="D290" s="255"/>
      <c r="E290" s="255"/>
      <c r="F290" s="255"/>
      <c r="G290" s="259"/>
      <c r="H290" s="257"/>
      <c r="I290" s="257"/>
      <c r="J290" s="257"/>
      <c r="K290" s="257"/>
      <c r="L290" s="257"/>
      <c r="M290" s="257"/>
      <c r="N290" s="257"/>
      <c r="O290" s="257"/>
      <c r="P290" s="257"/>
      <c r="Q290" s="257"/>
      <c r="R290" s="257"/>
      <c r="S290" s="257"/>
      <c r="T290" s="257"/>
      <c r="U290" s="257"/>
      <c r="V290" s="257"/>
      <c r="W290" s="187"/>
      <c r="X290" s="5"/>
    </row>
    <row r="291" spans="1:24" x14ac:dyDescent="0.2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row>
  </sheetData>
  <phoneticPr fontId="0" type="noConversion"/>
  <hyperlinks>
    <hyperlink ref="P231" r:id="rId1" xr:uid="{00000000-0004-0000-1000-000000000000}"/>
    <hyperlink ref="I9" r:id="rId2" xr:uid="{00000000-0004-0000-10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195" max="14" man="1"/>
  </rowBreak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2D2926"/>
  </sheetPr>
  <dimension ref="A1:Y291"/>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255"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255"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255" t="s">
        <v>2</v>
      </c>
      <c r="C15" s="252"/>
      <c r="D15" s="252"/>
      <c r="E15" s="252"/>
      <c r="F15" s="252"/>
      <c r="G15" s="252"/>
      <c r="H15" s="268"/>
      <c r="I15" s="268"/>
      <c r="J15" s="268"/>
      <c r="K15" s="268"/>
      <c r="L15" s="268"/>
      <c r="M15" s="268"/>
      <c r="N15" s="268"/>
      <c r="O15" s="268"/>
      <c r="P15" s="268"/>
      <c r="Q15" s="268"/>
      <c r="R15" s="268" t="s">
        <v>106</v>
      </c>
      <c r="S15" s="269">
        <v>0.6</v>
      </c>
      <c r="T15" s="256" t="s">
        <v>145</v>
      </c>
      <c r="U15" s="269">
        <v>0.4</v>
      </c>
      <c r="V15" s="267"/>
      <c r="W15" s="252"/>
      <c r="X15" s="5"/>
    </row>
    <row r="16" spans="1:24" ht="15.6" x14ac:dyDescent="0.3">
      <c r="A16" s="177"/>
      <c r="B16" s="255" t="s">
        <v>3</v>
      </c>
      <c r="C16" s="252"/>
      <c r="D16" s="252"/>
      <c r="E16" s="252"/>
      <c r="F16" s="252"/>
      <c r="G16" s="252"/>
      <c r="H16" s="268"/>
      <c r="I16" s="268"/>
      <c r="J16" s="268"/>
      <c r="K16" s="268"/>
      <c r="L16" s="268"/>
      <c r="M16" s="268"/>
      <c r="N16" s="268"/>
      <c r="O16" s="268"/>
      <c r="P16" s="268"/>
      <c r="Q16" s="268"/>
      <c r="R16" s="268" t="s">
        <v>106</v>
      </c>
      <c r="S16" s="269">
        <v>0.64380000000000004</v>
      </c>
      <c r="T16" s="256" t="s">
        <v>145</v>
      </c>
      <c r="U16" s="269">
        <v>0.35620000000000002</v>
      </c>
      <c r="V16" s="267"/>
      <c r="W16" s="252"/>
      <c r="X16" s="5"/>
    </row>
    <row r="17" spans="1:25" ht="15.6" x14ac:dyDescent="0.3">
      <c r="A17" s="177"/>
      <c r="B17" s="255" t="s">
        <v>4</v>
      </c>
      <c r="C17" s="252"/>
      <c r="D17" s="252"/>
      <c r="E17" s="252"/>
      <c r="F17" s="252"/>
      <c r="G17" s="252"/>
      <c r="H17" s="252"/>
      <c r="I17" s="252"/>
      <c r="J17" s="252"/>
      <c r="K17" s="252"/>
      <c r="L17" s="252"/>
      <c r="M17" s="252"/>
      <c r="N17" s="252"/>
      <c r="O17" s="252"/>
      <c r="P17" s="252"/>
      <c r="Q17" s="252"/>
      <c r="R17" s="252"/>
      <c r="S17" s="252"/>
      <c r="T17" s="252"/>
      <c r="U17" s="252"/>
      <c r="V17" s="270">
        <v>38918</v>
      </c>
      <c r="W17" s="252"/>
      <c r="X17" s="5"/>
    </row>
    <row r="18" spans="1:25" ht="15.6" x14ac:dyDescent="0.3">
      <c r="A18" s="177"/>
      <c r="B18" s="255" t="s">
        <v>5</v>
      </c>
      <c r="C18" s="252"/>
      <c r="D18" s="252"/>
      <c r="E18" s="252"/>
      <c r="F18" s="252"/>
      <c r="G18" s="252"/>
      <c r="H18" s="252"/>
      <c r="I18" s="252"/>
      <c r="J18" s="252"/>
      <c r="K18" s="252"/>
      <c r="L18" s="252"/>
      <c r="M18" s="252"/>
      <c r="N18" s="252"/>
      <c r="O18" s="252"/>
      <c r="P18" s="252"/>
      <c r="Q18" s="252"/>
      <c r="R18" s="252"/>
      <c r="S18" s="252"/>
      <c r="T18" s="252"/>
      <c r="U18" s="252"/>
      <c r="V18" s="270">
        <v>40595</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6"/>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84"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6"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6" t="s">
        <v>197</v>
      </c>
      <c r="C27" s="280"/>
      <c r="D27" s="285" t="s">
        <v>220</v>
      </c>
      <c r="E27" s="285"/>
      <c r="F27" s="285" t="s">
        <v>148</v>
      </c>
      <c r="G27" s="285"/>
      <c r="H27" s="285" t="s">
        <v>148</v>
      </c>
      <c r="I27" s="285"/>
      <c r="J27" s="285" t="s">
        <v>148</v>
      </c>
      <c r="K27" s="285"/>
      <c r="L27" s="285" t="s">
        <v>171</v>
      </c>
      <c r="M27" s="285"/>
      <c r="N27" s="285" t="s">
        <v>171</v>
      </c>
      <c r="O27" s="285"/>
      <c r="P27" s="285" t="s">
        <v>149</v>
      </c>
      <c r="Q27" s="285"/>
      <c r="R27" s="285" t="s">
        <v>149</v>
      </c>
      <c r="S27" s="280"/>
      <c r="T27" s="287"/>
      <c r="U27" s="281"/>
      <c r="V27" s="281"/>
      <c r="W27" s="282"/>
      <c r="X27" s="5"/>
    </row>
    <row r="28" spans="1:25" ht="15.6" x14ac:dyDescent="0.3">
      <c r="A28" s="278"/>
      <c r="B28" s="288" t="s">
        <v>198</v>
      </c>
      <c r="C28" s="280"/>
      <c r="D28" s="285" t="s">
        <v>221</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293"/>
      <c r="D31" s="294">
        <v>1500000</v>
      </c>
      <c r="E31" s="289"/>
      <c r="F31" s="290">
        <v>145000</v>
      </c>
      <c r="G31" s="290"/>
      <c r="H31" s="295">
        <v>245000</v>
      </c>
      <c r="I31" s="295"/>
      <c r="J31" s="294">
        <v>311000</v>
      </c>
      <c r="K31" s="290"/>
      <c r="L31" s="290">
        <v>25000</v>
      </c>
      <c r="M31" s="290"/>
      <c r="N31" s="295">
        <v>126000</v>
      </c>
      <c r="O31" s="290"/>
      <c r="P31" s="290">
        <v>17000</v>
      </c>
      <c r="Q31" s="290"/>
      <c r="R31" s="295">
        <v>106000</v>
      </c>
      <c r="S31" s="296"/>
      <c r="T31" s="296"/>
      <c r="U31" s="297"/>
      <c r="V31" s="296"/>
      <c r="W31" s="292"/>
      <c r="X31" s="5"/>
    </row>
    <row r="32" spans="1:25" ht="15.6" x14ac:dyDescent="0.3">
      <c r="A32" s="278"/>
      <c r="B32" s="279" t="s">
        <v>137</v>
      </c>
      <c r="C32" s="289"/>
      <c r="D32" s="294">
        <f>D31*D38</f>
        <v>949290.9</v>
      </c>
      <c r="E32" s="289"/>
      <c r="F32" s="290">
        <f>F31*F38</f>
        <v>91764.903000000006</v>
      </c>
      <c r="G32" s="290"/>
      <c r="H32" s="295">
        <f>H31*H38</f>
        <v>155051.04300000001</v>
      </c>
      <c r="I32" s="295"/>
      <c r="J32" s="294">
        <f>J31*J38</f>
        <v>196819.64660000001</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6" t="s">
        <v>139</v>
      </c>
      <c r="C33" s="289"/>
      <c r="D33" s="298">
        <f>D37*D31</f>
        <v>939954.6</v>
      </c>
      <c r="E33" s="293"/>
      <c r="F33" s="296">
        <f>F37*F31</f>
        <v>90862.394</v>
      </c>
      <c r="G33" s="296"/>
      <c r="H33" s="299">
        <f>H31*H37</f>
        <v>153526.114</v>
      </c>
      <c r="I33" s="299"/>
      <c r="J33" s="298">
        <f>J37*J31</f>
        <v>194883.9204</v>
      </c>
      <c r="K33" s="296"/>
      <c r="L33" s="296">
        <f>L31*L37</f>
        <v>25000</v>
      </c>
      <c r="M33" s="296"/>
      <c r="N33" s="299">
        <f>N31*N37</f>
        <v>126000</v>
      </c>
      <c r="O33" s="296"/>
      <c r="P33" s="296">
        <f>P31*P37</f>
        <v>17000</v>
      </c>
      <c r="Q33" s="296"/>
      <c r="R33" s="299">
        <f>R31*R37</f>
        <v>106000</v>
      </c>
      <c r="S33" s="290"/>
      <c r="T33" s="290"/>
      <c r="U33" s="291"/>
      <c r="V33" s="290"/>
      <c r="W33" s="292"/>
      <c r="X33" s="5"/>
    </row>
    <row r="34" spans="1:24" ht="15.6" x14ac:dyDescent="0.3">
      <c r="A34" s="283"/>
      <c r="B34" s="279" t="s">
        <v>293</v>
      </c>
      <c r="C34" s="293"/>
      <c r="D34" s="290">
        <v>815217</v>
      </c>
      <c r="E34" s="289"/>
      <c r="F34" s="290">
        <v>145000</v>
      </c>
      <c r="G34" s="290"/>
      <c r="H34" s="290">
        <v>168966</v>
      </c>
      <c r="I34" s="290"/>
      <c r="J34" s="290">
        <v>169022</v>
      </c>
      <c r="K34" s="290"/>
      <c r="L34" s="290">
        <v>25000</v>
      </c>
      <c r="M34" s="290"/>
      <c r="N34" s="290">
        <v>86897</v>
      </c>
      <c r="O34" s="290"/>
      <c r="P34" s="290">
        <v>17000</v>
      </c>
      <c r="Q34" s="290"/>
      <c r="R34" s="290">
        <v>73103</v>
      </c>
      <c r="S34" s="296"/>
      <c r="T34" s="296"/>
      <c r="U34" s="297"/>
      <c r="V34" s="300">
        <f>SUM(C34:R34)</f>
        <v>1500205</v>
      </c>
      <c r="W34" s="292"/>
      <c r="X34" s="5"/>
    </row>
    <row r="35" spans="1:24" ht="15.6" x14ac:dyDescent="0.3">
      <c r="A35" s="283"/>
      <c r="B35" s="279" t="s">
        <v>294</v>
      </c>
      <c r="C35" s="301"/>
      <c r="D35" s="290">
        <f>D34*D38</f>
        <v>515918.71975019999</v>
      </c>
      <c r="E35" s="289"/>
      <c r="F35" s="290">
        <f>F34*F38</f>
        <v>91764.903000000006</v>
      </c>
      <c r="G35" s="290"/>
      <c r="H35" s="290">
        <f>H34*H38</f>
        <v>106932.0593124</v>
      </c>
      <c r="I35" s="290"/>
      <c r="J35" s="290">
        <f>J34*J38</f>
        <v>106967.36433319999</v>
      </c>
      <c r="K35" s="290"/>
      <c r="L35" s="290">
        <f>+L34</f>
        <v>25000</v>
      </c>
      <c r="M35" s="290"/>
      <c r="N35" s="290">
        <f>+N34</f>
        <v>86897</v>
      </c>
      <c r="O35" s="290"/>
      <c r="P35" s="290">
        <f>+P34</f>
        <v>17000</v>
      </c>
      <c r="Q35" s="290"/>
      <c r="R35" s="290">
        <f>+R34</f>
        <v>73103</v>
      </c>
      <c r="S35" s="290"/>
      <c r="T35" s="290"/>
      <c r="U35" s="291"/>
      <c r="V35" s="300">
        <f>SUM(C35:R35)</f>
        <v>1023583.0463958001</v>
      </c>
      <c r="W35" s="292"/>
      <c r="X35" s="5"/>
    </row>
    <row r="36" spans="1:24" ht="15.6" x14ac:dyDescent="0.3">
      <c r="A36" s="283"/>
      <c r="B36" s="286" t="s">
        <v>295</v>
      </c>
      <c r="C36" s="301"/>
      <c r="D36" s="296">
        <f>D34*D37</f>
        <v>510844.6460988</v>
      </c>
      <c r="E36" s="293"/>
      <c r="F36" s="296">
        <f>F34*F37</f>
        <v>90862.394</v>
      </c>
      <c r="G36" s="296"/>
      <c r="H36" s="296">
        <f>H34*H37</f>
        <v>105880.3811352</v>
      </c>
      <c r="I36" s="296"/>
      <c r="J36" s="296">
        <f>J34*J37</f>
        <v>105915.33760079999</v>
      </c>
      <c r="K36" s="296"/>
      <c r="L36" s="296">
        <f>+L34</f>
        <v>25000</v>
      </c>
      <c r="M36" s="296"/>
      <c r="N36" s="296">
        <f>+N34</f>
        <v>86897</v>
      </c>
      <c r="O36" s="296"/>
      <c r="P36" s="296">
        <f>+P34</f>
        <v>17000</v>
      </c>
      <c r="Q36" s="296"/>
      <c r="R36" s="296">
        <f>+R34</f>
        <v>73103</v>
      </c>
      <c r="S36" s="302"/>
      <c r="T36" s="302"/>
      <c r="U36" s="291"/>
      <c r="V36" s="303">
        <f>SUM(C36:R36)</f>
        <v>1015502.7588348</v>
      </c>
      <c r="W36" s="292"/>
      <c r="X36" s="5"/>
    </row>
    <row r="37" spans="1:24" ht="15.6" x14ac:dyDescent="0.3">
      <c r="A37" s="278"/>
      <c r="B37" s="304" t="s">
        <v>135</v>
      </c>
      <c r="C37" s="305"/>
      <c r="D37" s="306">
        <v>0.62663639999999998</v>
      </c>
      <c r="E37" s="307"/>
      <c r="F37" s="306">
        <v>0.62663720000000001</v>
      </c>
      <c r="G37" s="306"/>
      <c r="H37" s="306">
        <v>0.62663720000000001</v>
      </c>
      <c r="I37" s="306"/>
      <c r="J37" s="306">
        <v>0.62663639999999998</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0.6328606</v>
      </c>
      <c r="E38" s="307"/>
      <c r="F38" s="306">
        <v>0.63286140000000002</v>
      </c>
      <c r="G38" s="306"/>
      <c r="H38" s="306">
        <v>0.63286140000000002</v>
      </c>
      <c r="I38" s="306"/>
      <c r="J38" s="306">
        <v>0.6328606</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235</v>
      </c>
      <c r="E39" s="279"/>
      <c r="F39" s="287" t="s">
        <v>235</v>
      </c>
      <c r="G39" s="287"/>
      <c r="H39" s="287" t="s">
        <v>235</v>
      </c>
      <c r="I39" s="287"/>
      <c r="J39" s="287" t="s">
        <v>236</v>
      </c>
      <c r="K39" s="287"/>
      <c r="L39" s="287" t="s">
        <v>237</v>
      </c>
      <c r="M39" s="287"/>
      <c r="N39" s="287" t="s">
        <v>237</v>
      </c>
      <c r="O39" s="287"/>
      <c r="P39" s="287" t="s">
        <v>238</v>
      </c>
      <c r="Q39" s="287"/>
      <c r="R39" s="287" t="s">
        <v>238</v>
      </c>
      <c r="S39" s="313"/>
      <c r="T39" s="314"/>
      <c r="U39" s="281"/>
      <c r="V39" s="281"/>
      <c r="W39" s="282"/>
      <c r="X39" s="5"/>
    </row>
    <row r="40" spans="1:24" ht="15.6" x14ac:dyDescent="0.3">
      <c r="A40" s="278"/>
      <c r="B40" s="279" t="s">
        <v>12</v>
      </c>
      <c r="C40" s="279"/>
      <c r="D40" s="314">
        <v>3.8124999999999999E-3</v>
      </c>
      <c r="E40" s="279"/>
      <c r="F40" s="314">
        <v>8.5749999999999993E-3</v>
      </c>
      <c r="G40" s="313"/>
      <c r="H40" s="314">
        <v>1.17E-2</v>
      </c>
      <c r="I40" s="314"/>
      <c r="J40" s="314">
        <v>3.9563000000000003E-3</v>
      </c>
      <c r="K40" s="313"/>
      <c r="L40" s="314">
        <v>9.7750000000000007E-3</v>
      </c>
      <c r="M40" s="313"/>
      <c r="N40" s="314">
        <v>1.29E-2</v>
      </c>
      <c r="O40" s="313"/>
      <c r="P40" s="314">
        <v>1.1975E-2</v>
      </c>
      <c r="Q40" s="313"/>
      <c r="R40" s="314">
        <v>1.5100000000000001E-2</v>
      </c>
      <c r="S40" s="313"/>
      <c r="T40" s="314"/>
      <c r="U40" s="281"/>
      <c r="V40" s="287"/>
      <c r="W40" s="282"/>
      <c r="X40" s="5"/>
    </row>
    <row r="41" spans="1:24" ht="15.6" x14ac:dyDescent="0.3">
      <c r="A41" s="278"/>
      <c r="B41" s="279" t="s">
        <v>13</v>
      </c>
      <c r="C41" s="279"/>
      <c r="D41" s="314">
        <v>3.7624999999999998E-3</v>
      </c>
      <c r="E41" s="279"/>
      <c r="F41" s="314">
        <v>8.5000000000000006E-3</v>
      </c>
      <c r="G41" s="313"/>
      <c r="H41" s="314">
        <v>1.0189999999999999E-2</v>
      </c>
      <c r="I41" s="314"/>
      <c r="J41" s="314">
        <v>4.8624999999999996E-3</v>
      </c>
      <c r="K41" s="313"/>
      <c r="L41" s="314">
        <v>9.7000000000000003E-3</v>
      </c>
      <c r="M41" s="313"/>
      <c r="N41" s="314">
        <v>1.1390000000000001E-2</v>
      </c>
      <c r="O41" s="313"/>
      <c r="P41" s="314">
        <v>1.1900000000000001E-2</v>
      </c>
      <c r="Q41" s="313"/>
      <c r="R41" s="314">
        <v>1.359E-2</v>
      </c>
      <c r="S41" s="313"/>
      <c r="T41" s="314"/>
      <c r="U41" s="281"/>
      <c r="V41" s="313" t="s">
        <v>199</v>
      </c>
      <c r="W41" s="282"/>
      <c r="X41" s="5"/>
    </row>
    <row r="42" spans="1:24" ht="15.6" x14ac:dyDescent="0.3">
      <c r="A42" s="278"/>
      <c r="B42" s="279" t="s">
        <v>296</v>
      </c>
      <c r="C42" s="279"/>
      <c r="D42" s="287" t="s">
        <v>286</v>
      </c>
      <c r="E42" s="279"/>
      <c r="F42" s="287" t="s">
        <v>235</v>
      </c>
      <c r="G42" s="287"/>
      <c r="H42" s="287" t="s">
        <v>267</v>
      </c>
      <c r="I42" s="287"/>
      <c r="J42" s="287" t="s">
        <v>266</v>
      </c>
      <c r="K42" s="287"/>
      <c r="L42" s="287" t="s">
        <v>237</v>
      </c>
      <c r="M42" s="287"/>
      <c r="N42" s="287" t="s">
        <v>265</v>
      </c>
      <c r="O42" s="287"/>
      <c r="P42" s="287" t="s">
        <v>238</v>
      </c>
      <c r="Q42" s="287"/>
      <c r="R42" s="287" t="s">
        <v>240</v>
      </c>
      <c r="S42" s="313"/>
      <c r="T42" s="314"/>
      <c r="U42" s="281"/>
      <c r="V42" s="281"/>
      <c r="W42" s="282"/>
      <c r="X42" s="5"/>
    </row>
    <row r="43" spans="1:24" ht="15.6" x14ac:dyDescent="0.3">
      <c r="A43" s="278"/>
      <c r="B43" s="279" t="s">
        <v>297</v>
      </c>
      <c r="C43" s="315"/>
      <c r="D43" s="314">
        <v>8.7782999999999993E-3</v>
      </c>
      <c r="E43" s="314"/>
      <c r="F43" s="314">
        <f>+F40</f>
        <v>8.5749999999999993E-3</v>
      </c>
      <c r="G43" s="314"/>
      <c r="H43" s="314">
        <v>8.5360000000000002E-3</v>
      </c>
      <c r="I43" s="314"/>
      <c r="J43" s="314">
        <v>8.6569999999999998E-3</v>
      </c>
      <c r="K43" s="314"/>
      <c r="L43" s="314">
        <f>+L40</f>
        <v>9.7750000000000007E-3</v>
      </c>
      <c r="M43" s="314"/>
      <c r="N43" s="314">
        <v>9.8759999999999994E-3</v>
      </c>
      <c r="O43" s="314"/>
      <c r="P43" s="314">
        <f>+P40</f>
        <v>1.1975E-2</v>
      </c>
      <c r="Q43" s="313"/>
      <c r="R43" s="314">
        <v>1.2211E-2</v>
      </c>
      <c r="S43" s="287"/>
      <c r="T43" s="287"/>
      <c r="U43" s="281"/>
      <c r="V43" s="313">
        <f>SUMPRODUCT(D43:R43,D35:R35)/V35</f>
        <v>9.1378685980253831E-3</v>
      </c>
      <c r="W43" s="282"/>
      <c r="X43" s="5"/>
    </row>
    <row r="44" spans="1:24" ht="15.6" x14ac:dyDescent="0.3">
      <c r="A44" s="278"/>
      <c r="B44" s="279" t="s">
        <v>298</v>
      </c>
      <c r="C44" s="315"/>
      <c r="D44" s="314">
        <v>8.7033000000000006E-3</v>
      </c>
      <c r="E44" s="314"/>
      <c r="F44" s="314">
        <f>+F41</f>
        <v>8.5000000000000006E-3</v>
      </c>
      <c r="G44" s="314"/>
      <c r="H44" s="314">
        <v>8.4609999999999998E-3</v>
      </c>
      <c r="I44" s="314"/>
      <c r="J44" s="314">
        <v>8.5819999999999994E-3</v>
      </c>
      <c r="K44" s="314"/>
      <c r="L44" s="314">
        <f>+L41</f>
        <v>9.7000000000000003E-3</v>
      </c>
      <c r="M44" s="314"/>
      <c r="N44" s="314">
        <v>9.8010000000000007E-3</v>
      </c>
      <c r="O44" s="314"/>
      <c r="P44" s="314">
        <f>+P41</f>
        <v>1.1900000000000001E-2</v>
      </c>
      <c r="Q44" s="313"/>
      <c r="R44" s="314">
        <v>1.2135999999999999E-2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40770</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316" t="s">
        <v>123</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206</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0.2483089304937694</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20"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21" t="s">
        <v>116</v>
      </c>
      <c r="W55" s="282"/>
      <c r="X55" s="5"/>
    </row>
    <row r="56" spans="1:25" ht="15.6" x14ac:dyDescent="0.3">
      <c r="A56" s="278"/>
      <c r="B56" s="286" t="s">
        <v>207</v>
      </c>
      <c r="C56" s="286"/>
      <c r="D56" s="286"/>
      <c r="E56" s="286"/>
      <c r="F56" s="286"/>
      <c r="G56" s="286"/>
      <c r="H56" s="286"/>
      <c r="I56" s="286"/>
      <c r="J56" s="286"/>
      <c r="K56" s="286"/>
      <c r="L56" s="286"/>
      <c r="M56" s="286"/>
      <c r="N56" s="286"/>
      <c r="O56" s="286"/>
      <c r="P56" s="286"/>
      <c r="Q56" s="286"/>
      <c r="R56" s="286"/>
      <c r="S56" s="286"/>
      <c r="T56" s="322"/>
      <c r="U56" s="322"/>
      <c r="V56" s="323">
        <v>40589</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91</v>
      </c>
      <c r="S57" s="279"/>
      <c r="T57" s="325">
        <v>40406</v>
      </c>
      <c r="U57" s="326"/>
      <c r="V57" s="325">
        <v>40496</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40497</v>
      </c>
      <c r="U58" s="326"/>
      <c r="V58" s="325">
        <v>40588</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40575</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306</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1023583</v>
      </c>
      <c r="O68" s="329"/>
      <c r="P68" s="329">
        <f>8080+70+29</f>
        <v>8179</v>
      </c>
      <c r="Q68" s="329"/>
      <c r="R68" s="329">
        <f>70+29</f>
        <v>99</v>
      </c>
      <c r="S68" s="329"/>
      <c r="T68" s="329">
        <v>0</v>
      </c>
      <c r="U68" s="329"/>
      <c r="V68" s="330">
        <f>+N68-P68+R68-T68</f>
        <v>1015503</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1023583</v>
      </c>
      <c r="O71" s="329"/>
      <c r="P71" s="329">
        <f>SUM(P68:P70)</f>
        <v>8179</v>
      </c>
      <c r="Q71" s="329"/>
      <c r="R71" s="329">
        <f>SUM(R68:R70)</f>
        <v>99</v>
      </c>
      <c r="S71" s="329"/>
      <c r="T71" s="329">
        <f>SUM(T68:T70)</f>
        <v>0</v>
      </c>
      <c r="U71" s="329"/>
      <c r="V71" s="329">
        <f>SUM(V68:V70)</f>
        <v>1015503</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1023583</v>
      </c>
      <c r="O84" s="329"/>
      <c r="P84" s="329"/>
      <c r="Q84" s="329"/>
      <c r="R84" s="329"/>
      <c r="S84" s="329"/>
      <c r="T84" s="329"/>
      <c r="U84" s="329"/>
      <c r="V84" s="329">
        <f>SUM(V71:V83)</f>
        <v>1015503</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230" t="s">
        <v>27</v>
      </c>
      <c r="C87" s="230"/>
      <c r="D87" s="230"/>
      <c r="E87" s="230"/>
      <c r="F87" s="230"/>
      <c r="G87" s="230"/>
      <c r="H87" s="231"/>
      <c r="I87" s="231"/>
      <c r="J87" s="231"/>
      <c r="K87" s="231"/>
      <c r="L87" s="232" t="s">
        <v>97</v>
      </c>
      <c r="M87" s="231"/>
      <c r="N87" s="233">
        <f>+T196</f>
        <v>40574</v>
      </c>
      <c r="O87" s="231"/>
      <c r="P87" s="231"/>
      <c r="Q87" s="231"/>
      <c r="R87" s="231"/>
      <c r="S87" s="231"/>
      <c r="T87" s="231" t="s">
        <v>110</v>
      </c>
      <c r="U87" s="231"/>
      <c r="V87" s="231"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8179-461</f>
        <v>7718</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5066+3220-975-712+70</f>
        <v>6669</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107+11</f>
        <v>118</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56</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0</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7718</v>
      </c>
      <c r="U96" s="279"/>
      <c r="V96" s="329">
        <f>SUM(V88:V95)</f>
        <v>6843</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-19</v>
      </c>
      <c r="U97" s="279"/>
      <c r="V97" s="329">
        <v>19</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302</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7699</v>
      </c>
      <c r="U100" s="279"/>
      <c r="V100" s="329">
        <f>V96+V98+V97+V99</f>
        <v>7164</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259</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210</v>
      </c>
      <c r="C104" s="279"/>
      <c r="D104" s="279"/>
      <c r="E104" s="279"/>
      <c r="F104" s="279"/>
      <c r="G104" s="279"/>
      <c r="H104" s="279"/>
      <c r="I104" s="279"/>
      <c r="J104" s="279"/>
      <c r="K104" s="279"/>
      <c r="L104" s="279"/>
      <c r="M104" s="279"/>
      <c r="N104" s="279"/>
      <c r="O104" s="279"/>
      <c r="P104" s="279"/>
      <c r="Q104" s="279"/>
      <c r="R104" s="279"/>
      <c r="S104" s="279"/>
      <c r="T104" s="279"/>
      <c r="U104" s="279"/>
      <c r="V104" s="330">
        <f>-389-274-12</f>
        <v>-675</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-314</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v>-1605</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-198</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-216</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-62</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-225</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-51</v>
      </c>
      <c r="W111" s="282"/>
      <c r="X111" s="5"/>
      <c r="Y111" s="109"/>
    </row>
    <row r="112" spans="1:25" ht="15.6" x14ac:dyDescent="0.3">
      <c r="A112" s="336">
        <v>7</v>
      </c>
      <c r="B112" s="279" t="s">
        <v>35</v>
      </c>
      <c r="C112" s="279"/>
      <c r="D112" s="279"/>
      <c r="E112" s="279"/>
      <c r="F112" s="279"/>
      <c r="G112" s="279"/>
      <c r="H112" s="279"/>
      <c r="I112" s="279"/>
      <c r="J112" s="279"/>
      <c r="K112" s="279"/>
      <c r="L112" s="279"/>
      <c r="M112" s="279"/>
      <c r="N112" s="279"/>
      <c r="O112" s="279"/>
      <c r="P112" s="279"/>
      <c r="Q112" s="279"/>
      <c r="R112" s="279"/>
      <c r="S112" s="279"/>
      <c r="T112" s="279"/>
      <c r="U112" s="279"/>
      <c r="V112" s="330">
        <v>-10</v>
      </c>
      <c r="W112" s="282"/>
      <c r="X112" s="5"/>
    </row>
    <row r="113" spans="1:24" ht="15.6" x14ac:dyDescent="0.3">
      <c r="A113" s="336">
        <f t="shared" ref="A113:A118" si="0">+A112+1</f>
        <v>8</v>
      </c>
      <c r="B113" s="279" t="s">
        <v>46</v>
      </c>
      <c r="C113" s="279"/>
      <c r="D113" s="279"/>
      <c r="E113" s="279"/>
      <c r="F113" s="279"/>
      <c r="G113" s="279"/>
      <c r="H113" s="279"/>
      <c r="I113" s="279"/>
      <c r="J113" s="279"/>
      <c r="K113" s="279"/>
      <c r="L113" s="279"/>
      <c r="M113" s="279"/>
      <c r="N113" s="279"/>
      <c r="O113" s="279"/>
      <c r="P113" s="279"/>
      <c r="Q113" s="279"/>
      <c r="R113" s="279"/>
      <c r="S113" s="279"/>
      <c r="T113" s="329">
        <f>-V113</f>
        <v>461</v>
      </c>
      <c r="U113" s="279"/>
      <c r="V113" s="330">
        <v>-461</v>
      </c>
      <c r="W113" s="282"/>
      <c r="X113" s="5"/>
    </row>
    <row r="114" spans="1:24" ht="15.6" x14ac:dyDescent="0.3">
      <c r="A114" s="336">
        <f t="shared" si="0"/>
        <v>9</v>
      </c>
      <c r="B114" s="279" t="s">
        <v>130</v>
      </c>
      <c r="C114" s="279"/>
      <c r="D114" s="279"/>
      <c r="E114" s="279"/>
      <c r="F114" s="279"/>
      <c r="G114" s="279"/>
      <c r="H114" s="279"/>
      <c r="I114" s="279"/>
      <c r="J114" s="279"/>
      <c r="K114" s="279"/>
      <c r="L114" s="279"/>
      <c r="M114" s="279"/>
      <c r="N114" s="279"/>
      <c r="O114" s="279"/>
      <c r="P114" s="279"/>
      <c r="Q114" s="279"/>
      <c r="R114" s="279"/>
      <c r="S114" s="279"/>
      <c r="T114" s="279"/>
      <c r="U114" s="279"/>
      <c r="V114" s="330">
        <v>0</v>
      </c>
      <c r="W114" s="282"/>
      <c r="X114" s="5"/>
    </row>
    <row r="115" spans="1:24" ht="15.6" x14ac:dyDescent="0.3">
      <c r="A115" s="336">
        <f t="shared" si="0"/>
        <v>10</v>
      </c>
      <c r="B115" s="279" t="s">
        <v>36</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37</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154</v>
      </c>
      <c r="C117" s="279"/>
      <c r="D117" s="279"/>
      <c r="E117" s="279"/>
      <c r="F117" s="279"/>
      <c r="G117" s="279"/>
      <c r="H117" s="279"/>
      <c r="I117" s="279"/>
      <c r="J117" s="279"/>
      <c r="K117" s="279"/>
      <c r="L117" s="279"/>
      <c r="M117" s="279"/>
      <c r="N117" s="279"/>
      <c r="O117" s="279"/>
      <c r="P117" s="279"/>
      <c r="Q117" s="279"/>
      <c r="R117" s="279"/>
      <c r="S117" s="279"/>
      <c r="T117" s="279"/>
      <c r="U117" s="279"/>
      <c r="V117" s="330">
        <v>-389</v>
      </c>
      <c r="W117" s="282"/>
      <c r="X117" s="5"/>
    </row>
    <row r="118" spans="1:24" ht="15.6" x14ac:dyDescent="0.3">
      <c r="A118" s="336">
        <f t="shared" si="0"/>
        <v>13</v>
      </c>
      <c r="B118" s="279" t="s">
        <v>131</v>
      </c>
      <c r="C118" s="279"/>
      <c r="D118" s="279"/>
      <c r="E118" s="279"/>
      <c r="F118" s="279"/>
      <c r="G118" s="279"/>
      <c r="H118" s="279"/>
      <c r="I118" s="279"/>
      <c r="J118" s="279"/>
      <c r="K118" s="279"/>
      <c r="L118" s="279"/>
      <c r="M118" s="279"/>
      <c r="N118" s="279"/>
      <c r="O118" s="279"/>
      <c r="P118" s="279"/>
      <c r="Q118" s="279"/>
      <c r="R118" s="279"/>
      <c r="S118" s="279"/>
      <c r="T118" s="279"/>
      <c r="U118" s="279"/>
      <c r="V118" s="330">
        <f>-V100-SUM(V102:V117)</f>
        <v>-2956</v>
      </c>
      <c r="W118" s="282"/>
      <c r="X118" s="5"/>
    </row>
    <row r="119" spans="1:24" ht="15.6" x14ac:dyDescent="0.3">
      <c r="A119" s="278"/>
      <c r="B119" s="333" t="s">
        <v>38</v>
      </c>
      <c r="C119" s="305"/>
      <c r="D119" s="305"/>
      <c r="E119" s="305"/>
      <c r="F119" s="305"/>
      <c r="G119" s="305"/>
      <c r="H119" s="305"/>
      <c r="I119" s="305"/>
      <c r="J119" s="305"/>
      <c r="K119" s="305"/>
      <c r="L119" s="305"/>
      <c r="M119" s="305"/>
      <c r="N119" s="305"/>
      <c r="O119" s="305"/>
      <c r="P119" s="305"/>
      <c r="Q119" s="305"/>
      <c r="R119" s="305"/>
      <c r="S119" s="305"/>
      <c r="T119" s="305"/>
      <c r="U119" s="305"/>
      <c r="V119" s="337"/>
      <c r="W119" s="310"/>
      <c r="X119" s="5"/>
    </row>
    <row r="120" spans="1:24" ht="15.6" x14ac:dyDescent="0.3">
      <c r="A120" s="278"/>
      <c r="B120" s="279" t="s">
        <v>179</v>
      </c>
      <c r="C120" s="279"/>
      <c r="D120" s="279"/>
      <c r="E120" s="279"/>
      <c r="F120" s="279"/>
      <c r="G120" s="279"/>
      <c r="H120" s="279"/>
      <c r="I120" s="279"/>
      <c r="J120" s="279"/>
      <c r="K120" s="279"/>
      <c r="L120" s="279"/>
      <c r="M120" s="279"/>
      <c r="N120" s="279"/>
      <c r="O120" s="279"/>
      <c r="P120" s="279"/>
      <c r="Q120" s="279"/>
      <c r="R120" s="279"/>
      <c r="S120" s="279"/>
      <c r="T120" s="329">
        <f>-T180</f>
        <v>0</v>
      </c>
      <c r="U120" s="329"/>
      <c r="V120" s="330"/>
      <c r="W120" s="282"/>
      <c r="X120" s="5"/>
    </row>
    <row r="121" spans="1:24" ht="15.6" x14ac:dyDescent="0.3">
      <c r="A121" s="278"/>
      <c r="B121" s="279" t="s">
        <v>180</v>
      </c>
      <c r="C121" s="279"/>
      <c r="D121" s="279"/>
      <c r="E121" s="279"/>
      <c r="F121" s="279"/>
      <c r="G121" s="279"/>
      <c r="H121" s="279"/>
      <c r="I121" s="279"/>
      <c r="J121" s="279"/>
      <c r="K121" s="279"/>
      <c r="L121" s="279"/>
      <c r="M121" s="279"/>
      <c r="N121" s="279"/>
      <c r="O121" s="279"/>
      <c r="P121" s="279"/>
      <c r="Q121" s="279"/>
      <c r="R121" s="279"/>
      <c r="S121" s="279"/>
      <c r="T121" s="329">
        <v>-10</v>
      </c>
      <c r="U121" s="329"/>
      <c r="V121" s="330"/>
      <c r="W121" s="282"/>
      <c r="X121" s="5"/>
    </row>
    <row r="122" spans="1:24" ht="15.6" x14ac:dyDescent="0.3">
      <c r="A122" s="278"/>
      <c r="B122" s="279" t="s">
        <v>39</v>
      </c>
      <c r="C122" s="279"/>
      <c r="D122" s="279"/>
      <c r="E122" s="279"/>
      <c r="F122" s="279"/>
      <c r="G122" s="279"/>
      <c r="H122" s="279"/>
      <c r="I122" s="279"/>
      <c r="J122" s="279"/>
      <c r="K122" s="279"/>
      <c r="L122" s="279"/>
      <c r="M122" s="279"/>
      <c r="N122" s="279"/>
      <c r="O122" s="279"/>
      <c r="P122" s="279"/>
      <c r="Q122" s="279"/>
      <c r="R122" s="279"/>
      <c r="S122" s="279"/>
      <c r="T122" s="329">
        <f>-S180</f>
        <v>-70</v>
      </c>
      <c r="U122" s="329"/>
      <c r="V122" s="330"/>
      <c r="W122" s="282"/>
      <c r="X122" s="5"/>
    </row>
    <row r="123" spans="1:24" ht="15.6" x14ac:dyDescent="0.3">
      <c r="A123" s="278"/>
      <c r="B123" s="279" t="s">
        <v>203</v>
      </c>
      <c r="C123" s="279"/>
      <c r="D123" s="279"/>
      <c r="E123" s="279"/>
      <c r="F123" s="279"/>
      <c r="G123" s="279"/>
      <c r="H123" s="279"/>
      <c r="I123" s="279"/>
      <c r="J123" s="279"/>
      <c r="K123" s="279"/>
      <c r="L123" s="279"/>
      <c r="M123" s="279"/>
      <c r="N123" s="279"/>
      <c r="O123" s="279"/>
      <c r="P123" s="279"/>
      <c r="Q123" s="279"/>
      <c r="R123" s="279"/>
      <c r="S123" s="279"/>
      <c r="T123" s="329">
        <v>-5074</v>
      </c>
      <c r="U123" s="329"/>
      <c r="V123" s="330"/>
      <c r="W123" s="282"/>
      <c r="X123" s="5"/>
    </row>
    <row r="124" spans="1:24" ht="15.6" x14ac:dyDescent="0.3">
      <c r="A124" s="278"/>
      <c r="B124" s="279" t="s">
        <v>201</v>
      </c>
      <c r="C124" s="279"/>
      <c r="D124" s="279"/>
      <c r="E124" s="279"/>
      <c r="F124" s="279"/>
      <c r="G124" s="279"/>
      <c r="H124" s="279"/>
      <c r="I124" s="279"/>
      <c r="J124" s="279"/>
      <c r="K124" s="279"/>
      <c r="L124" s="279"/>
      <c r="M124" s="279"/>
      <c r="N124" s="279"/>
      <c r="O124" s="279"/>
      <c r="P124" s="279"/>
      <c r="Q124" s="279"/>
      <c r="R124" s="279"/>
      <c r="S124" s="279"/>
      <c r="T124" s="329">
        <v>-902</v>
      </c>
      <c r="U124" s="329"/>
      <c r="V124" s="330"/>
      <c r="W124" s="282"/>
      <c r="X124" s="5"/>
    </row>
    <row r="125" spans="1:24" ht="15.6" x14ac:dyDescent="0.3">
      <c r="A125" s="278"/>
      <c r="B125" s="279" t="s">
        <v>200</v>
      </c>
      <c r="C125" s="279"/>
      <c r="D125" s="279"/>
      <c r="E125" s="279"/>
      <c r="F125" s="279"/>
      <c r="G125" s="279"/>
      <c r="H125" s="279"/>
      <c r="I125" s="279"/>
      <c r="J125" s="279"/>
      <c r="K125" s="279"/>
      <c r="L125" s="279"/>
      <c r="M125" s="279"/>
      <c r="N125" s="279"/>
      <c r="O125" s="279"/>
      <c r="P125" s="279"/>
      <c r="Q125" s="279"/>
      <c r="R125" s="279"/>
      <c r="S125" s="279"/>
      <c r="T125" s="329">
        <v>-1052</v>
      </c>
      <c r="U125" s="329"/>
      <c r="V125" s="330"/>
      <c r="W125" s="282"/>
      <c r="X125" s="5"/>
    </row>
    <row r="126" spans="1:24" ht="15.6" x14ac:dyDescent="0.3">
      <c r="A126" s="278"/>
      <c r="B126" s="279" t="s">
        <v>260</v>
      </c>
      <c r="C126" s="279"/>
      <c r="D126" s="279"/>
      <c r="E126" s="279"/>
      <c r="F126" s="279"/>
      <c r="G126" s="279"/>
      <c r="H126" s="279"/>
      <c r="I126" s="279"/>
      <c r="J126" s="279"/>
      <c r="K126" s="279"/>
      <c r="L126" s="279"/>
      <c r="M126" s="279"/>
      <c r="N126" s="279"/>
      <c r="O126" s="279"/>
      <c r="P126" s="279"/>
      <c r="Q126" s="279"/>
      <c r="R126" s="279"/>
      <c r="S126" s="279"/>
      <c r="T126" s="329">
        <v>-1052</v>
      </c>
      <c r="U126" s="329"/>
      <c r="V126" s="330"/>
      <c r="W126" s="282"/>
      <c r="X126" s="5"/>
    </row>
    <row r="127" spans="1:24" ht="15.6" x14ac:dyDescent="0.3">
      <c r="A127" s="278"/>
      <c r="B127" s="279" t="s">
        <v>195</v>
      </c>
      <c r="C127" s="279"/>
      <c r="D127" s="279"/>
      <c r="E127" s="279"/>
      <c r="F127" s="279"/>
      <c r="G127" s="279"/>
      <c r="H127" s="279"/>
      <c r="I127" s="279"/>
      <c r="J127" s="279"/>
      <c r="K127" s="279"/>
      <c r="L127" s="279"/>
      <c r="M127" s="279"/>
      <c r="N127" s="279"/>
      <c r="O127" s="279"/>
      <c r="P127" s="279"/>
      <c r="Q127" s="279"/>
      <c r="R127" s="279"/>
      <c r="S127" s="279"/>
      <c r="T127" s="329">
        <v>0</v>
      </c>
      <c r="U127" s="329"/>
      <c r="V127" s="330"/>
      <c r="W127" s="282"/>
      <c r="X127" s="5"/>
    </row>
    <row r="128" spans="1:24" ht="15.6" x14ac:dyDescent="0.3">
      <c r="A128" s="278"/>
      <c r="B128" s="279" t="s">
        <v>194</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261</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193</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40</v>
      </c>
      <c r="C131" s="279"/>
      <c r="D131" s="279"/>
      <c r="E131" s="279"/>
      <c r="F131" s="279"/>
      <c r="G131" s="279"/>
      <c r="H131" s="279"/>
      <c r="I131" s="279"/>
      <c r="J131" s="279"/>
      <c r="K131" s="279"/>
      <c r="L131" s="279"/>
      <c r="M131" s="279"/>
      <c r="N131" s="279"/>
      <c r="O131" s="279"/>
      <c r="P131" s="279"/>
      <c r="Q131" s="279"/>
      <c r="R131" s="279"/>
      <c r="S131" s="279"/>
      <c r="T131" s="329">
        <f>SUM(T120:T130)</f>
        <v>-8160</v>
      </c>
      <c r="U131" s="329"/>
      <c r="V131" s="329">
        <f>SUM(V101:V128)</f>
        <v>-7164</v>
      </c>
      <c r="W131" s="282"/>
      <c r="X131" s="5"/>
    </row>
    <row r="132" spans="1:24" ht="15.6" x14ac:dyDescent="0.3">
      <c r="A132" s="278"/>
      <c r="B132" s="279" t="s">
        <v>41</v>
      </c>
      <c r="C132" s="279"/>
      <c r="D132" s="279"/>
      <c r="E132" s="279"/>
      <c r="F132" s="279"/>
      <c r="G132" s="279"/>
      <c r="H132" s="279"/>
      <c r="I132" s="279"/>
      <c r="J132" s="279"/>
      <c r="K132" s="279"/>
      <c r="L132" s="279"/>
      <c r="M132" s="279"/>
      <c r="N132" s="279"/>
      <c r="O132" s="279"/>
      <c r="P132" s="279"/>
      <c r="Q132" s="279"/>
      <c r="R132" s="279"/>
      <c r="S132" s="279"/>
      <c r="T132" s="329">
        <f>T100+T131+T113</f>
        <v>0</v>
      </c>
      <c r="U132" s="329"/>
      <c r="V132" s="329">
        <f>V100+V131</f>
        <v>0</v>
      </c>
      <c r="W132" s="282"/>
      <c r="X132" s="5"/>
    </row>
    <row r="133" spans="1:24" ht="15.6" x14ac:dyDescent="0.3">
      <c r="A133" s="177"/>
      <c r="B133" s="275"/>
      <c r="C133" s="275"/>
      <c r="D133" s="275"/>
      <c r="E133" s="275"/>
      <c r="F133" s="275"/>
      <c r="G133" s="275"/>
      <c r="H133" s="275"/>
      <c r="I133" s="275"/>
      <c r="J133" s="275"/>
      <c r="K133" s="275"/>
      <c r="L133" s="275"/>
      <c r="M133" s="275"/>
      <c r="N133" s="275"/>
      <c r="O133" s="275"/>
      <c r="P133" s="275"/>
      <c r="Q133" s="275"/>
      <c r="R133" s="275"/>
      <c r="S133" s="275"/>
      <c r="T133" s="327"/>
      <c r="U133" s="327"/>
      <c r="V133" s="327"/>
      <c r="W133" s="275"/>
      <c r="X133" s="5"/>
    </row>
    <row r="134" spans="1:24" ht="15.6" x14ac:dyDescent="0.3">
      <c r="A134" s="177"/>
      <c r="B134" s="179"/>
      <c r="C134" s="179"/>
      <c r="D134" s="179"/>
      <c r="E134" s="179"/>
      <c r="F134" s="179"/>
      <c r="G134" s="179"/>
      <c r="H134" s="179"/>
      <c r="I134" s="179"/>
      <c r="J134" s="179"/>
      <c r="K134" s="179"/>
      <c r="L134" s="179"/>
      <c r="M134" s="179"/>
      <c r="N134" s="179"/>
      <c r="O134" s="179"/>
      <c r="P134" s="179"/>
      <c r="Q134" s="179"/>
      <c r="R134" s="179"/>
      <c r="S134" s="179"/>
      <c r="T134" s="179"/>
      <c r="U134" s="179"/>
      <c r="V134" s="199"/>
      <c r="W134" s="179"/>
      <c r="X134" s="5"/>
    </row>
    <row r="135" spans="1:24" ht="18" thickBot="1" x14ac:dyDescent="0.35">
      <c r="A135" s="194"/>
      <c r="B135" s="264" t="str">
        <f>B64</f>
        <v>PM12 INVESTOR REPORT QUARTER ENDING JANUARY 2011</v>
      </c>
      <c r="C135" s="195"/>
      <c r="D135" s="195"/>
      <c r="E135" s="195"/>
      <c r="F135" s="195"/>
      <c r="G135" s="195"/>
      <c r="H135" s="195"/>
      <c r="I135" s="195"/>
      <c r="J135" s="195"/>
      <c r="K135" s="195"/>
      <c r="L135" s="195"/>
      <c r="M135" s="195"/>
      <c r="N135" s="195"/>
      <c r="O135" s="195"/>
      <c r="P135" s="195"/>
      <c r="Q135" s="195"/>
      <c r="R135" s="195"/>
      <c r="S135" s="195"/>
      <c r="T135" s="195"/>
      <c r="U135" s="195"/>
      <c r="V135" s="207"/>
      <c r="W135" s="197"/>
      <c r="X135" s="5"/>
    </row>
    <row r="136" spans="1:24" ht="15.6" x14ac:dyDescent="0.3">
      <c r="A136" s="235"/>
      <c r="B136" s="238" t="s">
        <v>42</v>
      </c>
      <c r="C136" s="236"/>
      <c r="D136" s="236"/>
      <c r="E136" s="236"/>
      <c r="F136" s="236"/>
      <c r="G136" s="236"/>
      <c r="H136" s="236"/>
      <c r="I136" s="236"/>
      <c r="J136" s="236"/>
      <c r="K136" s="236"/>
      <c r="L136" s="236"/>
      <c r="M136" s="236"/>
      <c r="N136" s="236"/>
      <c r="O136" s="236"/>
      <c r="P136" s="236"/>
      <c r="Q136" s="236"/>
      <c r="R136" s="236"/>
      <c r="S136" s="236"/>
      <c r="T136" s="236"/>
      <c r="U136" s="236"/>
      <c r="V136" s="237"/>
      <c r="W136" s="236"/>
      <c r="X136" s="5"/>
    </row>
    <row r="137" spans="1:24" ht="15.6" x14ac:dyDescent="0.3">
      <c r="A137" s="177"/>
      <c r="B137" s="186"/>
      <c r="C137" s="179"/>
      <c r="D137" s="179"/>
      <c r="E137" s="179"/>
      <c r="F137" s="179"/>
      <c r="G137" s="179"/>
      <c r="H137" s="179"/>
      <c r="I137" s="179"/>
      <c r="J137" s="179"/>
      <c r="K137" s="179"/>
      <c r="L137" s="179"/>
      <c r="M137" s="179"/>
      <c r="N137" s="179"/>
      <c r="O137" s="179"/>
      <c r="P137" s="179"/>
      <c r="Q137" s="179"/>
      <c r="R137" s="179"/>
      <c r="S137" s="179"/>
      <c r="T137" s="179"/>
      <c r="U137" s="179"/>
      <c r="V137" s="199"/>
      <c r="W137" s="179"/>
      <c r="X137" s="5"/>
    </row>
    <row r="138" spans="1:24" ht="15.6" x14ac:dyDescent="0.3">
      <c r="A138" s="177"/>
      <c r="B138" s="208" t="s">
        <v>43</v>
      </c>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278"/>
      <c r="B139" s="279" t="s">
        <v>44</v>
      </c>
      <c r="C139" s="279"/>
      <c r="D139" s="279"/>
      <c r="E139" s="279"/>
      <c r="F139" s="279"/>
      <c r="G139" s="279"/>
      <c r="H139" s="279"/>
      <c r="I139" s="279"/>
      <c r="J139" s="279"/>
      <c r="K139" s="279"/>
      <c r="L139" s="279"/>
      <c r="M139" s="279"/>
      <c r="N139" s="279"/>
      <c r="O139" s="279"/>
      <c r="P139" s="279"/>
      <c r="Q139" s="279"/>
      <c r="R139" s="279"/>
      <c r="S139" s="279"/>
      <c r="T139" s="279"/>
      <c r="U139" s="279"/>
      <c r="V139" s="330">
        <f>+V34*0.019</f>
        <v>28503.895</v>
      </c>
      <c r="W139" s="310"/>
      <c r="X139" s="5"/>
    </row>
    <row r="140" spans="1:24" ht="15.6" x14ac:dyDescent="0.3">
      <c r="A140" s="278"/>
      <c r="B140" s="279" t="s">
        <v>45</v>
      </c>
      <c r="C140" s="279"/>
      <c r="D140" s="279"/>
      <c r="E140" s="279"/>
      <c r="F140" s="279"/>
      <c r="G140" s="279"/>
      <c r="H140" s="279"/>
      <c r="I140" s="279"/>
      <c r="J140" s="279"/>
      <c r="K140" s="279"/>
      <c r="L140" s="279"/>
      <c r="M140" s="279"/>
      <c r="N140" s="279"/>
      <c r="O140" s="279"/>
      <c r="P140" s="279"/>
      <c r="Q140" s="279"/>
      <c r="R140" s="279"/>
      <c r="S140" s="279"/>
      <c r="T140" s="279"/>
      <c r="U140" s="279"/>
      <c r="V140" s="330">
        <v>28504</v>
      </c>
      <c r="W140" s="310"/>
      <c r="X140" s="5"/>
    </row>
    <row r="141" spans="1:24" ht="15.6" x14ac:dyDescent="0.3">
      <c r="A141" s="278"/>
      <c r="B141" s="279" t="s">
        <v>141</v>
      </c>
      <c r="C141" s="279"/>
      <c r="D141" s="279"/>
      <c r="E141" s="279"/>
      <c r="F141" s="279"/>
      <c r="G141" s="279"/>
      <c r="H141" s="279"/>
      <c r="I141" s="279"/>
      <c r="J141" s="279"/>
      <c r="K141" s="279"/>
      <c r="L141" s="279"/>
      <c r="M141" s="279"/>
      <c r="N141" s="279"/>
      <c r="O141" s="279"/>
      <c r="P141" s="279"/>
      <c r="Q141" s="279"/>
      <c r="R141" s="279"/>
      <c r="S141" s="279"/>
      <c r="T141" s="279"/>
      <c r="U141" s="279"/>
      <c r="V141" s="330">
        <v>0</v>
      </c>
      <c r="W141" s="310"/>
      <c r="X141" s="5"/>
    </row>
    <row r="142" spans="1:24" ht="15.6" x14ac:dyDescent="0.3">
      <c r="A142" s="278"/>
      <c r="B142" s="279" t="s">
        <v>128</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129</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181</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46</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134</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230</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c r="Y147" s="109"/>
    </row>
    <row r="148" spans="1:25" ht="15.6" x14ac:dyDescent="0.3">
      <c r="A148" s="278"/>
      <c r="B148" s="279" t="s">
        <v>47</v>
      </c>
      <c r="C148" s="279"/>
      <c r="D148" s="279"/>
      <c r="E148" s="279"/>
      <c r="F148" s="279"/>
      <c r="G148" s="279"/>
      <c r="H148" s="279"/>
      <c r="I148" s="279"/>
      <c r="J148" s="279"/>
      <c r="K148" s="279"/>
      <c r="L148" s="279"/>
      <c r="M148" s="279"/>
      <c r="N148" s="279"/>
      <c r="O148" s="279"/>
      <c r="P148" s="279"/>
      <c r="Q148" s="279"/>
      <c r="R148" s="279"/>
      <c r="S148" s="279"/>
      <c r="T148" s="279"/>
      <c r="U148" s="279"/>
      <c r="V148" s="330">
        <f>SUM(V140:V147)</f>
        <v>28504</v>
      </c>
      <c r="W148" s="310"/>
      <c r="X148" s="5"/>
    </row>
    <row r="149" spans="1:25" ht="15.6" x14ac:dyDescent="0.3">
      <c r="A149" s="278"/>
      <c r="B149" s="305"/>
      <c r="C149" s="305"/>
      <c r="D149" s="305"/>
      <c r="E149" s="305"/>
      <c r="F149" s="305"/>
      <c r="G149" s="305"/>
      <c r="H149" s="305"/>
      <c r="I149" s="305"/>
      <c r="J149" s="305"/>
      <c r="K149" s="305"/>
      <c r="L149" s="305"/>
      <c r="M149" s="305"/>
      <c r="N149" s="305"/>
      <c r="O149" s="305"/>
      <c r="P149" s="305"/>
      <c r="Q149" s="305"/>
      <c r="R149" s="305"/>
      <c r="S149" s="305"/>
      <c r="T149" s="305"/>
      <c r="U149" s="305"/>
      <c r="V149" s="335"/>
      <c r="W149" s="310"/>
      <c r="X149" s="5"/>
    </row>
    <row r="150" spans="1:25" ht="15.6" x14ac:dyDescent="0.3">
      <c r="A150" s="278"/>
      <c r="B150" s="333" t="s">
        <v>269</v>
      </c>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279" t="s">
        <v>160</v>
      </c>
      <c r="C151" s="279"/>
      <c r="D151" s="279"/>
      <c r="E151" s="279"/>
      <c r="F151" s="279"/>
      <c r="G151" s="279"/>
      <c r="H151" s="279"/>
      <c r="I151" s="279"/>
      <c r="J151" s="279"/>
      <c r="K151" s="279"/>
      <c r="L151" s="279"/>
      <c r="M151" s="279"/>
      <c r="N151" s="279"/>
      <c r="O151" s="279"/>
      <c r="P151" s="279"/>
      <c r="Q151" s="279"/>
      <c r="R151" s="279"/>
      <c r="S151" s="279"/>
      <c r="T151" s="279"/>
      <c r="U151" s="279"/>
      <c r="V151" s="330">
        <v>0</v>
      </c>
      <c r="W151" s="310"/>
      <c r="X151" s="5"/>
    </row>
    <row r="152" spans="1:25" ht="15.6" x14ac:dyDescent="0.3">
      <c r="A152" s="278"/>
      <c r="B152" s="279" t="s">
        <v>178</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270</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305"/>
      <c r="C154" s="305"/>
      <c r="D154" s="305"/>
      <c r="E154" s="305"/>
      <c r="F154" s="305"/>
      <c r="G154" s="305"/>
      <c r="H154" s="305"/>
      <c r="I154" s="305"/>
      <c r="J154" s="305"/>
      <c r="K154" s="305"/>
      <c r="L154" s="305"/>
      <c r="M154" s="305"/>
      <c r="N154" s="305"/>
      <c r="O154" s="305"/>
      <c r="P154" s="305"/>
      <c r="Q154" s="305"/>
      <c r="R154" s="305"/>
      <c r="S154" s="305"/>
      <c r="T154" s="305"/>
      <c r="U154" s="305"/>
      <c r="V154" s="335"/>
      <c r="W154" s="310"/>
      <c r="X154" s="5"/>
    </row>
    <row r="155" spans="1:25" ht="15.6" x14ac:dyDescent="0.3">
      <c r="A155" s="177"/>
      <c r="B155" s="275"/>
      <c r="C155" s="275"/>
      <c r="D155" s="275"/>
      <c r="E155" s="275"/>
      <c r="F155" s="275"/>
      <c r="G155" s="275"/>
      <c r="H155" s="275"/>
      <c r="I155" s="275"/>
      <c r="J155" s="275"/>
      <c r="K155" s="275"/>
      <c r="L155" s="275"/>
      <c r="M155" s="275"/>
      <c r="N155" s="275"/>
      <c r="O155" s="275"/>
      <c r="P155" s="275"/>
      <c r="Q155" s="275"/>
      <c r="R155" s="275"/>
      <c r="S155" s="275"/>
      <c r="T155" s="275"/>
      <c r="U155" s="275"/>
      <c r="V155" s="338"/>
      <c r="W155" s="275"/>
      <c r="X155" s="5"/>
    </row>
    <row r="156" spans="1:25" ht="15.6" x14ac:dyDescent="0.3">
      <c r="A156" s="177"/>
      <c r="B156" s="208" t="s">
        <v>24</v>
      </c>
      <c r="C156" s="179"/>
      <c r="D156" s="179"/>
      <c r="E156" s="179"/>
      <c r="F156" s="179"/>
      <c r="G156" s="179"/>
      <c r="H156" s="179"/>
      <c r="I156" s="179"/>
      <c r="J156" s="179"/>
      <c r="K156" s="179"/>
      <c r="L156" s="179"/>
      <c r="M156" s="179"/>
      <c r="N156" s="179"/>
      <c r="O156" s="179"/>
      <c r="P156" s="179"/>
      <c r="Q156" s="179"/>
      <c r="R156" s="179"/>
      <c r="S156" s="179"/>
      <c r="T156" s="179"/>
      <c r="U156" s="179"/>
      <c r="V156" s="199"/>
      <c r="W156" s="179"/>
      <c r="X156" s="5"/>
    </row>
    <row r="157" spans="1:25" ht="15.6" x14ac:dyDescent="0.3">
      <c r="A157" s="278"/>
      <c r="B157" s="279" t="s">
        <v>48</v>
      </c>
      <c r="C157" s="279"/>
      <c r="D157" s="279"/>
      <c r="E157" s="279"/>
      <c r="F157" s="279"/>
      <c r="G157" s="279"/>
      <c r="H157" s="279"/>
      <c r="I157" s="279"/>
      <c r="J157" s="279"/>
      <c r="K157" s="279"/>
      <c r="L157" s="279"/>
      <c r="M157" s="279"/>
      <c r="N157" s="279"/>
      <c r="O157" s="279"/>
      <c r="P157" s="279"/>
      <c r="Q157" s="279"/>
      <c r="R157" s="279"/>
      <c r="S157" s="279"/>
      <c r="T157" s="279"/>
      <c r="U157" s="279"/>
      <c r="V157" s="339" t="s">
        <v>123</v>
      </c>
      <c r="W157" s="282"/>
      <c r="X157" s="5"/>
    </row>
    <row r="158" spans="1:25" ht="15.6" x14ac:dyDescent="0.3">
      <c r="A158" s="278"/>
      <c r="B158" s="279" t="s">
        <v>49</v>
      </c>
      <c r="C158" s="281"/>
      <c r="D158" s="281"/>
      <c r="E158" s="281"/>
      <c r="F158" s="281"/>
      <c r="G158" s="281"/>
      <c r="H158" s="281"/>
      <c r="I158" s="281"/>
      <c r="J158" s="281"/>
      <c r="K158" s="281"/>
      <c r="L158" s="281"/>
      <c r="M158" s="281"/>
      <c r="N158" s="281"/>
      <c r="O158" s="281"/>
      <c r="P158" s="281"/>
      <c r="Q158" s="281"/>
      <c r="R158" s="281"/>
      <c r="S158" s="281"/>
      <c r="T158" s="281"/>
      <c r="U158" s="281"/>
      <c r="V158" s="339" t="s">
        <v>123</v>
      </c>
      <c r="W158" s="282"/>
      <c r="X158" s="5"/>
    </row>
    <row r="159" spans="1:25" ht="15.6" x14ac:dyDescent="0.3">
      <c r="A159" s="278"/>
      <c r="B159" s="279" t="s">
        <v>50</v>
      </c>
      <c r="C159" s="279"/>
      <c r="D159" s="279"/>
      <c r="E159" s="279"/>
      <c r="F159" s="279"/>
      <c r="G159" s="279"/>
      <c r="H159" s="279"/>
      <c r="I159" s="279"/>
      <c r="J159" s="279"/>
      <c r="K159" s="279"/>
      <c r="L159" s="279"/>
      <c r="M159" s="279"/>
      <c r="N159" s="279"/>
      <c r="O159" s="279"/>
      <c r="P159" s="279"/>
      <c r="Q159" s="279"/>
      <c r="R159" s="279"/>
      <c r="S159" s="279"/>
      <c r="T159" s="279"/>
      <c r="U159" s="279"/>
      <c r="V159" s="339" t="s">
        <v>123</v>
      </c>
      <c r="W159" s="282"/>
      <c r="X159" s="5"/>
    </row>
    <row r="160" spans="1:25" ht="15.6" x14ac:dyDescent="0.3">
      <c r="A160" s="278"/>
      <c r="B160" s="279" t="s">
        <v>51</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177"/>
      <c r="B161" s="275"/>
      <c r="C161" s="275"/>
      <c r="D161" s="275"/>
      <c r="E161" s="275"/>
      <c r="F161" s="275"/>
      <c r="G161" s="275"/>
      <c r="H161" s="275"/>
      <c r="I161" s="275"/>
      <c r="J161" s="275"/>
      <c r="K161" s="275"/>
      <c r="L161" s="275"/>
      <c r="M161" s="275"/>
      <c r="N161" s="275"/>
      <c r="O161" s="275"/>
      <c r="P161" s="275"/>
      <c r="Q161" s="275"/>
      <c r="R161" s="275"/>
      <c r="S161" s="275"/>
      <c r="T161" s="275"/>
      <c r="U161" s="275"/>
      <c r="V161" s="338"/>
      <c r="W161" s="275"/>
      <c r="X161" s="5"/>
    </row>
    <row r="162" spans="1:24" ht="15.6" x14ac:dyDescent="0.3">
      <c r="A162" s="177"/>
      <c r="B162" s="208" t="s">
        <v>52</v>
      </c>
      <c r="C162" s="179"/>
      <c r="D162" s="179"/>
      <c r="E162" s="179"/>
      <c r="F162" s="179"/>
      <c r="G162" s="179"/>
      <c r="H162" s="179"/>
      <c r="I162" s="179"/>
      <c r="J162" s="179"/>
      <c r="K162" s="179"/>
      <c r="L162" s="179"/>
      <c r="M162" s="179"/>
      <c r="N162" s="179"/>
      <c r="O162" s="179"/>
      <c r="P162" s="179"/>
      <c r="Q162" s="179"/>
      <c r="R162" s="179"/>
      <c r="S162" s="179"/>
      <c r="T162" s="179"/>
      <c r="U162" s="179"/>
      <c r="V162" s="209"/>
      <c r="W162" s="179"/>
      <c r="X162" s="5"/>
    </row>
    <row r="163" spans="1:24" ht="15.6" x14ac:dyDescent="0.3">
      <c r="A163" s="278"/>
      <c r="B163" s="279" t="s">
        <v>53</v>
      </c>
      <c r="C163" s="279"/>
      <c r="D163" s="279"/>
      <c r="E163" s="279"/>
      <c r="F163" s="279"/>
      <c r="G163" s="279"/>
      <c r="H163" s="279"/>
      <c r="I163" s="279"/>
      <c r="J163" s="279"/>
      <c r="K163" s="279"/>
      <c r="L163" s="279"/>
      <c r="M163" s="279"/>
      <c r="N163" s="279"/>
      <c r="O163" s="279"/>
      <c r="P163" s="279"/>
      <c r="Q163" s="279"/>
      <c r="R163" s="279"/>
      <c r="S163" s="279"/>
      <c r="T163" s="279"/>
      <c r="U163" s="279"/>
      <c r="V163" s="330">
        <v>0</v>
      </c>
      <c r="W163" s="310"/>
      <c r="X163" s="5"/>
    </row>
    <row r="164" spans="1:24" ht="15.6" x14ac:dyDescent="0.3">
      <c r="A164" s="278"/>
      <c r="B164" s="279" t="s">
        <v>54</v>
      </c>
      <c r="C164" s="279"/>
      <c r="D164" s="279"/>
      <c r="E164" s="279"/>
      <c r="F164" s="279"/>
      <c r="G164" s="279"/>
      <c r="H164" s="279"/>
      <c r="I164" s="279"/>
      <c r="J164" s="279"/>
      <c r="K164" s="279"/>
      <c r="L164" s="279"/>
      <c r="M164" s="279"/>
      <c r="N164" s="279"/>
      <c r="O164" s="279"/>
      <c r="P164" s="279"/>
      <c r="Q164" s="279"/>
      <c r="R164" s="279"/>
      <c r="S164" s="279"/>
      <c r="T164" s="279"/>
      <c r="U164" s="279"/>
      <c r="V164" s="330">
        <f>-V113</f>
        <v>461</v>
      </c>
      <c r="W164" s="310"/>
      <c r="X164" s="5"/>
    </row>
    <row r="165" spans="1:24" ht="15.6" x14ac:dyDescent="0.3">
      <c r="A165" s="278"/>
      <c r="B165" s="279" t="s">
        <v>55</v>
      </c>
      <c r="C165" s="279"/>
      <c r="D165" s="279"/>
      <c r="E165" s="279"/>
      <c r="F165" s="279"/>
      <c r="G165" s="279"/>
      <c r="H165" s="279"/>
      <c r="I165" s="279"/>
      <c r="J165" s="279"/>
      <c r="K165" s="279"/>
      <c r="L165" s="279"/>
      <c r="M165" s="279"/>
      <c r="N165" s="279"/>
      <c r="O165" s="279"/>
      <c r="P165" s="279"/>
      <c r="Q165" s="279"/>
      <c r="R165" s="279"/>
      <c r="S165" s="279"/>
      <c r="T165" s="279"/>
      <c r="U165" s="279"/>
      <c r="V165" s="330">
        <f>V164+V163</f>
        <v>461</v>
      </c>
      <c r="W165" s="310"/>
      <c r="X165" s="5"/>
    </row>
    <row r="166" spans="1:24" ht="15.6" x14ac:dyDescent="0.3">
      <c r="A166" s="278"/>
      <c r="B166" s="399" t="s">
        <v>310</v>
      </c>
      <c r="C166" s="279"/>
      <c r="D166" s="279"/>
      <c r="E166" s="279"/>
      <c r="F166" s="279"/>
      <c r="G166" s="279"/>
      <c r="H166" s="279"/>
      <c r="I166" s="279"/>
      <c r="J166" s="279"/>
      <c r="K166" s="279"/>
      <c r="L166" s="279"/>
      <c r="M166" s="279"/>
      <c r="N166" s="279"/>
      <c r="O166" s="279"/>
      <c r="P166" s="279"/>
      <c r="Q166" s="279"/>
      <c r="R166" s="279"/>
      <c r="S166" s="279"/>
      <c r="T166" s="279"/>
      <c r="U166" s="279"/>
      <c r="V166" s="330">
        <f>V113</f>
        <v>-461</v>
      </c>
      <c r="W166" s="310"/>
      <c r="X166" s="5"/>
    </row>
    <row r="167" spans="1:24" ht="15.6" x14ac:dyDescent="0.3">
      <c r="A167" s="278"/>
      <c r="B167" s="279" t="s">
        <v>56</v>
      </c>
      <c r="C167" s="279"/>
      <c r="D167" s="279"/>
      <c r="E167" s="279"/>
      <c r="F167" s="279"/>
      <c r="G167" s="279"/>
      <c r="H167" s="279"/>
      <c r="I167" s="279"/>
      <c r="J167" s="279"/>
      <c r="K167" s="279"/>
      <c r="L167" s="279"/>
      <c r="M167" s="279"/>
      <c r="N167" s="279"/>
      <c r="O167" s="279"/>
      <c r="P167" s="279"/>
      <c r="Q167" s="279"/>
      <c r="R167" s="279"/>
      <c r="S167" s="279"/>
      <c r="T167" s="279"/>
      <c r="U167" s="279"/>
      <c r="V167" s="330">
        <f>V165+V166</f>
        <v>0</v>
      </c>
      <c r="W167" s="310"/>
      <c r="X167" s="5"/>
    </row>
    <row r="168" spans="1:24" ht="15.6" x14ac:dyDescent="0.3">
      <c r="A168" s="278"/>
      <c r="B168" s="279" t="s">
        <v>282</v>
      </c>
      <c r="C168" s="279"/>
      <c r="D168" s="279"/>
      <c r="E168" s="279"/>
      <c r="F168" s="279"/>
      <c r="G168" s="279"/>
      <c r="H168" s="279"/>
      <c r="I168" s="279"/>
      <c r="J168" s="279"/>
      <c r="K168" s="279"/>
      <c r="L168" s="279"/>
      <c r="M168" s="279"/>
      <c r="N168" s="279"/>
      <c r="O168" s="279"/>
      <c r="P168" s="279"/>
      <c r="Q168" s="279"/>
      <c r="R168" s="279"/>
      <c r="S168" s="279"/>
      <c r="T168" s="279"/>
      <c r="U168" s="279"/>
      <c r="V168" s="330">
        <v>0</v>
      </c>
      <c r="W168" s="310"/>
      <c r="X168" s="5"/>
    </row>
    <row r="169" spans="1:24" ht="16.2" thickBot="1" x14ac:dyDescent="0.35">
      <c r="A169" s="177"/>
      <c r="B169" s="275"/>
      <c r="C169" s="275"/>
      <c r="D169" s="275"/>
      <c r="E169" s="275"/>
      <c r="F169" s="275"/>
      <c r="G169" s="275"/>
      <c r="H169" s="275"/>
      <c r="I169" s="275"/>
      <c r="J169" s="275"/>
      <c r="K169" s="275"/>
      <c r="L169" s="275"/>
      <c r="M169" s="275"/>
      <c r="N169" s="275"/>
      <c r="O169" s="275"/>
      <c r="P169" s="275"/>
      <c r="Q169" s="275"/>
      <c r="R169" s="275"/>
      <c r="S169" s="275"/>
      <c r="T169" s="275"/>
      <c r="U169" s="275"/>
      <c r="V169" s="338"/>
      <c r="W169" s="275"/>
      <c r="X169" s="5"/>
    </row>
    <row r="170" spans="1:24"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76"/>
      <c r="U170" s="176"/>
      <c r="V170" s="198"/>
      <c r="W170" s="176"/>
      <c r="X170" s="5"/>
    </row>
    <row r="171" spans="1:24" ht="15.6" x14ac:dyDescent="0.3">
      <c r="A171" s="177"/>
      <c r="B171" s="208" t="s">
        <v>57</v>
      </c>
      <c r="C171" s="179"/>
      <c r="D171" s="179"/>
      <c r="E171" s="179"/>
      <c r="F171" s="179"/>
      <c r="G171" s="179"/>
      <c r="H171" s="179"/>
      <c r="I171" s="179"/>
      <c r="J171" s="179"/>
      <c r="K171" s="179"/>
      <c r="L171" s="179"/>
      <c r="M171" s="179"/>
      <c r="N171" s="179"/>
      <c r="O171" s="179"/>
      <c r="P171" s="179"/>
      <c r="Q171" s="179"/>
      <c r="R171" s="179"/>
      <c r="S171" s="179"/>
      <c r="T171" s="179"/>
      <c r="U171" s="179"/>
      <c r="V171" s="199"/>
      <c r="W171" s="179"/>
      <c r="X171" s="5"/>
    </row>
    <row r="172" spans="1:24" ht="15.6" x14ac:dyDescent="0.3">
      <c r="A172" s="177"/>
      <c r="B172" s="186"/>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278"/>
      <c r="B173" s="279" t="s">
        <v>58</v>
      </c>
      <c r="C173" s="279"/>
      <c r="D173" s="279"/>
      <c r="E173" s="279"/>
      <c r="F173" s="279"/>
      <c r="G173" s="279"/>
      <c r="H173" s="279"/>
      <c r="I173" s="279"/>
      <c r="J173" s="279"/>
      <c r="K173" s="279"/>
      <c r="L173" s="279"/>
      <c r="M173" s="279"/>
      <c r="N173" s="279"/>
      <c r="O173" s="279"/>
      <c r="P173" s="279"/>
      <c r="Q173" s="279"/>
      <c r="R173" s="279"/>
      <c r="S173" s="279"/>
      <c r="T173" s="279"/>
      <c r="U173" s="279"/>
      <c r="V173" s="330">
        <f>V71</f>
        <v>1015503</v>
      </c>
      <c r="W173" s="282"/>
      <c r="X173" s="5"/>
    </row>
    <row r="174" spans="1:24" ht="15.6" x14ac:dyDescent="0.3">
      <c r="A174" s="278"/>
      <c r="B174" s="279" t="s">
        <v>59</v>
      </c>
      <c r="C174" s="279"/>
      <c r="D174" s="279"/>
      <c r="E174" s="279"/>
      <c r="F174" s="279"/>
      <c r="G174" s="279"/>
      <c r="H174" s="279"/>
      <c r="I174" s="279"/>
      <c r="J174" s="279"/>
      <c r="K174" s="279"/>
      <c r="L174" s="279"/>
      <c r="M174" s="279"/>
      <c r="N174" s="279"/>
      <c r="O174" s="279"/>
      <c r="P174" s="279"/>
      <c r="Q174" s="279"/>
      <c r="R174" s="279"/>
      <c r="S174" s="279"/>
      <c r="T174" s="279"/>
      <c r="U174" s="279"/>
      <c r="V174" s="330">
        <f>V84</f>
        <v>1015503</v>
      </c>
      <c r="W174" s="282"/>
      <c r="X174" s="5"/>
    </row>
    <row r="175" spans="1:24" ht="16.2" thickBot="1" x14ac:dyDescent="0.35">
      <c r="A175" s="177"/>
      <c r="B175" s="275"/>
      <c r="C175" s="275"/>
      <c r="D175" s="275"/>
      <c r="E175" s="275"/>
      <c r="F175" s="275"/>
      <c r="G175" s="275"/>
      <c r="H175" s="275"/>
      <c r="I175" s="275"/>
      <c r="J175" s="275"/>
      <c r="K175" s="275"/>
      <c r="L175" s="275"/>
      <c r="M175" s="275"/>
      <c r="N175" s="275"/>
      <c r="O175" s="275"/>
      <c r="P175" s="275"/>
      <c r="Q175" s="275"/>
      <c r="R175" s="275"/>
      <c r="S175" s="275"/>
      <c r="T175" s="275"/>
      <c r="U175" s="275"/>
      <c r="V175" s="338"/>
      <c r="W175" s="275"/>
      <c r="X175" s="5"/>
    </row>
    <row r="176" spans="1:24"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76"/>
      <c r="U176" s="176"/>
      <c r="V176" s="198"/>
      <c r="W176" s="176"/>
      <c r="X176" s="5"/>
    </row>
    <row r="177" spans="1:24" ht="15.6" x14ac:dyDescent="0.3">
      <c r="A177" s="177"/>
      <c r="B177" s="208" t="s">
        <v>60</v>
      </c>
      <c r="C177" s="203"/>
      <c r="D177" s="203"/>
      <c r="E177" s="203"/>
      <c r="F177" s="203"/>
      <c r="G177" s="203"/>
      <c r="H177" s="210"/>
      <c r="I177" s="210"/>
      <c r="J177" s="210"/>
      <c r="K177" s="210"/>
      <c r="L177" s="210"/>
      <c r="M177" s="210"/>
      <c r="N177" s="210"/>
      <c r="O177" s="210"/>
      <c r="P177" s="210"/>
      <c r="Q177" s="210"/>
      <c r="R177" s="210"/>
      <c r="S177" s="210" t="s">
        <v>103</v>
      </c>
      <c r="T177" s="210" t="s">
        <v>182</v>
      </c>
      <c r="U177" s="181"/>
      <c r="V177" s="211" t="s">
        <v>119</v>
      </c>
      <c r="W177" s="212"/>
      <c r="X177" s="5"/>
    </row>
    <row r="178" spans="1:24" ht="15.6" x14ac:dyDescent="0.3">
      <c r="A178" s="278"/>
      <c r="B178" s="279" t="s">
        <v>61</v>
      </c>
      <c r="C178" s="279"/>
      <c r="D178" s="279"/>
      <c r="E178" s="279"/>
      <c r="F178" s="279"/>
      <c r="G178" s="279"/>
      <c r="H178" s="279"/>
      <c r="I178" s="279"/>
      <c r="J178" s="279"/>
      <c r="K178" s="279"/>
      <c r="L178" s="279"/>
      <c r="M178" s="279"/>
      <c r="N178" s="279"/>
      <c r="O178" s="279"/>
      <c r="P178" s="279"/>
      <c r="Q178" s="279"/>
      <c r="R178" s="279"/>
      <c r="S178" s="330">
        <f>+V34*0.16</f>
        <v>240032.80000000002</v>
      </c>
      <c r="T178" s="317"/>
      <c r="U178" s="279"/>
      <c r="V178" s="330"/>
      <c r="W178" s="310"/>
      <c r="X178" s="5"/>
    </row>
    <row r="179" spans="1:24" ht="15.6" x14ac:dyDescent="0.3">
      <c r="A179" s="278"/>
      <c r="B179" s="279" t="s">
        <v>62</v>
      </c>
      <c r="C179" s="279"/>
      <c r="D179" s="279"/>
      <c r="E179" s="279"/>
      <c r="F179" s="279"/>
      <c r="G179" s="279"/>
      <c r="H179" s="279"/>
      <c r="I179" s="279"/>
      <c r="J179" s="279"/>
      <c r="K179" s="279"/>
      <c r="L179" s="279"/>
      <c r="M179" s="279"/>
      <c r="N179" s="279"/>
      <c r="O179" s="279"/>
      <c r="P179" s="279"/>
      <c r="Q179" s="279"/>
      <c r="R179" s="279"/>
      <c r="S179" s="330">
        <f>+'Oct 10'!S181</f>
        <v>47774</v>
      </c>
      <c r="T179" s="330">
        <f>+'Oct 10'!T181</f>
        <v>6288</v>
      </c>
      <c r="U179" s="279"/>
      <c r="V179" s="330">
        <f>S179+T179</f>
        <v>54062</v>
      </c>
      <c r="W179" s="310"/>
      <c r="X179" s="5"/>
    </row>
    <row r="180" spans="1:24" ht="15.6" x14ac:dyDescent="0.3">
      <c r="A180" s="278"/>
      <c r="B180" s="279" t="s">
        <v>63</v>
      </c>
      <c r="C180" s="279"/>
      <c r="D180" s="279"/>
      <c r="E180" s="279"/>
      <c r="F180" s="279"/>
      <c r="G180" s="279"/>
      <c r="H180" s="279"/>
      <c r="I180" s="279"/>
      <c r="J180" s="279"/>
      <c r="K180" s="279"/>
      <c r="L180" s="279"/>
      <c r="M180" s="279"/>
      <c r="N180" s="279"/>
      <c r="O180" s="279"/>
      <c r="P180" s="279"/>
      <c r="Q180" s="279"/>
      <c r="R180" s="279"/>
      <c r="S180" s="329">
        <v>70</v>
      </c>
      <c r="T180" s="329">
        <v>0</v>
      </c>
      <c r="U180" s="279"/>
      <c r="V180" s="330">
        <f>S180+T180</f>
        <v>70</v>
      </c>
      <c r="W180" s="310"/>
      <c r="X180" s="5"/>
    </row>
    <row r="181" spans="1:24" ht="15.6" x14ac:dyDescent="0.3">
      <c r="A181" s="278"/>
      <c r="B181" s="279" t="s">
        <v>64</v>
      </c>
      <c r="C181" s="279"/>
      <c r="D181" s="279"/>
      <c r="E181" s="279"/>
      <c r="F181" s="279"/>
      <c r="G181" s="279"/>
      <c r="H181" s="279"/>
      <c r="I181" s="279"/>
      <c r="J181" s="279"/>
      <c r="K181" s="279"/>
      <c r="L181" s="279"/>
      <c r="M181" s="279"/>
      <c r="N181" s="279"/>
      <c r="O181" s="279"/>
      <c r="P181" s="279"/>
      <c r="Q181" s="279"/>
      <c r="R181" s="279"/>
      <c r="S181" s="330">
        <f>S179+S180</f>
        <v>47844</v>
      </c>
      <c r="T181" s="330">
        <f>T180+T179</f>
        <v>6288</v>
      </c>
      <c r="U181" s="279"/>
      <c r="V181" s="330">
        <f>S181+T181</f>
        <v>54132</v>
      </c>
      <c r="W181" s="310"/>
      <c r="X181" s="5"/>
    </row>
    <row r="182" spans="1:24" ht="15.6" x14ac:dyDescent="0.3">
      <c r="A182" s="278"/>
      <c r="B182" s="279" t="s">
        <v>65</v>
      </c>
      <c r="C182" s="279"/>
      <c r="D182" s="279"/>
      <c r="E182" s="279"/>
      <c r="F182" s="279"/>
      <c r="G182" s="279"/>
      <c r="H182" s="279"/>
      <c r="I182" s="279"/>
      <c r="J182" s="279"/>
      <c r="K182" s="279"/>
      <c r="L182" s="279"/>
      <c r="M182" s="279"/>
      <c r="N182" s="279"/>
      <c r="O182" s="279"/>
      <c r="P182" s="279"/>
      <c r="Q182" s="279"/>
      <c r="R182" s="279"/>
      <c r="S182" s="330">
        <f>S178-S181-T181</f>
        <v>185900.80000000002</v>
      </c>
      <c r="T182" s="317"/>
      <c r="U182" s="279"/>
      <c r="V182" s="330"/>
      <c r="W182" s="310"/>
      <c r="X182" s="5"/>
    </row>
    <row r="183" spans="1:24" ht="16.2" thickBot="1" x14ac:dyDescent="0.35">
      <c r="A183" s="177"/>
      <c r="B183" s="275"/>
      <c r="C183" s="275"/>
      <c r="D183" s="275"/>
      <c r="E183" s="275"/>
      <c r="F183" s="275"/>
      <c r="G183" s="275"/>
      <c r="H183" s="275"/>
      <c r="I183" s="275"/>
      <c r="J183" s="275"/>
      <c r="K183" s="275"/>
      <c r="L183" s="275"/>
      <c r="M183" s="275"/>
      <c r="N183" s="275"/>
      <c r="O183" s="275"/>
      <c r="P183" s="275"/>
      <c r="Q183" s="275"/>
      <c r="R183" s="275"/>
      <c r="S183" s="275"/>
      <c r="T183" s="275"/>
      <c r="U183" s="275"/>
      <c r="V183" s="338"/>
      <c r="W183" s="275"/>
      <c r="X183" s="5"/>
    </row>
    <row r="184" spans="1:24"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76"/>
      <c r="U184" s="176"/>
      <c r="V184" s="198"/>
      <c r="W184" s="176"/>
      <c r="X184" s="5"/>
    </row>
    <row r="185" spans="1:24" ht="15.6" x14ac:dyDescent="0.3">
      <c r="A185" s="177"/>
      <c r="B185" s="208" t="s">
        <v>66</v>
      </c>
      <c r="C185" s="179"/>
      <c r="D185" s="179"/>
      <c r="E185" s="179"/>
      <c r="F185" s="179"/>
      <c r="G185" s="179"/>
      <c r="H185" s="179"/>
      <c r="I185" s="179"/>
      <c r="J185" s="179"/>
      <c r="K185" s="179"/>
      <c r="L185" s="179"/>
      <c r="M185" s="179"/>
      <c r="N185" s="179"/>
      <c r="O185" s="179"/>
      <c r="P185" s="179"/>
      <c r="Q185" s="179"/>
      <c r="R185" s="179"/>
      <c r="S185" s="179"/>
      <c r="T185" s="179"/>
      <c r="U185" s="179"/>
      <c r="V185" s="213"/>
      <c r="W185" s="179"/>
      <c r="X185" s="5"/>
    </row>
    <row r="186" spans="1:24" ht="15.6" x14ac:dyDescent="0.3">
      <c r="A186" s="278"/>
      <c r="B186" s="279" t="s">
        <v>67</v>
      </c>
      <c r="C186" s="279"/>
      <c r="D186" s="279"/>
      <c r="E186" s="279"/>
      <c r="F186" s="279"/>
      <c r="G186" s="279"/>
      <c r="H186" s="279"/>
      <c r="I186" s="279"/>
      <c r="J186" s="279"/>
      <c r="K186" s="279"/>
      <c r="L186" s="279"/>
      <c r="M186" s="279"/>
      <c r="N186" s="279"/>
      <c r="O186" s="279"/>
      <c r="P186" s="279"/>
      <c r="Q186" s="279"/>
      <c r="R186" s="279"/>
      <c r="S186" s="279"/>
      <c r="T186" s="279"/>
      <c r="U186" s="279"/>
      <c r="V186" s="339">
        <f>(V100+V102+V103+V104+V105)/-(V106+V107)</f>
        <v>3.4237382140876318</v>
      </c>
      <c r="W186" s="282" t="s">
        <v>120</v>
      </c>
      <c r="X186" s="5"/>
    </row>
    <row r="187" spans="1:24" ht="15.6" x14ac:dyDescent="0.3">
      <c r="A187" s="278"/>
      <c r="B187" s="279" t="s">
        <v>68</v>
      </c>
      <c r="C187" s="279"/>
      <c r="D187" s="279"/>
      <c r="E187" s="279"/>
      <c r="F187" s="279"/>
      <c r="G187" s="279"/>
      <c r="H187" s="279"/>
      <c r="I187" s="279"/>
      <c r="J187" s="279"/>
      <c r="K187" s="279"/>
      <c r="L187" s="279"/>
      <c r="M187" s="279"/>
      <c r="N187" s="279"/>
      <c r="O187" s="279"/>
      <c r="P187" s="279"/>
      <c r="Q187" s="279"/>
      <c r="R187" s="279"/>
      <c r="S187" s="279"/>
      <c r="T187" s="279"/>
      <c r="U187" s="279"/>
      <c r="V187" s="341">
        <v>1.53</v>
      </c>
      <c r="W187" s="282" t="s">
        <v>120</v>
      </c>
      <c r="X187" s="5"/>
    </row>
    <row r="188" spans="1:24" ht="15.6" x14ac:dyDescent="0.3">
      <c r="A188" s="278"/>
      <c r="B188" s="279" t="s">
        <v>69</v>
      </c>
      <c r="C188" s="279"/>
      <c r="D188" s="279"/>
      <c r="E188" s="279"/>
      <c r="F188" s="279"/>
      <c r="G188" s="279"/>
      <c r="H188" s="279"/>
      <c r="I188" s="279"/>
      <c r="J188" s="279"/>
      <c r="K188" s="279"/>
      <c r="L188" s="279"/>
      <c r="M188" s="279"/>
      <c r="N188" s="279"/>
      <c r="O188" s="279"/>
      <c r="P188" s="279"/>
      <c r="Q188" s="279"/>
      <c r="R188" s="279"/>
      <c r="S188" s="279"/>
      <c r="T188" s="279"/>
      <c r="U188" s="279"/>
      <c r="V188" s="339">
        <f>(V100+V102+V103+V104+V105+V106+V107)/-(V108+V109)</f>
        <v>15.719424460431656</v>
      </c>
      <c r="W188" s="282" t="s">
        <v>120</v>
      </c>
      <c r="X188" s="5"/>
    </row>
    <row r="189" spans="1:24" ht="15.6" x14ac:dyDescent="0.3">
      <c r="A189" s="278"/>
      <c r="B189" s="279" t="s">
        <v>70</v>
      </c>
      <c r="C189" s="279"/>
      <c r="D189" s="279"/>
      <c r="E189" s="279"/>
      <c r="F189" s="279"/>
      <c r="G189" s="279"/>
      <c r="H189" s="279"/>
      <c r="I189" s="279"/>
      <c r="J189" s="279"/>
      <c r="K189" s="279"/>
      <c r="L189" s="279"/>
      <c r="M189" s="279"/>
      <c r="N189" s="279"/>
      <c r="O189" s="279"/>
      <c r="P189" s="279"/>
      <c r="Q189" s="279"/>
      <c r="R189" s="279"/>
      <c r="S189" s="279"/>
      <c r="T189" s="279"/>
      <c r="U189" s="279"/>
      <c r="V189" s="341">
        <v>5.03</v>
      </c>
      <c r="W189" s="282" t="s">
        <v>120</v>
      </c>
      <c r="X189" s="5"/>
    </row>
    <row r="190" spans="1:24" ht="15.6" x14ac:dyDescent="0.3">
      <c r="A190" s="278"/>
      <c r="B190" s="279" t="s">
        <v>204</v>
      </c>
      <c r="C190" s="279"/>
      <c r="D190" s="279"/>
      <c r="E190" s="279"/>
      <c r="F190" s="279"/>
      <c r="G190" s="279"/>
      <c r="H190" s="279"/>
      <c r="I190" s="279"/>
      <c r="J190" s="279"/>
      <c r="K190" s="279"/>
      <c r="L190" s="279"/>
      <c r="M190" s="279"/>
      <c r="N190" s="279"/>
      <c r="O190" s="279"/>
      <c r="P190" s="279"/>
      <c r="Q190" s="279"/>
      <c r="R190" s="279"/>
      <c r="S190" s="279"/>
      <c r="T190" s="279"/>
      <c r="U190" s="279"/>
      <c r="V190" s="339">
        <f>(V100+V102+V103+V104+V105+V106+V107+V108+V109)/-(V110+V111)</f>
        <v>14.826086956521738</v>
      </c>
      <c r="W190" s="282" t="s">
        <v>120</v>
      </c>
      <c r="X190" s="5"/>
    </row>
    <row r="191" spans="1:24" ht="15.6" x14ac:dyDescent="0.3">
      <c r="A191" s="278"/>
      <c r="B191" s="279" t="s">
        <v>205</v>
      </c>
      <c r="C191" s="279"/>
      <c r="D191" s="279"/>
      <c r="E191" s="279"/>
      <c r="F191" s="279"/>
      <c r="G191" s="279"/>
      <c r="H191" s="279"/>
      <c r="I191" s="279"/>
      <c r="J191" s="279"/>
      <c r="K191" s="279"/>
      <c r="L191" s="279"/>
      <c r="M191" s="279"/>
      <c r="N191" s="279"/>
      <c r="O191" s="279"/>
      <c r="P191" s="279"/>
      <c r="Q191" s="279"/>
      <c r="R191" s="279"/>
      <c r="S191" s="279"/>
      <c r="T191" s="279"/>
      <c r="U191" s="279"/>
      <c r="V191" s="341">
        <v>4.72</v>
      </c>
      <c r="W191" s="282" t="s">
        <v>120</v>
      </c>
      <c r="X191" s="5"/>
    </row>
    <row r="192" spans="1:24" ht="15.6" x14ac:dyDescent="0.3">
      <c r="A192" s="278"/>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82"/>
      <c r="X192" s="5"/>
    </row>
    <row r="193" spans="1:24" ht="15.6" x14ac:dyDescent="0.3">
      <c r="A193" s="177"/>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5"/>
    </row>
    <row r="194" spans="1:24" ht="15.6" x14ac:dyDescent="0.3">
      <c r="A194" s="177"/>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5"/>
    </row>
    <row r="195" spans="1:24" ht="18" thickBot="1" x14ac:dyDescent="0.35">
      <c r="A195" s="194"/>
      <c r="B195" s="264" t="str">
        <f>B135</f>
        <v>PM12 INVESTOR REPORT QUARTER ENDING JANUARY 2011</v>
      </c>
      <c r="C195" s="265"/>
      <c r="D195" s="265"/>
      <c r="E195" s="265"/>
      <c r="F195" s="265"/>
      <c r="G195" s="265"/>
      <c r="H195" s="265"/>
      <c r="I195" s="265"/>
      <c r="J195" s="265"/>
      <c r="K195" s="265"/>
      <c r="L195" s="265"/>
      <c r="M195" s="265"/>
      <c r="N195" s="265"/>
      <c r="O195" s="265"/>
      <c r="P195" s="265"/>
      <c r="Q195" s="265"/>
      <c r="R195" s="265"/>
      <c r="S195" s="265"/>
      <c r="T195" s="265"/>
      <c r="U195" s="265"/>
      <c r="V195" s="265"/>
      <c r="W195" s="266"/>
      <c r="X195" s="5"/>
    </row>
    <row r="196" spans="1:24" ht="15.6" x14ac:dyDescent="0.3">
      <c r="A196" s="235"/>
      <c r="B196" s="238" t="s">
        <v>71</v>
      </c>
      <c r="C196" s="239"/>
      <c r="D196" s="239"/>
      <c r="E196" s="239"/>
      <c r="F196" s="239"/>
      <c r="G196" s="240"/>
      <c r="H196" s="240"/>
      <c r="I196" s="240"/>
      <c r="J196" s="240"/>
      <c r="K196" s="240"/>
      <c r="L196" s="240"/>
      <c r="M196" s="240"/>
      <c r="N196" s="240"/>
      <c r="O196" s="240"/>
      <c r="P196" s="240"/>
      <c r="Q196" s="240"/>
      <c r="R196" s="240"/>
      <c r="S196" s="240"/>
      <c r="T196" s="240">
        <v>40574</v>
      </c>
      <c r="U196" s="236"/>
      <c r="V196" s="236"/>
      <c r="W196" s="236"/>
      <c r="X196" s="5"/>
    </row>
    <row r="197" spans="1:24" ht="15.6" x14ac:dyDescent="0.3">
      <c r="A197" s="214"/>
      <c r="B197" s="215"/>
      <c r="C197" s="216"/>
      <c r="D197" s="216"/>
      <c r="E197" s="216"/>
      <c r="F197" s="216"/>
      <c r="G197" s="217"/>
      <c r="H197" s="217"/>
      <c r="I197" s="217"/>
      <c r="J197" s="217"/>
      <c r="K197" s="217"/>
      <c r="L197" s="217"/>
      <c r="M197" s="217"/>
      <c r="N197" s="217"/>
      <c r="O197" s="217"/>
      <c r="P197" s="217"/>
      <c r="Q197" s="217"/>
      <c r="R197" s="217"/>
      <c r="S197" s="217"/>
      <c r="T197" s="217"/>
      <c r="U197" s="179"/>
      <c r="V197" s="179"/>
      <c r="W197" s="179"/>
      <c r="X197" s="5"/>
    </row>
    <row r="198" spans="1:24" ht="15.6" x14ac:dyDescent="0.3">
      <c r="A198" s="344"/>
      <c r="B198" s="279" t="s">
        <v>72</v>
      </c>
      <c r="C198" s="345"/>
      <c r="D198" s="345"/>
      <c r="E198" s="345"/>
      <c r="F198" s="345"/>
      <c r="G198" s="322"/>
      <c r="H198" s="322"/>
      <c r="I198" s="322"/>
      <c r="J198" s="322"/>
      <c r="K198" s="322"/>
      <c r="L198" s="322"/>
      <c r="M198" s="322"/>
      <c r="N198" s="322"/>
      <c r="O198" s="322"/>
      <c r="P198" s="322"/>
      <c r="Q198" s="322"/>
      <c r="R198" s="322"/>
      <c r="S198" s="322"/>
      <c r="T198" s="313">
        <v>5.2060000000000002E-2</v>
      </c>
      <c r="U198" s="279"/>
      <c r="V198" s="279"/>
      <c r="W198" s="310"/>
      <c r="X198" s="5"/>
    </row>
    <row r="199" spans="1:24" ht="15.6" x14ac:dyDescent="0.3">
      <c r="A199" s="344"/>
      <c r="B199" s="279" t="s">
        <v>156</v>
      </c>
      <c r="C199" s="345"/>
      <c r="D199" s="345"/>
      <c r="E199" s="345"/>
      <c r="F199" s="345"/>
      <c r="G199" s="322"/>
      <c r="H199" s="322"/>
      <c r="I199" s="322"/>
      <c r="J199" s="322"/>
      <c r="K199" s="322"/>
      <c r="L199" s="322"/>
      <c r="M199" s="322"/>
      <c r="N199" s="322"/>
      <c r="O199" s="322"/>
      <c r="P199" s="322"/>
      <c r="Q199" s="322"/>
      <c r="R199" s="322"/>
      <c r="S199" s="322"/>
      <c r="T199" s="313">
        <f>'Oct 06'!T197</f>
        <v>4.8538814772447772E-2</v>
      </c>
      <c r="U199" s="279"/>
      <c r="V199" s="279"/>
      <c r="W199" s="310"/>
      <c r="X199" s="5"/>
    </row>
    <row r="200" spans="1:24" ht="15.6" x14ac:dyDescent="0.3">
      <c r="A200" s="344"/>
      <c r="B200" s="279" t="s">
        <v>73</v>
      </c>
      <c r="C200" s="345"/>
      <c r="D200" s="345"/>
      <c r="E200" s="345"/>
      <c r="F200" s="345"/>
      <c r="G200" s="322"/>
      <c r="H200" s="322"/>
      <c r="I200" s="322"/>
      <c r="J200" s="322"/>
      <c r="K200" s="322"/>
      <c r="L200" s="322"/>
      <c r="M200" s="322"/>
      <c r="N200" s="322"/>
      <c r="O200" s="322"/>
      <c r="P200" s="322"/>
      <c r="Q200" s="322"/>
      <c r="R200" s="322"/>
      <c r="S200" s="322"/>
      <c r="T200" s="313">
        <f>T198-T199</f>
        <v>3.5211852275522301E-3</v>
      </c>
      <c r="U200" s="279"/>
      <c r="V200" s="279"/>
      <c r="W200" s="310"/>
      <c r="X200" s="5"/>
    </row>
    <row r="201" spans="1:24" ht="15.6" x14ac:dyDescent="0.3">
      <c r="A201" s="344"/>
      <c r="B201" s="279" t="s">
        <v>74</v>
      </c>
      <c r="C201" s="345"/>
      <c r="D201" s="345"/>
      <c r="E201" s="345"/>
      <c r="F201" s="345"/>
      <c r="G201" s="322"/>
      <c r="H201" s="322"/>
      <c r="I201" s="322"/>
      <c r="J201" s="322"/>
      <c r="K201" s="322"/>
      <c r="L201" s="322"/>
      <c r="M201" s="322"/>
      <c r="N201" s="322"/>
      <c r="O201" s="322"/>
      <c r="P201" s="322"/>
      <c r="Q201" s="322"/>
      <c r="R201" s="322"/>
      <c r="S201" s="322"/>
      <c r="T201" s="313">
        <v>2.5319999999999999E-2</v>
      </c>
      <c r="U201" s="279"/>
      <c r="V201" s="279"/>
      <c r="W201" s="310"/>
      <c r="X201" s="5"/>
    </row>
    <row r="202" spans="1:24" ht="15.6" x14ac:dyDescent="0.3">
      <c r="A202" s="344"/>
      <c r="B202" s="279" t="s">
        <v>225</v>
      </c>
      <c r="C202" s="345"/>
      <c r="D202" s="345"/>
      <c r="E202" s="345"/>
      <c r="F202" s="345"/>
      <c r="G202" s="322"/>
      <c r="H202" s="322"/>
      <c r="I202" s="322"/>
      <c r="J202" s="322"/>
      <c r="K202" s="322"/>
      <c r="L202" s="322"/>
      <c r="M202" s="322"/>
      <c r="N202" s="322"/>
      <c r="O202" s="322"/>
      <c r="P202" s="322"/>
      <c r="Q202" s="322"/>
      <c r="R202" s="322"/>
      <c r="S202" s="322"/>
      <c r="T202" s="313">
        <f>V43</f>
        <v>9.1378685980253831E-3</v>
      </c>
      <c r="U202" s="279"/>
      <c r="V202" s="279"/>
      <c r="W202" s="310"/>
      <c r="X202" s="5"/>
    </row>
    <row r="203" spans="1:24" ht="15.6" x14ac:dyDescent="0.3">
      <c r="A203" s="344"/>
      <c r="B203" s="279" t="s">
        <v>75</v>
      </c>
      <c r="C203" s="345"/>
      <c r="D203" s="345"/>
      <c r="E203" s="345"/>
      <c r="F203" s="345"/>
      <c r="G203" s="322"/>
      <c r="H203" s="322"/>
      <c r="I203" s="322"/>
      <c r="J203" s="322"/>
      <c r="K203" s="322"/>
      <c r="L203" s="322"/>
      <c r="M203" s="322"/>
      <c r="N203" s="322"/>
      <c r="O203" s="322"/>
      <c r="P203" s="322"/>
      <c r="Q203" s="322"/>
      <c r="R203" s="322"/>
      <c r="S203" s="322"/>
      <c r="T203" s="313">
        <f>T201-T202</f>
        <v>1.6182131401974616E-2</v>
      </c>
      <c r="U203" s="279"/>
      <c r="V203" s="279"/>
      <c r="W203" s="310"/>
      <c r="X203" s="5"/>
    </row>
    <row r="204" spans="1:24" ht="15.6" x14ac:dyDescent="0.3">
      <c r="A204" s="344"/>
      <c r="B204" s="279" t="s">
        <v>271</v>
      </c>
      <c r="C204" s="345"/>
      <c r="D204" s="345"/>
      <c r="E204" s="345"/>
      <c r="F204" s="345"/>
      <c r="G204" s="322"/>
      <c r="H204" s="322"/>
      <c r="I204" s="322"/>
      <c r="J204" s="322"/>
      <c r="K204" s="322"/>
      <c r="L204" s="322"/>
      <c r="M204" s="322"/>
      <c r="N204" s="322"/>
      <c r="O204" s="322"/>
      <c r="P204" s="322"/>
      <c r="Q204" s="322"/>
      <c r="R204" s="322"/>
      <c r="S204" s="322"/>
      <c r="T204" s="313">
        <f>+V100/N71</f>
        <v>6.9989439058679168E-3</v>
      </c>
      <c r="U204" s="279"/>
      <c r="V204" s="279"/>
      <c r="W204" s="310"/>
      <c r="X204" s="5"/>
    </row>
    <row r="205" spans="1:24" ht="15.6" x14ac:dyDescent="0.3">
      <c r="A205" s="344"/>
      <c r="B205" s="279" t="s">
        <v>214</v>
      </c>
      <c r="C205" s="345"/>
      <c r="D205" s="345"/>
      <c r="E205" s="345"/>
      <c r="F205" s="345"/>
      <c r="G205" s="322"/>
      <c r="H205" s="322"/>
      <c r="I205" s="322"/>
      <c r="J205" s="322"/>
      <c r="K205" s="322"/>
      <c r="L205" s="322"/>
      <c r="M205" s="322"/>
      <c r="N205" s="322"/>
      <c r="O205" s="322"/>
      <c r="P205" s="322"/>
      <c r="Q205" s="322"/>
      <c r="R205" s="322"/>
      <c r="S205" s="322"/>
      <c r="T205" s="346">
        <v>50710</v>
      </c>
      <c r="U205" s="279"/>
      <c r="V205" s="279"/>
      <c r="W205" s="310"/>
      <c r="X205" s="5"/>
    </row>
    <row r="206" spans="1:24" ht="15.6" x14ac:dyDescent="0.3">
      <c r="A206" s="344"/>
      <c r="B206" s="279" t="s">
        <v>215</v>
      </c>
      <c r="C206" s="345"/>
      <c r="D206" s="345"/>
      <c r="E206" s="345"/>
      <c r="F206" s="345"/>
      <c r="G206" s="322"/>
      <c r="H206" s="322"/>
      <c r="I206" s="322"/>
      <c r="J206" s="322"/>
      <c r="K206" s="322"/>
      <c r="L206" s="322"/>
      <c r="M206" s="322"/>
      <c r="N206" s="322"/>
      <c r="O206" s="322"/>
      <c r="P206" s="322"/>
      <c r="Q206" s="322"/>
      <c r="R206" s="322"/>
      <c r="S206" s="322"/>
      <c r="T206" s="346">
        <v>50710</v>
      </c>
      <c r="U206" s="279"/>
      <c r="V206" s="279"/>
      <c r="W206" s="310"/>
      <c r="X206" s="5"/>
    </row>
    <row r="207" spans="1:24" ht="15.6" x14ac:dyDescent="0.3">
      <c r="A207" s="344"/>
      <c r="B207" s="279" t="s">
        <v>216</v>
      </c>
      <c r="C207" s="345"/>
      <c r="D207" s="345"/>
      <c r="E207" s="345"/>
      <c r="F207" s="345"/>
      <c r="G207" s="322"/>
      <c r="H207" s="322"/>
      <c r="I207" s="322"/>
      <c r="J207" s="322"/>
      <c r="K207" s="322"/>
      <c r="L207" s="322"/>
      <c r="M207" s="322"/>
      <c r="N207" s="322"/>
      <c r="O207" s="322"/>
      <c r="P207" s="322"/>
      <c r="Q207" s="322"/>
      <c r="R207" s="322"/>
      <c r="S207" s="322"/>
      <c r="T207" s="346">
        <v>50710</v>
      </c>
      <c r="U207" s="279"/>
      <c r="V207" s="279"/>
      <c r="W207" s="310"/>
      <c r="X207" s="5"/>
    </row>
    <row r="208" spans="1:24" ht="15.6" x14ac:dyDescent="0.3">
      <c r="A208" s="344"/>
      <c r="B208" s="279" t="s">
        <v>76</v>
      </c>
      <c r="C208" s="345"/>
      <c r="D208" s="345"/>
      <c r="E208" s="345"/>
      <c r="F208" s="345"/>
      <c r="G208" s="322"/>
      <c r="H208" s="322"/>
      <c r="I208" s="322"/>
      <c r="J208" s="322"/>
      <c r="K208" s="322"/>
      <c r="L208" s="322"/>
      <c r="M208" s="322"/>
      <c r="N208" s="322"/>
      <c r="O208" s="322"/>
      <c r="P208" s="322"/>
      <c r="Q208" s="322"/>
      <c r="R208" s="322"/>
      <c r="S208" s="322"/>
      <c r="T208" s="319">
        <v>21.06</v>
      </c>
      <c r="U208" s="279" t="s">
        <v>115</v>
      </c>
      <c r="V208" s="279"/>
      <c r="W208" s="310"/>
      <c r="X208" s="5"/>
    </row>
    <row r="209" spans="1:24" ht="15.6" x14ac:dyDescent="0.3">
      <c r="A209" s="344"/>
      <c r="B209" s="279" t="s">
        <v>77</v>
      </c>
      <c r="C209" s="345"/>
      <c r="D209" s="345"/>
      <c r="E209" s="345"/>
      <c r="F209" s="345"/>
      <c r="G209" s="322"/>
      <c r="H209" s="322"/>
      <c r="I209" s="322"/>
      <c r="J209" s="322"/>
      <c r="K209" s="322"/>
      <c r="L209" s="322"/>
      <c r="M209" s="322"/>
      <c r="N209" s="322"/>
      <c r="O209" s="322"/>
      <c r="P209" s="322"/>
      <c r="Q209" s="322"/>
      <c r="R209" s="322"/>
      <c r="S209" s="322"/>
      <c r="T209" s="319">
        <v>16.61</v>
      </c>
      <c r="U209" s="279" t="s">
        <v>115</v>
      </c>
      <c r="V209" s="279"/>
      <c r="W209" s="310"/>
      <c r="X209" s="5"/>
    </row>
    <row r="210" spans="1:24" ht="15.6" x14ac:dyDescent="0.3">
      <c r="A210" s="344"/>
      <c r="B210" s="279" t="s">
        <v>78</v>
      </c>
      <c r="C210" s="345"/>
      <c r="D210" s="345"/>
      <c r="E210" s="345"/>
      <c r="F210" s="345"/>
      <c r="G210" s="322"/>
      <c r="H210" s="322"/>
      <c r="I210" s="322"/>
      <c r="J210" s="322"/>
      <c r="K210" s="322"/>
      <c r="L210" s="322"/>
      <c r="M210" s="322"/>
      <c r="N210" s="322"/>
      <c r="O210" s="322"/>
      <c r="P210" s="322"/>
      <c r="Q210" s="322"/>
      <c r="R210" s="322"/>
      <c r="S210" s="322"/>
      <c r="T210" s="313">
        <f>P68/N68</f>
        <v>7.9905586552336261E-3</v>
      </c>
      <c r="U210" s="279"/>
      <c r="V210" s="279"/>
      <c r="W210" s="310"/>
      <c r="X210" s="5"/>
    </row>
    <row r="211" spans="1:24" ht="15.6" x14ac:dyDescent="0.3">
      <c r="A211" s="344"/>
      <c r="B211" s="279" t="s">
        <v>79</v>
      </c>
      <c r="C211" s="345"/>
      <c r="D211" s="345"/>
      <c r="E211" s="345"/>
      <c r="F211" s="345"/>
      <c r="G211" s="322"/>
      <c r="H211" s="322"/>
      <c r="I211" s="322"/>
      <c r="J211" s="322"/>
      <c r="K211" s="322"/>
      <c r="L211" s="322"/>
      <c r="M211" s="322"/>
      <c r="N211" s="322"/>
      <c r="O211" s="322"/>
      <c r="P211" s="322"/>
      <c r="Q211" s="322"/>
      <c r="R211" s="322"/>
      <c r="S211" s="322"/>
      <c r="T211" s="313">
        <v>9.0700000000000003E-2</v>
      </c>
      <c r="U211" s="279"/>
      <c r="V211" s="279"/>
      <c r="W211" s="310"/>
      <c r="X211" s="5"/>
    </row>
    <row r="212" spans="1:24" ht="15.6" x14ac:dyDescent="0.3">
      <c r="A212" s="214"/>
      <c r="B212" s="342"/>
      <c r="C212" s="342"/>
      <c r="D212" s="342"/>
      <c r="E212" s="342"/>
      <c r="F212" s="342"/>
      <c r="G212" s="275"/>
      <c r="H212" s="275"/>
      <c r="I212" s="275"/>
      <c r="J212" s="275"/>
      <c r="K212" s="275"/>
      <c r="L212" s="275"/>
      <c r="M212" s="275"/>
      <c r="N212" s="275"/>
      <c r="O212" s="275"/>
      <c r="P212" s="275"/>
      <c r="Q212" s="275"/>
      <c r="R212" s="275"/>
      <c r="S212" s="275"/>
      <c r="T212" s="338"/>
      <c r="U212" s="275"/>
      <c r="V212" s="343"/>
      <c r="W212" s="275"/>
      <c r="X212" s="5"/>
    </row>
    <row r="213" spans="1:24" ht="15.6" x14ac:dyDescent="0.3">
      <c r="A213" s="241"/>
      <c r="B213" s="230" t="s">
        <v>80</v>
      </c>
      <c r="C213" s="231"/>
      <c r="D213" s="231"/>
      <c r="E213" s="231"/>
      <c r="F213" s="242"/>
      <c r="G213" s="231"/>
      <c r="H213" s="231"/>
      <c r="I213" s="231"/>
      <c r="J213" s="231"/>
      <c r="K213" s="231"/>
      <c r="L213" s="231"/>
      <c r="M213" s="231"/>
      <c r="N213" s="231"/>
      <c r="O213" s="231"/>
      <c r="P213" s="231"/>
      <c r="Q213" s="231"/>
      <c r="R213" s="231"/>
      <c r="S213" s="231" t="s">
        <v>104</v>
      </c>
      <c r="T213" s="242" t="s">
        <v>111</v>
      </c>
      <c r="U213" s="224"/>
      <c r="V213" s="224"/>
      <c r="W213" s="224"/>
      <c r="X213" s="5"/>
    </row>
    <row r="214" spans="1:24" ht="15.6" x14ac:dyDescent="0.3">
      <c r="A214" s="219"/>
      <c r="B214" s="248" t="s">
        <v>81</v>
      </c>
      <c r="C214" s="204"/>
      <c r="D214" s="204"/>
      <c r="E214" s="204"/>
      <c r="F214" s="190"/>
      <c r="G214" s="190"/>
      <c r="H214" s="191"/>
      <c r="I214" s="191"/>
      <c r="J214" s="191"/>
      <c r="K214" s="191"/>
      <c r="L214" s="191"/>
      <c r="M214" s="191"/>
      <c r="N214" s="191"/>
      <c r="O214" s="191"/>
      <c r="P214" s="191"/>
      <c r="Q214" s="191"/>
      <c r="R214" s="191"/>
      <c r="S214" s="262">
        <v>1</v>
      </c>
      <c r="T214" s="263">
        <v>787</v>
      </c>
      <c r="U214" s="190"/>
      <c r="V214" s="218"/>
      <c r="W214" s="220"/>
      <c r="X214" s="5"/>
    </row>
    <row r="215" spans="1:24" ht="15.6" x14ac:dyDescent="0.3">
      <c r="A215" s="352"/>
      <c r="B215" s="279" t="s">
        <v>150</v>
      </c>
      <c r="C215" s="353"/>
      <c r="D215" s="353"/>
      <c r="E215" s="353"/>
      <c r="F215" s="305"/>
      <c r="G215" s="305"/>
      <c r="H215" s="308"/>
      <c r="I215" s="308"/>
      <c r="J215" s="308"/>
      <c r="K215" s="308"/>
      <c r="L215" s="308"/>
      <c r="M215" s="308"/>
      <c r="N215" s="308"/>
      <c r="O215" s="308"/>
      <c r="P215" s="308"/>
      <c r="Q215" s="308"/>
      <c r="R215" s="308"/>
      <c r="S215" s="354">
        <f>+R267</f>
        <v>144</v>
      </c>
      <c r="T215" s="355">
        <f>+T267</f>
        <v>24638</v>
      </c>
      <c r="U215" s="305"/>
      <c r="V215" s="356"/>
      <c r="W215" s="357"/>
      <c r="X215" s="5"/>
    </row>
    <row r="216" spans="1:24" ht="15.6" x14ac:dyDescent="0.3">
      <c r="A216" s="352"/>
      <c r="B216" s="279" t="s">
        <v>82</v>
      </c>
      <c r="C216" s="353"/>
      <c r="D216" s="353"/>
      <c r="E216" s="353"/>
      <c r="F216" s="305"/>
      <c r="G216" s="305"/>
      <c r="H216" s="308"/>
      <c r="I216" s="308"/>
      <c r="J216" s="308"/>
      <c r="K216" s="308"/>
      <c r="L216" s="308"/>
      <c r="M216" s="308"/>
      <c r="N216" s="308"/>
      <c r="O216" s="308"/>
      <c r="P216" s="308"/>
      <c r="Q216" s="308"/>
      <c r="R216" s="308"/>
      <c r="S216" s="354">
        <f>+R279</f>
        <v>0</v>
      </c>
      <c r="T216" s="355">
        <f>+T279</f>
        <v>0</v>
      </c>
      <c r="U216" s="305"/>
      <c r="V216" s="356"/>
      <c r="W216" s="357"/>
      <c r="X216" s="5"/>
    </row>
    <row r="217" spans="1:24" ht="15.6" x14ac:dyDescent="0.3">
      <c r="A217" s="352"/>
      <c r="B217" s="304" t="s">
        <v>83</v>
      </c>
      <c r="C217" s="353"/>
      <c r="D217" s="353"/>
      <c r="E217" s="353"/>
      <c r="F217" s="305"/>
      <c r="G217" s="305"/>
      <c r="H217" s="305"/>
      <c r="I217" s="305"/>
      <c r="J217" s="305"/>
      <c r="K217" s="305"/>
      <c r="L217" s="305"/>
      <c r="M217" s="305"/>
      <c r="N217" s="305"/>
      <c r="O217" s="305"/>
      <c r="P217" s="305"/>
      <c r="Q217" s="305"/>
      <c r="R217" s="305"/>
      <c r="S217" s="279"/>
      <c r="T217" s="355">
        <v>0</v>
      </c>
      <c r="U217" s="305"/>
      <c r="V217" s="356"/>
      <c r="W217" s="357"/>
      <c r="X217" s="5"/>
    </row>
    <row r="218" spans="1:24" ht="15.6" x14ac:dyDescent="0.3">
      <c r="A218" s="352"/>
      <c r="B218" s="304" t="s">
        <v>84</v>
      </c>
      <c r="C218" s="353"/>
      <c r="D218" s="353"/>
      <c r="E218" s="353"/>
      <c r="F218" s="305"/>
      <c r="G218" s="305"/>
      <c r="H218" s="305"/>
      <c r="I218" s="305"/>
      <c r="J218" s="305"/>
      <c r="K218" s="305"/>
      <c r="L218" s="305"/>
      <c r="M218" s="305"/>
      <c r="N218" s="305"/>
      <c r="O218" s="305"/>
      <c r="P218" s="305"/>
      <c r="Q218" s="305"/>
      <c r="R218" s="305"/>
      <c r="S218" s="279"/>
      <c r="T218" s="358" t="s">
        <v>112</v>
      </c>
      <c r="U218" s="305"/>
      <c r="V218" s="356"/>
      <c r="W218" s="357"/>
      <c r="X218" s="5"/>
    </row>
    <row r="219" spans="1:24" ht="15.6" x14ac:dyDescent="0.3">
      <c r="A219" s="359"/>
      <c r="B219" s="304" t="s">
        <v>85</v>
      </c>
      <c r="C219" s="360"/>
      <c r="D219" s="360"/>
      <c r="E219" s="360"/>
      <c r="F219" s="360"/>
      <c r="G219" s="305"/>
      <c r="H219" s="305"/>
      <c r="I219" s="305"/>
      <c r="J219" s="305"/>
      <c r="K219" s="305"/>
      <c r="L219" s="305"/>
      <c r="M219" s="305"/>
      <c r="N219" s="305"/>
      <c r="O219" s="305"/>
      <c r="P219" s="305"/>
      <c r="Q219" s="305"/>
      <c r="R219" s="305"/>
      <c r="S219" s="279"/>
      <c r="T219" s="355"/>
      <c r="U219" s="305"/>
      <c r="V219" s="356"/>
      <c r="W219" s="361"/>
      <c r="X219" s="5"/>
    </row>
    <row r="220" spans="1:24" ht="15.6" x14ac:dyDescent="0.3">
      <c r="A220" s="359"/>
      <c r="B220" s="284" t="s">
        <v>86</v>
      </c>
      <c r="C220" s="360"/>
      <c r="D220" s="360"/>
      <c r="E220" s="360"/>
      <c r="F220" s="360"/>
      <c r="G220" s="305"/>
      <c r="H220" s="305"/>
      <c r="I220" s="305"/>
      <c r="J220" s="305"/>
      <c r="K220" s="305"/>
      <c r="L220" s="305"/>
      <c r="M220" s="305"/>
      <c r="N220" s="305"/>
      <c r="O220" s="305"/>
      <c r="P220" s="305"/>
      <c r="Q220" s="305"/>
      <c r="R220" s="305"/>
      <c r="S220" s="287"/>
      <c r="T220" s="355">
        <f>+V164</f>
        <v>461</v>
      </c>
      <c r="U220" s="305"/>
      <c r="V220" s="356"/>
      <c r="W220" s="361"/>
      <c r="X220" s="5"/>
    </row>
    <row r="221" spans="1:24" ht="15.6" x14ac:dyDescent="0.3">
      <c r="A221" s="352"/>
      <c r="B221" s="279" t="s">
        <v>87</v>
      </c>
      <c r="C221" s="353"/>
      <c r="D221" s="353"/>
      <c r="E221" s="353"/>
      <c r="F221" s="353"/>
      <c r="G221" s="305"/>
      <c r="H221" s="305"/>
      <c r="I221" s="305"/>
      <c r="J221" s="305"/>
      <c r="K221" s="305"/>
      <c r="L221" s="305"/>
      <c r="M221" s="305"/>
      <c r="N221" s="305"/>
      <c r="O221" s="305"/>
      <c r="P221" s="305"/>
      <c r="Q221" s="305"/>
      <c r="R221" s="305"/>
      <c r="S221" s="287"/>
      <c r="T221" s="355">
        <f>'Oct 10'!T221+'Jan 11'!T220</f>
        <v>2831</v>
      </c>
      <c r="U221" s="305"/>
      <c r="V221" s="356"/>
      <c r="W221" s="361"/>
      <c r="X221" s="5"/>
    </row>
    <row r="222" spans="1:24" ht="15.6" x14ac:dyDescent="0.3">
      <c r="A222" s="359"/>
      <c r="B222" s="304" t="s">
        <v>292</v>
      </c>
      <c r="C222" s="360"/>
      <c r="D222" s="360"/>
      <c r="E222" s="360"/>
      <c r="F222" s="360"/>
      <c r="G222" s="305"/>
      <c r="H222" s="305"/>
      <c r="I222" s="305"/>
      <c r="J222" s="305"/>
      <c r="K222" s="305"/>
      <c r="L222" s="305"/>
      <c r="M222" s="305"/>
      <c r="N222" s="305"/>
      <c r="O222" s="305"/>
      <c r="P222" s="305"/>
      <c r="Q222" s="305"/>
      <c r="R222" s="305"/>
      <c r="S222" s="287"/>
      <c r="T222" s="355"/>
      <c r="U222" s="305"/>
      <c r="V222" s="356"/>
      <c r="W222" s="361"/>
      <c r="X222" s="5"/>
    </row>
    <row r="223" spans="1:24" ht="15.6" x14ac:dyDescent="0.3">
      <c r="A223" s="359"/>
      <c r="B223" s="279" t="s">
        <v>290</v>
      </c>
      <c r="C223" s="360"/>
      <c r="D223" s="360"/>
      <c r="E223" s="360"/>
      <c r="F223" s="360"/>
      <c r="G223" s="305"/>
      <c r="H223" s="305"/>
      <c r="I223" s="305"/>
      <c r="J223" s="305"/>
      <c r="K223" s="305"/>
      <c r="L223" s="305"/>
      <c r="M223" s="305"/>
      <c r="N223" s="305"/>
      <c r="O223" s="305"/>
      <c r="P223" s="305"/>
      <c r="Q223" s="305"/>
      <c r="R223" s="305"/>
      <c r="S223" s="287">
        <v>0</v>
      </c>
      <c r="T223" s="355">
        <v>0</v>
      </c>
      <c r="U223" s="305"/>
      <c r="V223" s="356"/>
      <c r="W223" s="361"/>
      <c r="X223" s="5"/>
    </row>
    <row r="224" spans="1:24" ht="15.6" x14ac:dyDescent="0.3">
      <c r="A224" s="352"/>
      <c r="B224" s="279" t="s">
        <v>88</v>
      </c>
      <c r="C224" s="362"/>
      <c r="D224" s="362"/>
      <c r="E224" s="362"/>
      <c r="F224" s="363"/>
      <c r="G224" s="305"/>
      <c r="H224" s="305"/>
      <c r="I224" s="305"/>
      <c r="J224" s="305"/>
      <c r="K224" s="305"/>
      <c r="L224" s="305"/>
      <c r="M224" s="305"/>
      <c r="N224" s="305"/>
      <c r="O224" s="305"/>
      <c r="P224" s="305"/>
      <c r="Q224" s="305"/>
      <c r="R224" s="305"/>
      <c r="S224" s="279"/>
      <c r="T224" s="358">
        <v>0</v>
      </c>
      <c r="U224" s="305"/>
      <c r="V224" s="356"/>
      <c r="W224" s="361"/>
      <c r="X224" s="5"/>
    </row>
    <row r="225" spans="1:25" ht="15.6" x14ac:dyDescent="0.3">
      <c r="A225" s="352"/>
      <c r="B225" s="279" t="s">
        <v>89</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304" t="s">
        <v>223</v>
      </c>
      <c r="C226" s="362"/>
      <c r="D226" s="362"/>
      <c r="E226" s="362"/>
      <c r="F226" s="363"/>
      <c r="G226" s="305"/>
      <c r="H226" s="305"/>
      <c r="I226" s="305"/>
      <c r="J226" s="305"/>
      <c r="K226" s="305"/>
      <c r="L226" s="305"/>
      <c r="M226" s="305"/>
      <c r="N226" s="305"/>
      <c r="O226" s="305"/>
      <c r="P226" s="305"/>
      <c r="Q226" s="305"/>
      <c r="R226" s="305"/>
      <c r="S226" s="279"/>
      <c r="T226" s="364"/>
      <c r="U226" s="305"/>
      <c r="V226" s="356"/>
      <c r="W226" s="361"/>
      <c r="X226" s="5"/>
    </row>
    <row r="227" spans="1:25" ht="15.6" x14ac:dyDescent="0.3">
      <c r="A227" s="352"/>
      <c r="B227" s="279" t="s">
        <v>290</v>
      </c>
      <c r="C227" s="362"/>
      <c r="D227" s="362"/>
      <c r="E227" s="362"/>
      <c r="F227" s="363"/>
      <c r="G227" s="305"/>
      <c r="H227" s="305"/>
      <c r="I227" s="305"/>
      <c r="J227" s="305"/>
      <c r="K227" s="305"/>
      <c r="L227" s="305"/>
      <c r="M227" s="305"/>
      <c r="N227" s="305"/>
      <c r="O227" s="305"/>
      <c r="P227" s="305"/>
      <c r="Q227" s="305"/>
      <c r="R227" s="305"/>
      <c r="S227" s="287">
        <v>5</v>
      </c>
      <c r="T227" s="355">
        <v>1203</v>
      </c>
      <c r="U227" s="305"/>
      <c r="V227" s="356"/>
      <c r="W227" s="361"/>
      <c r="X227" s="5"/>
    </row>
    <row r="228" spans="1:25" ht="15.6" x14ac:dyDescent="0.3">
      <c r="A228" s="352"/>
      <c r="B228" s="279" t="s">
        <v>224</v>
      </c>
      <c r="C228" s="362"/>
      <c r="D228" s="362"/>
      <c r="E228" s="362"/>
      <c r="F228" s="363"/>
      <c r="G228" s="305"/>
      <c r="H228" s="305"/>
      <c r="I228" s="305"/>
      <c r="J228" s="305"/>
      <c r="K228" s="305"/>
      <c r="L228" s="305"/>
      <c r="M228" s="305"/>
      <c r="N228" s="305"/>
      <c r="O228" s="305"/>
      <c r="P228" s="305"/>
      <c r="Q228" s="305"/>
      <c r="R228" s="305"/>
      <c r="S228" s="279"/>
      <c r="T228" s="358">
        <v>5.03</v>
      </c>
      <c r="U228" s="305"/>
      <c r="V228" s="356"/>
      <c r="W228" s="361"/>
      <c r="X228" s="5"/>
    </row>
    <row r="229" spans="1:25" ht="15.6" x14ac:dyDescent="0.3">
      <c r="A229" s="352"/>
      <c r="B229" s="360"/>
      <c r="C229" s="362"/>
      <c r="D229" s="362"/>
      <c r="E229" s="362"/>
      <c r="F229" s="363"/>
      <c r="G229" s="305"/>
      <c r="H229" s="305"/>
      <c r="I229" s="305"/>
      <c r="J229" s="305"/>
      <c r="K229" s="305"/>
      <c r="L229" s="305"/>
      <c r="M229" s="305"/>
      <c r="N229" s="305"/>
      <c r="O229" s="305"/>
      <c r="P229" s="305"/>
      <c r="Q229" s="305"/>
      <c r="R229" s="305"/>
      <c r="S229" s="279"/>
      <c r="T229" s="364"/>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305"/>
      <c r="T230" s="365"/>
      <c r="U230" s="305"/>
      <c r="V230" s="356"/>
      <c r="W230" s="361"/>
      <c r="X230" s="5"/>
    </row>
    <row r="231" spans="1:25" ht="17.399999999999999" x14ac:dyDescent="0.3">
      <c r="A231" s="352"/>
      <c r="B231" s="366" t="s">
        <v>174</v>
      </c>
      <c r="C231" s="362"/>
      <c r="D231" s="362"/>
      <c r="E231" s="362"/>
      <c r="F231" s="363"/>
      <c r="G231" s="305"/>
      <c r="H231" s="305"/>
      <c r="I231" s="305"/>
      <c r="J231" s="305"/>
      <c r="K231" s="305"/>
      <c r="L231" s="305"/>
      <c r="M231" s="305"/>
      <c r="N231" s="305"/>
      <c r="O231" s="305"/>
      <c r="P231" s="367" t="s">
        <v>173</v>
      </c>
      <c r="Q231" s="305"/>
      <c r="R231" s="305"/>
      <c r="S231" s="305"/>
      <c r="T231" s="365"/>
      <c r="U231" s="305"/>
      <c r="V231" s="356"/>
      <c r="W231" s="361"/>
      <c r="X231" s="5"/>
    </row>
    <row r="232" spans="1:25" ht="15.6" x14ac:dyDescent="0.3">
      <c r="A232" s="347"/>
      <c r="B232" s="342"/>
      <c r="C232" s="348"/>
      <c r="D232" s="348"/>
      <c r="E232" s="348"/>
      <c r="F232" s="349"/>
      <c r="G232" s="275"/>
      <c r="H232" s="275"/>
      <c r="I232" s="275"/>
      <c r="J232" s="275"/>
      <c r="K232" s="275"/>
      <c r="L232" s="275"/>
      <c r="M232" s="275"/>
      <c r="N232" s="275"/>
      <c r="O232" s="275"/>
      <c r="P232" s="275"/>
      <c r="Q232" s="275"/>
      <c r="R232" s="275"/>
      <c r="S232" s="275"/>
      <c r="T232" s="350"/>
      <c r="U232" s="275"/>
      <c r="V232" s="343"/>
      <c r="W232" s="351"/>
      <c r="X232" s="5"/>
    </row>
    <row r="233" spans="1:25" ht="15.6" x14ac:dyDescent="0.3">
      <c r="A233" s="223"/>
      <c r="B233" s="230" t="s">
        <v>304</v>
      </c>
      <c r="C233" s="231"/>
      <c r="D233" s="231"/>
      <c r="E233" s="231"/>
      <c r="F233" s="242"/>
      <c r="G233" s="231"/>
      <c r="H233" s="231"/>
      <c r="I233" s="231"/>
      <c r="J233" s="231"/>
      <c r="K233" s="231"/>
      <c r="L233" s="231"/>
      <c r="M233" s="231"/>
      <c r="N233" s="231"/>
      <c r="O233" s="231"/>
      <c r="P233" s="231"/>
      <c r="Q233" s="231"/>
      <c r="R233" s="242" t="s">
        <v>104</v>
      </c>
      <c r="S233" s="231" t="s">
        <v>105</v>
      </c>
      <c r="T233" s="242" t="s">
        <v>113</v>
      </c>
      <c r="U233" s="231" t="s">
        <v>105</v>
      </c>
      <c r="V233" s="224"/>
      <c r="W233" s="230"/>
      <c r="X233" s="5"/>
    </row>
    <row r="234" spans="1:25" ht="15.6" x14ac:dyDescent="0.3">
      <c r="A234" s="189"/>
      <c r="B234" s="247" t="s">
        <v>90</v>
      </c>
      <c r="C234" s="261"/>
      <c r="D234" s="261"/>
      <c r="E234" s="261"/>
      <c r="F234" s="248"/>
      <c r="G234" s="261"/>
      <c r="H234" s="261"/>
      <c r="I234" s="261"/>
      <c r="J234" s="261"/>
      <c r="K234" s="261"/>
      <c r="L234" s="261"/>
      <c r="M234" s="261"/>
      <c r="N234" s="261"/>
      <c r="O234" s="261"/>
      <c r="P234" s="261"/>
      <c r="Q234" s="261"/>
      <c r="R234" s="329">
        <f t="shared" ref="R234:R241" si="1">+R246+R258+R270</f>
        <v>7483</v>
      </c>
      <c r="S234" s="372">
        <f t="shared" ref="S234:S241" si="2">R234/$R$243</f>
        <v>0.98994576002116685</v>
      </c>
      <c r="T234" s="330">
        <f t="shared" ref="T234:T241" si="3">+T246+T258+T270</f>
        <v>1003867</v>
      </c>
      <c r="U234" s="372">
        <f t="shared" ref="U234:U241" si="4">T234/$T$243</f>
        <v>0.98854163897103209</v>
      </c>
      <c r="V234" s="218"/>
      <c r="W234" s="221"/>
      <c r="X234" s="5"/>
    </row>
    <row r="235" spans="1:25" ht="15.6" x14ac:dyDescent="0.3">
      <c r="A235" s="278"/>
      <c r="B235" s="329" t="s">
        <v>91</v>
      </c>
      <c r="C235" s="371"/>
      <c r="D235" s="371"/>
      <c r="E235" s="371"/>
      <c r="F235" s="279"/>
      <c r="G235" s="372"/>
      <c r="H235" s="371"/>
      <c r="I235" s="371"/>
      <c r="J235" s="371"/>
      <c r="K235" s="371"/>
      <c r="L235" s="371"/>
      <c r="M235" s="371"/>
      <c r="N235" s="371"/>
      <c r="O235" s="371"/>
      <c r="P235" s="371"/>
      <c r="Q235" s="371"/>
      <c r="R235" s="329">
        <f t="shared" si="1"/>
        <v>34</v>
      </c>
      <c r="S235" s="372">
        <f t="shared" si="2"/>
        <v>4.497949464214843E-3</v>
      </c>
      <c r="T235" s="330">
        <f t="shared" si="3"/>
        <v>4910</v>
      </c>
      <c r="U235" s="372">
        <f t="shared" si="4"/>
        <v>4.8350423386243077E-3</v>
      </c>
      <c r="V235" s="356"/>
      <c r="W235" s="361"/>
      <c r="X235" s="5"/>
      <c r="Y235" s="109"/>
    </row>
    <row r="236" spans="1:25" ht="15.6" x14ac:dyDescent="0.3">
      <c r="A236" s="278"/>
      <c r="B236" s="329" t="s">
        <v>92</v>
      </c>
      <c r="C236" s="371"/>
      <c r="D236" s="371"/>
      <c r="E236" s="371"/>
      <c r="F236" s="279"/>
      <c r="G236" s="372"/>
      <c r="H236" s="371"/>
      <c r="I236" s="371"/>
      <c r="J236" s="371"/>
      <c r="K236" s="371"/>
      <c r="L236" s="371"/>
      <c r="M236" s="371"/>
      <c r="N236" s="371"/>
      <c r="O236" s="371"/>
      <c r="P236" s="371"/>
      <c r="Q236" s="371"/>
      <c r="R236" s="329">
        <f t="shared" si="1"/>
        <v>8</v>
      </c>
      <c r="S236" s="372">
        <f t="shared" si="2"/>
        <v>1.0583410504034925E-3</v>
      </c>
      <c r="T236" s="330">
        <f t="shared" si="3"/>
        <v>1004</v>
      </c>
      <c r="U236" s="372">
        <f t="shared" si="4"/>
        <v>9.886726085496548E-4</v>
      </c>
      <c r="V236" s="356"/>
      <c r="W236" s="361"/>
      <c r="X236" s="5"/>
    </row>
    <row r="237" spans="1:25" ht="15.6" x14ac:dyDescent="0.3">
      <c r="A237" s="278"/>
      <c r="B237" s="329" t="s">
        <v>161</v>
      </c>
      <c r="C237" s="371"/>
      <c r="D237" s="371"/>
      <c r="E237" s="371"/>
      <c r="F237" s="279"/>
      <c r="G237" s="372"/>
      <c r="H237" s="371"/>
      <c r="I237" s="371"/>
      <c r="J237" s="371"/>
      <c r="K237" s="371"/>
      <c r="L237" s="371"/>
      <c r="M237" s="371"/>
      <c r="N237" s="371"/>
      <c r="O237" s="371"/>
      <c r="P237" s="371"/>
      <c r="Q237" s="371"/>
      <c r="R237" s="329">
        <f t="shared" si="1"/>
        <v>3</v>
      </c>
      <c r="S237" s="372">
        <f t="shared" si="2"/>
        <v>3.9687789390130971E-4</v>
      </c>
      <c r="T237" s="330">
        <f t="shared" si="3"/>
        <v>424</v>
      </c>
      <c r="U237" s="372">
        <f t="shared" si="4"/>
        <v>4.1752707771419679E-4</v>
      </c>
      <c r="V237" s="356"/>
      <c r="W237" s="361"/>
      <c r="X237" s="5"/>
      <c r="Y237" s="109"/>
    </row>
    <row r="238" spans="1:25" ht="15.6" x14ac:dyDescent="0.3">
      <c r="A238" s="278"/>
      <c r="B238" s="329" t="s">
        <v>162</v>
      </c>
      <c r="C238" s="371"/>
      <c r="D238" s="371"/>
      <c r="E238" s="371"/>
      <c r="F238" s="279"/>
      <c r="G238" s="372"/>
      <c r="H238" s="371"/>
      <c r="I238" s="371"/>
      <c r="J238" s="371"/>
      <c r="K238" s="371"/>
      <c r="L238" s="371"/>
      <c r="M238" s="371"/>
      <c r="N238" s="371"/>
      <c r="O238" s="371"/>
      <c r="P238" s="371"/>
      <c r="Q238" s="371"/>
      <c r="R238" s="329">
        <f t="shared" si="1"/>
        <v>2</v>
      </c>
      <c r="S238" s="372">
        <f t="shared" si="2"/>
        <v>2.6458526260087314E-4</v>
      </c>
      <c r="T238" s="330">
        <f t="shared" si="3"/>
        <v>261</v>
      </c>
      <c r="U238" s="372">
        <f t="shared" si="4"/>
        <v>2.5701548887595608E-4</v>
      </c>
      <c r="V238" s="356"/>
      <c r="W238" s="361"/>
      <c r="X238" s="5"/>
    </row>
    <row r="239" spans="1:25" ht="15.6" x14ac:dyDescent="0.3">
      <c r="A239" s="278"/>
      <c r="B239" s="329" t="s">
        <v>163</v>
      </c>
      <c r="C239" s="371"/>
      <c r="D239" s="371"/>
      <c r="E239" s="371"/>
      <c r="F239" s="279"/>
      <c r="G239" s="372"/>
      <c r="H239" s="371"/>
      <c r="I239" s="371"/>
      <c r="J239" s="371"/>
      <c r="K239" s="371"/>
      <c r="L239" s="371"/>
      <c r="M239" s="371"/>
      <c r="N239" s="371"/>
      <c r="O239" s="371"/>
      <c r="P239" s="371"/>
      <c r="Q239" s="371"/>
      <c r="R239" s="329">
        <f t="shared" si="1"/>
        <v>2</v>
      </c>
      <c r="S239" s="372">
        <f t="shared" si="2"/>
        <v>2.6458526260087314E-4</v>
      </c>
      <c r="T239" s="330">
        <f t="shared" si="3"/>
        <v>163</v>
      </c>
      <c r="U239" s="372">
        <f t="shared" si="4"/>
        <v>1.6051158883824076E-4</v>
      </c>
      <c r="V239" s="356"/>
      <c r="W239" s="361"/>
      <c r="X239" s="5"/>
      <c r="Y239" s="109"/>
    </row>
    <row r="240" spans="1:25" ht="15.6" x14ac:dyDescent="0.3">
      <c r="A240" s="278"/>
      <c r="B240" s="329" t="s">
        <v>164</v>
      </c>
      <c r="C240" s="371"/>
      <c r="D240" s="371"/>
      <c r="E240" s="371"/>
      <c r="F240" s="279"/>
      <c r="G240" s="372"/>
      <c r="H240" s="371"/>
      <c r="I240" s="371"/>
      <c r="J240" s="371"/>
      <c r="K240" s="371"/>
      <c r="L240" s="371"/>
      <c r="M240" s="371"/>
      <c r="N240" s="371"/>
      <c r="O240" s="371"/>
      <c r="P240" s="371"/>
      <c r="Q240" s="371"/>
      <c r="R240" s="329">
        <f t="shared" si="1"/>
        <v>8</v>
      </c>
      <c r="S240" s="372">
        <f t="shared" si="2"/>
        <v>1.0583410504034925E-3</v>
      </c>
      <c r="T240" s="330">
        <f t="shared" si="3"/>
        <v>967</v>
      </c>
      <c r="U240" s="372">
        <f t="shared" si="4"/>
        <v>9.5223746261704795E-4</v>
      </c>
      <c r="V240" s="356"/>
      <c r="W240" s="361"/>
      <c r="X240" s="5"/>
    </row>
    <row r="241" spans="1:25" ht="15.6" x14ac:dyDescent="0.3">
      <c r="A241" s="278"/>
      <c r="B241" s="329" t="s">
        <v>165</v>
      </c>
      <c r="C241" s="371"/>
      <c r="D241" s="371"/>
      <c r="E241" s="371"/>
      <c r="F241" s="279"/>
      <c r="G241" s="372"/>
      <c r="H241" s="371"/>
      <c r="I241" s="371"/>
      <c r="J241" s="371"/>
      <c r="K241" s="371"/>
      <c r="L241" s="371"/>
      <c r="M241" s="371"/>
      <c r="N241" s="371"/>
      <c r="O241" s="371"/>
      <c r="P241" s="371"/>
      <c r="Q241" s="371"/>
      <c r="R241" s="329">
        <f t="shared" si="1"/>
        <v>19</v>
      </c>
      <c r="S241" s="372">
        <f t="shared" si="2"/>
        <v>2.5135599947082947E-3</v>
      </c>
      <c r="T241" s="330">
        <f t="shared" si="3"/>
        <v>3907</v>
      </c>
      <c r="U241" s="372">
        <f t="shared" si="4"/>
        <v>3.8473544637485069E-3</v>
      </c>
      <c r="V241" s="356"/>
      <c r="W241" s="361"/>
      <c r="X241" s="5"/>
      <c r="Y241" s="109"/>
    </row>
    <row r="242" spans="1:25" ht="15.6" x14ac:dyDescent="0.3">
      <c r="A242" s="278"/>
      <c r="B242" s="329"/>
      <c r="C242" s="371"/>
      <c r="D242" s="371"/>
      <c r="E242" s="371"/>
      <c r="F242" s="279"/>
      <c r="G242" s="372"/>
      <c r="H242" s="371"/>
      <c r="I242" s="371"/>
      <c r="J242" s="371"/>
      <c r="K242" s="371"/>
      <c r="L242" s="371"/>
      <c r="M242" s="371"/>
      <c r="N242" s="371"/>
      <c r="O242" s="371"/>
      <c r="P242" s="371"/>
      <c r="Q242" s="371"/>
      <c r="R242" s="329"/>
      <c r="S242" s="372"/>
      <c r="T242" s="330"/>
      <c r="U242" s="372"/>
      <c r="V242" s="356"/>
      <c r="W242" s="361"/>
      <c r="X242" s="5"/>
    </row>
    <row r="243" spans="1:25" ht="15.6" x14ac:dyDescent="0.3">
      <c r="A243" s="278"/>
      <c r="B243" s="279" t="s">
        <v>119</v>
      </c>
      <c r="C243" s="279"/>
      <c r="D243" s="279"/>
      <c r="E243" s="279"/>
      <c r="F243" s="279"/>
      <c r="G243" s="279"/>
      <c r="H243" s="373"/>
      <c r="I243" s="373"/>
      <c r="J243" s="373"/>
      <c r="K243" s="373"/>
      <c r="L243" s="373"/>
      <c r="M243" s="373"/>
      <c r="N243" s="373"/>
      <c r="O243" s="373"/>
      <c r="P243" s="373"/>
      <c r="Q243" s="373"/>
      <c r="R243" s="329">
        <f>SUM(R234:R242)</f>
        <v>7559</v>
      </c>
      <c r="S243" s="372">
        <f>SUM(S234:S242)</f>
        <v>1</v>
      </c>
      <c r="T243" s="330">
        <f>SUM(T234:T242)</f>
        <v>1015503</v>
      </c>
      <c r="U243" s="372">
        <f>SUM(U234:U242)</f>
        <v>0.99999999999999989</v>
      </c>
      <c r="V243" s="305"/>
      <c r="W243" s="310"/>
      <c r="X243" s="5"/>
    </row>
    <row r="244" spans="1:25" ht="15.6" x14ac:dyDescent="0.3">
      <c r="A244" s="347"/>
      <c r="B244" s="342"/>
      <c r="C244" s="348"/>
      <c r="D244" s="348"/>
      <c r="E244" s="348"/>
      <c r="F244" s="349"/>
      <c r="G244" s="275"/>
      <c r="H244" s="275"/>
      <c r="I244" s="275"/>
      <c r="J244" s="275"/>
      <c r="K244" s="275"/>
      <c r="L244" s="275"/>
      <c r="M244" s="275"/>
      <c r="N244" s="275"/>
      <c r="O244" s="275"/>
      <c r="P244" s="275"/>
      <c r="Q244" s="275"/>
      <c r="R244" s="275"/>
      <c r="S244" s="275"/>
      <c r="T244" s="350"/>
      <c r="U244" s="275"/>
      <c r="V244" s="343"/>
      <c r="W244" s="351"/>
      <c r="X244" s="5"/>
    </row>
    <row r="245" spans="1:25" ht="15.6" x14ac:dyDescent="0.3">
      <c r="A245" s="223"/>
      <c r="B245" s="230" t="s">
        <v>167</v>
      </c>
      <c r="C245" s="231"/>
      <c r="D245" s="231"/>
      <c r="E245" s="231"/>
      <c r="F245" s="242"/>
      <c r="G245" s="231"/>
      <c r="H245" s="231"/>
      <c r="I245" s="231"/>
      <c r="J245" s="231"/>
      <c r="K245" s="231"/>
      <c r="L245" s="231"/>
      <c r="M245" s="231"/>
      <c r="N245" s="231"/>
      <c r="O245" s="231"/>
      <c r="P245" s="231"/>
      <c r="Q245" s="231"/>
      <c r="R245" s="242" t="s">
        <v>104</v>
      </c>
      <c r="S245" s="231" t="s">
        <v>105</v>
      </c>
      <c r="T245" s="242" t="s">
        <v>113</v>
      </c>
      <c r="U245" s="231" t="s">
        <v>105</v>
      </c>
      <c r="V245" s="224"/>
      <c r="W245" s="230"/>
      <c r="X245" s="5"/>
    </row>
    <row r="246" spans="1:25" ht="15.6" x14ac:dyDescent="0.3">
      <c r="A246" s="189"/>
      <c r="B246" s="247" t="s">
        <v>90</v>
      </c>
      <c r="C246" s="261"/>
      <c r="D246" s="261"/>
      <c r="E246" s="261"/>
      <c r="F246" s="248"/>
      <c r="G246" s="261"/>
      <c r="H246" s="261"/>
      <c r="I246" s="261"/>
      <c r="J246" s="261"/>
      <c r="K246" s="261"/>
      <c r="L246" s="261"/>
      <c r="M246" s="261"/>
      <c r="N246" s="261"/>
      <c r="O246" s="261"/>
      <c r="P246" s="261"/>
      <c r="Q246" s="261"/>
      <c r="R246" s="247">
        <v>7376</v>
      </c>
      <c r="S246" s="250">
        <f t="shared" ref="S246:S253" si="5">R246/$R$255</f>
        <v>0.99474039109912338</v>
      </c>
      <c r="T246" s="251">
        <v>985251</v>
      </c>
      <c r="U246" s="250">
        <f t="shared" ref="U246:U253" si="6">T246/$T$255</f>
        <v>0.99433424331266118</v>
      </c>
      <c r="V246" s="218"/>
      <c r="W246" s="221"/>
      <c r="X246" s="5"/>
    </row>
    <row r="247" spans="1:25" ht="15.6" x14ac:dyDescent="0.3">
      <c r="A247" s="278"/>
      <c r="B247" s="329" t="s">
        <v>91</v>
      </c>
      <c r="C247" s="371"/>
      <c r="D247" s="371"/>
      <c r="E247" s="371"/>
      <c r="F247" s="279"/>
      <c r="G247" s="372"/>
      <c r="H247" s="371"/>
      <c r="I247" s="371"/>
      <c r="J247" s="371"/>
      <c r="K247" s="371"/>
      <c r="L247" s="371"/>
      <c r="M247" s="371"/>
      <c r="N247" s="371"/>
      <c r="O247" s="371"/>
      <c r="P247" s="371"/>
      <c r="Q247" s="371"/>
      <c r="R247" s="329">
        <v>29</v>
      </c>
      <c r="S247" s="372">
        <f t="shared" si="5"/>
        <v>3.9109912339851654E-3</v>
      </c>
      <c r="T247" s="330">
        <v>4282</v>
      </c>
      <c r="U247" s="372">
        <f t="shared" si="6"/>
        <v>4.3214766895591228E-3</v>
      </c>
      <c r="V247" s="356"/>
      <c r="W247" s="361"/>
      <c r="X247" s="5"/>
      <c r="Y247" s="109"/>
    </row>
    <row r="248" spans="1:25" ht="15.6" x14ac:dyDescent="0.3">
      <c r="A248" s="278"/>
      <c r="B248" s="329" t="s">
        <v>92</v>
      </c>
      <c r="C248" s="371"/>
      <c r="D248" s="371"/>
      <c r="E248" s="371"/>
      <c r="F248" s="279"/>
      <c r="G248" s="372"/>
      <c r="H248" s="371"/>
      <c r="I248" s="371"/>
      <c r="J248" s="371"/>
      <c r="K248" s="371"/>
      <c r="L248" s="371"/>
      <c r="M248" s="371"/>
      <c r="N248" s="371"/>
      <c r="O248" s="371"/>
      <c r="P248" s="371"/>
      <c r="Q248" s="371"/>
      <c r="R248" s="329">
        <v>5</v>
      </c>
      <c r="S248" s="372">
        <f t="shared" si="5"/>
        <v>6.7430883344571813E-4</v>
      </c>
      <c r="T248" s="330">
        <v>586</v>
      </c>
      <c r="U248" s="372">
        <f t="shared" si="6"/>
        <v>5.914024614856716E-4</v>
      </c>
      <c r="V248" s="356"/>
      <c r="W248" s="361"/>
      <c r="X248" s="5"/>
    </row>
    <row r="249" spans="1:25" ht="15.6" x14ac:dyDescent="0.3">
      <c r="A249" s="278"/>
      <c r="B249" s="329" t="s">
        <v>161</v>
      </c>
      <c r="C249" s="371"/>
      <c r="D249" s="371"/>
      <c r="E249" s="371"/>
      <c r="F249" s="279"/>
      <c r="G249" s="372"/>
      <c r="H249" s="371"/>
      <c r="I249" s="371"/>
      <c r="J249" s="371"/>
      <c r="K249" s="371"/>
      <c r="L249" s="371"/>
      <c r="M249" s="371"/>
      <c r="N249" s="371"/>
      <c r="O249" s="371"/>
      <c r="P249" s="371"/>
      <c r="Q249" s="371"/>
      <c r="R249" s="329">
        <v>2</v>
      </c>
      <c r="S249" s="372">
        <f t="shared" si="5"/>
        <v>2.6972353337828726E-4</v>
      </c>
      <c r="T249" s="330">
        <v>321</v>
      </c>
      <c r="U249" s="372">
        <f t="shared" si="6"/>
        <v>3.2395936883430134E-4</v>
      </c>
      <c r="V249" s="356"/>
      <c r="W249" s="361"/>
      <c r="X249" s="5"/>
      <c r="Y249" s="109"/>
    </row>
    <row r="250" spans="1:25" ht="15.6" x14ac:dyDescent="0.3">
      <c r="A250" s="278"/>
      <c r="B250" s="329" t="s">
        <v>162</v>
      </c>
      <c r="C250" s="371"/>
      <c r="D250" s="371"/>
      <c r="E250" s="371"/>
      <c r="F250" s="279"/>
      <c r="G250" s="372"/>
      <c r="H250" s="371"/>
      <c r="I250" s="371"/>
      <c r="J250" s="371"/>
      <c r="K250" s="371"/>
      <c r="L250" s="371"/>
      <c r="M250" s="371"/>
      <c r="N250" s="371"/>
      <c r="O250" s="371"/>
      <c r="P250" s="371"/>
      <c r="Q250" s="371"/>
      <c r="R250" s="329">
        <v>2</v>
      </c>
      <c r="S250" s="372">
        <f t="shared" si="5"/>
        <v>2.6972353337828726E-4</v>
      </c>
      <c r="T250" s="330">
        <v>261</v>
      </c>
      <c r="U250" s="372">
        <f t="shared" si="6"/>
        <v>2.6340621578116089E-4</v>
      </c>
      <c r="V250" s="356"/>
      <c r="W250" s="361"/>
      <c r="X250" s="5"/>
    </row>
    <row r="251" spans="1:25" ht="15.6" x14ac:dyDescent="0.3">
      <c r="A251" s="278"/>
      <c r="B251" s="329" t="s">
        <v>163</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c r="Y251" s="109"/>
    </row>
    <row r="252" spans="1:25" ht="15.6" x14ac:dyDescent="0.3">
      <c r="A252" s="278"/>
      <c r="B252" s="329" t="s">
        <v>164</v>
      </c>
      <c r="C252" s="371"/>
      <c r="D252" s="371"/>
      <c r="E252" s="371"/>
      <c r="F252" s="279"/>
      <c r="G252" s="372"/>
      <c r="H252" s="371"/>
      <c r="I252" s="371"/>
      <c r="J252" s="371"/>
      <c r="K252" s="371"/>
      <c r="L252" s="371"/>
      <c r="M252" s="371"/>
      <c r="N252" s="371"/>
      <c r="O252" s="371"/>
      <c r="P252" s="371"/>
      <c r="Q252" s="371"/>
      <c r="R252" s="329">
        <v>1</v>
      </c>
      <c r="S252" s="372">
        <f t="shared" si="5"/>
        <v>1.3486176668914363E-4</v>
      </c>
      <c r="T252" s="330">
        <v>164</v>
      </c>
      <c r="U252" s="372">
        <f t="shared" si="6"/>
        <v>1.6551195167858386E-4</v>
      </c>
      <c r="V252" s="356"/>
      <c r="W252" s="361"/>
      <c r="X252" s="5"/>
    </row>
    <row r="253" spans="1:25" ht="15.6" x14ac:dyDescent="0.3">
      <c r="A253" s="278"/>
      <c r="B253" s="329" t="s">
        <v>165</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c r="Y253" s="109"/>
    </row>
    <row r="254" spans="1:25" ht="15.6" x14ac:dyDescent="0.3">
      <c r="A254" s="278"/>
      <c r="B254" s="329"/>
      <c r="C254" s="371"/>
      <c r="D254" s="371"/>
      <c r="E254" s="371"/>
      <c r="F254" s="279"/>
      <c r="G254" s="372"/>
      <c r="H254" s="371"/>
      <c r="I254" s="371"/>
      <c r="J254" s="371"/>
      <c r="K254" s="371"/>
      <c r="L254" s="371"/>
      <c r="M254" s="371"/>
      <c r="N254" s="371"/>
      <c r="O254" s="371"/>
      <c r="P254" s="371"/>
      <c r="Q254" s="371"/>
      <c r="R254" s="329"/>
      <c r="S254" s="372"/>
      <c r="T254" s="330"/>
      <c r="U254" s="372"/>
      <c r="V254" s="356"/>
      <c r="W254" s="361"/>
      <c r="X254" s="5"/>
    </row>
    <row r="255" spans="1:25" ht="15.6" x14ac:dyDescent="0.3">
      <c r="A255" s="278"/>
      <c r="B255" s="279" t="s">
        <v>119</v>
      </c>
      <c r="C255" s="279"/>
      <c r="D255" s="279"/>
      <c r="E255" s="279"/>
      <c r="F255" s="279"/>
      <c r="G255" s="279"/>
      <c r="H255" s="373"/>
      <c r="I255" s="373"/>
      <c r="J255" s="373"/>
      <c r="K255" s="373"/>
      <c r="L255" s="373"/>
      <c r="M255" s="373"/>
      <c r="N255" s="373"/>
      <c r="O255" s="373"/>
      <c r="P255" s="373"/>
      <c r="Q255" s="373"/>
      <c r="R255" s="329">
        <f>SUM(R246:R254)</f>
        <v>7415</v>
      </c>
      <c r="S255" s="372">
        <f>SUM(S246:S254)</f>
        <v>1</v>
      </c>
      <c r="T255" s="330">
        <f>SUM(T246:T254)</f>
        <v>990865</v>
      </c>
      <c r="U255" s="372">
        <f>SUM(U246:U254)</f>
        <v>1.0000000000000002</v>
      </c>
      <c r="V255" s="305"/>
      <c r="W255" s="310"/>
      <c r="X255" s="5"/>
    </row>
    <row r="256" spans="1:25" ht="15.6" x14ac:dyDescent="0.3">
      <c r="A256" s="177"/>
      <c r="B256" s="275"/>
      <c r="C256" s="275"/>
      <c r="D256" s="275"/>
      <c r="E256" s="275"/>
      <c r="F256" s="275"/>
      <c r="G256" s="275"/>
      <c r="H256" s="368"/>
      <c r="I256" s="368"/>
      <c r="J256" s="368"/>
      <c r="K256" s="368"/>
      <c r="L256" s="368"/>
      <c r="M256" s="368"/>
      <c r="N256" s="368"/>
      <c r="O256" s="368"/>
      <c r="P256" s="368"/>
      <c r="Q256" s="368"/>
      <c r="R256" s="327"/>
      <c r="S256" s="369"/>
      <c r="T256" s="370"/>
      <c r="U256" s="369"/>
      <c r="V256" s="275"/>
      <c r="W256" s="275"/>
      <c r="X256" s="5"/>
    </row>
    <row r="257" spans="1:24" ht="15.6" x14ac:dyDescent="0.3">
      <c r="A257" s="243"/>
      <c r="B257" s="230" t="s">
        <v>283</v>
      </c>
      <c r="C257" s="231"/>
      <c r="D257" s="231"/>
      <c r="E257" s="231"/>
      <c r="F257" s="242"/>
      <c r="G257" s="231"/>
      <c r="H257" s="231"/>
      <c r="I257" s="231"/>
      <c r="J257" s="231"/>
      <c r="K257" s="231"/>
      <c r="L257" s="231"/>
      <c r="M257" s="231"/>
      <c r="N257" s="231"/>
      <c r="O257" s="231"/>
      <c r="P257" s="231"/>
      <c r="Q257" s="231"/>
      <c r="R257" s="242" t="s">
        <v>104</v>
      </c>
      <c r="S257" s="231" t="s">
        <v>105</v>
      </c>
      <c r="T257" s="242" t="s">
        <v>113</v>
      </c>
      <c r="U257" s="231" t="s">
        <v>105</v>
      </c>
      <c r="V257" s="244"/>
      <c r="W257" s="245"/>
      <c r="X257" s="5"/>
    </row>
    <row r="258" spans="1:24" ht="15.6" x14ac:dyDescent="0.3">
      <c r="A258" s="189"/>
      <c r="B258" s="247" t="s">
        <v>90</v>
      </c>
      <c r="C258" s="261"/>
      <c r="D258" s="261"/>
      <c r="E258" s="261"/>
      <c r="F258" s="248"/>
      <c r="G258" s="261"/>
      <c r="H258" s="261"/>
      <c r="I258" s="261"/>
      <c r="J258" s="261"/>
      <c r="K258" s="261"/>
      <c r="L258" s="261"/>
      <c r="M258" s="261"/>
      <c r="N258" s="261"/>
      <c r="O258" s="261"/>
      <c r="P258" s="261"/>
      <c r="Q258" s="261"/>
      <c r="R258" s="247">
        <v>107</v>
      </c>
      <c r="S258" s="250">
        <f t="shared" ref="S258:S265" si="7">R258/$R$267</f>
        <v>0.74305555555555558</v>
      </c>
      <c r="T258" s="251">
        <v>18616</v>
      </c>
      <c r="U258" s="250">
        <f t="shared" ref="U258:U265" si="8">T258/$T$267</f>
        <v>0.75558081013069245</v>
      </c>
      <c r="V258" s="190"/>
      <c r="W258" s="190"/>
      <c r="X258" s="5"/>
    </row>
    <row r="259" spans="1:24" ht="15.6" x14ac:dyDescent="0.3">
      <c r="A259" s="278"/>
      <c r="B259" s="329" t="s">
        <v>91</v>
      </c>
      <c r="C259" s="371"/>
      <c r="D259" s="371"/>
      <c r="E259" s="371"/>
      <c r="F259" s="279"/>
      <c r="G259" s="372"/>
      <c r="H259" s="371"/>
      <c r="I259" s="371"/>
      <c r="J259" s="371"/>
      <c r="K259" s="371"/>
      <c r="L259" s="371"/>
      <c r="M259" s="371"/>
      <c r="N259" s="371"/>
      <c r="O259" s="371"/>
      <c r="P259" s="371"/>
      <c r="Q259" s="371"/>
      <c r="R259" s="329">
        <v>5</v>
      </c>
      <c r="S259" s="372">
        <f t="shared" si="7"/>
        <v>3.4722222222222224E-2</v>
      </c>
      <c r="T259" s="330">
        <v>628</v>
      </c>
      <c r="U259" s="372">
        <f t="shared" si="8"/>
        <v>2.5489081905998863E-2</v>
      </c>
      <c r="V259" s="305"/>
      <c r="W259" s="310"/>
      <c r="X259" s="5"/>
    </row>
    <row r="260" spans="1:24" ht="15.6" x14ac:dyDescent="0.3">
      <c r="A260" s="278"/>
      <c r="B260" s="329" t="s">
        <v>92</v>
      </c>
      <c r="C260" s="371"/>
      <c r="D260" s="371"/>
      <c r="E260" s="371"/>
      <c r="F260" s="279"/>
      <c r="G260" s="372"/>
      <c r="H260" s="371"/>
      <c r="I260" s="371"/>
      <c r="J260" s="371"/>
      <c r="K260" s="371"/>
      <c r="L260" s="371"/>
      <c r="M260" s="371"/>
      <c r="N260" s="371"/>
      <c r="O260" s="371"/>
      <c r="P260" s="371"/>
      <c r="Q260" s="371"/>
      <c r="R260" s="329">
        <v>3</v>
      </c>
      <c r="S260" s="372">
        <f t="shared" si="7"/>
        <v>2.0833333333333332E-2</v>
      </c>
      <c r="T260" s="330">
        <v>418</v>
      </c>
      <c r="U260" s="372">
        <f t="shared" si="8"/>
        <v>1.6965662797304975E-2</v>
      </c>
      <c r="V260" s="305"/>
      <c r="W260" s="310"/>
      <c r="X260" s="5"/>
    </row>
    <row r="261" spans="1:24" ht="15.6" x14ac:dyDescent="0.3">
      <c r="A261" s="278"/>
      <c r="B261" s="329" t="s">
        <v>161</v>
      </c>
      <c r="C261" s="371"/>
      <c r="D261" s="371"/>
      <c r="E261" s="371"/>
      <c r="F261" s="279"/>
      <c r="G261" s="372"/>
      <c r="H261" s="371"/>
      <c r="I261" s="371"/>
      <c r="J261" s="371"/>
      <c r="K261" s="371"/>
      <c r="L261" s="371"/>
      <c r="M261" s="371"/>
      <c r="N261" s="371"/>
      <c r="O261" s="371"/>
      <c r="P261" s="371"/>
      <c r="Q261" s="371"/>
      <c r="R261" s="329">
        <v>1</v>
      </c>
      <c r="S261" s="372">
        <f t="shared" si="7"/>
        <v>6.9444444444444441E-3</v>
      </c>
      <c r="T261" s="330">
        <v>103</v>
      </c>
      <c r="U261" s="372">
        <f t="shared" si="8"/>
        <v>4.1805341342641446E-3</v>
      </c>
      <c r="V261" s="305"/>
      <c r="W261" s="310"/>
      <c r="X261" s="5"/>
    </row>
    <row r="262" spans="1:24" ht="15.6" x14ac:dyDescent="0.3">
      <c r="A262" s="278"/>
      <c r="B262" s="329" t="s">
        <v>162</v>
      </c>
      <c r="C262" s="371"/>
      <c r="D262" s="371"/>
      <c r="E262" s="371"/>
      <c r="F262" s="279"/>
      <c r="G262" s="372"/>
      <c r="H262" s="371"/>
      <c r="I262" s="371"/>
      <c r="J262" s="371"/>
      <c r="K262" s="371"/>
      <c r="L262" s="371"/>
      <c r="M262" s="371"/>
      <c r="N262" s="371"/>
      <c r="O262" s="371"/>
      <c r="P262" s="371"/>
      <c r="Q262" s="371"/>
      <c r="R262" s="329">
        <v>0</v>
      </c>
      <c r="S262" s="372">
        <f t="shared" si="7"/>
        <v>0</v>
      </c>
      <c r="T262" s="330">
        <v>0</v>
      </c>
      <c r="U262" s="372">
        <f t="shared" si="8"/>
        <v>0</v>
      </c>
      <c r="V262" s="305"/>
      <c r="W262" s="310"/>
      <c r="X262" s="5"/>
    </row>
    <row r="263" spans="1:24" ht="15.6" x14ac:dyDescent="0.3">
      <c r="A263" s="278"/>
      <c r="B263" s="329" t="s">
        <v>163</v>
      </c>
      <c r="C263" s="371"/>
      <c r="D263" s="371"/>
      <c r="E263" s="371"/>
      <c r="F263" s="279"/>
      <c r="G263" s="372"/>
      <c r="H263" s="371"/>
      <c r="I263" s="371"/>
      <c r="J263" s="371"/>
      <c r="K263" s="371"/>
      <c r="L263" s="371"/>
      <c r="M263" s="371"/>
      <c r="N263" s="371"/>
      <c r="O263" s="371"/>
      <c r="P263" s="371"/>
      <c r="Q263" s="371"/>
      <c r="R263" s="329">
        <v>2</v>
      </c>
      <c r="S263" s="372">
        <f t="shared" si="7"/>
        <v>1.3888888888888888E-2</v>
      </c>
      <c r="T263" s="330">
        <v>163</v>
      </c>
      <c r="U263" s="372">
        <f t="shared" si="8"/>
        <v>6.6157967367481123E-3</v>
      </c>
      <c r="V263" s="305"/>
      <c r="W263" s="310"/>
      <c r="X263" s="5"/>
    </row>
    <row r="264" spans="1:24" ht="15.6" x14ac:dyDescent="0.3">
      <c r="A264" s="278"/>
      <c r="B264" s="329" t="s">
        <v>164</v>
      </c>
      <c r="C264" s="371"/>
      <c r="D264" s="371"/>
      <c r="E264" s="371"/>
      <c r="F264" s="279"/>
      <c r="G264" s="372"/>
      <c r="H264" s="371"/>
      <c r="I264" s="371"/>
      <c r="J264" s="371"/>
      <c r="K264" s="371"/>
      <c r="L264" s="371"/>
      <c r="M264" s="371"/>
      <c r="N264" s="371"/>
      <c r="O264" s="371"/>
      <c r="P264" s="371"/>
      <c r="Q264" s="371"/>
      <c r="R264" s="329">
        <v>7</v>
      </c>
      <c r="S264" s="372">
        <f t="shared" si="7"/>
        <v>4.8611111111111112E-2</v>
      </c>
      <c r="T264" s="330">
        <v>803</v>
      </c>
      <c r="U264" s="372">
        <f t="shared" si="8"/>
        <v>3.259193116324377E-2</v>
      </c>
      <c r="V264" s="305"/>
      <c r="W264" s="310"/>
      <c r="X264" s="5"/>
    </row>
    <row r="265" spans="1:24" ht="15.6" x14ac:dyDescent="0.3">
      <c r="A265" s="278"/>
      <c r="B265" s="329" t="s">
        <v>165</v>
      </c>
      <c r="C265" s="371"/>
      <c r="D265" s="371"/>
      <c r="E265" s="371"/>
      <c r="F265" s="279"/>
      <c r="G265" s="372"/>
      <c r="H265" s="371"/>
      <c r="I265" s="371"/>
      <c r="J265" s="371"/>
      <c r="K265" s="371"/>
      <c r="L265" s="371"/>
      <c r="M265" s="371"/>
      <c r="N265" s="371"/>
      <c r="O265" s="371"/>
      <c r="P265" s="371"/>
      <c r="Q265" s="371"/>
      <c r="R265" s="329">
        <v>19</v>
      </c>
      <c r="S265" s="372">
        <f t="shared" si="7"/>
        <v>0.13194444444444445</v>
      </c>
      <c r="T265" s="330">
        <v>3907</v>
      </c>
      <c r="U265" s="372">
        <f t="shared" si="8"/>
        <v>0.15857618313174771</v>
      </c>
      <c r="V265" s="305"/>
      <c r="W265" s="310"/>
      <c r="X265" s="5"/>
    </row>
    <row r="266" spans="1:24" ht="15.6" x14ac:dyDescent="0.3">
      <c r="A266" s="278"/>
      <c r="B266" s="329"/>
      <c r="C266" s="371"/>
      <c r="D266" s="371"/>
      <c r="E266" s="371"/>
      <c r="F266" s="279"/>
      <c r="G266" s="372"/>
      <c r="H266" s="371"/>
      <c r="I266" s="371"/>
      <c r="J266" s="371"/>
      <c r="K266" s="371"/>
      <c r="L266" s="371"/>
      <c r="M266" s="371"/>
      <c r="N266" s="371"/>
      <c r="O266" s="371"/>
      <c r="P266" s="371"/>
      <c r="Q266" s="371"/>
      <c r="R266" s="329"/>
      <c r="S266" s="372"/>
      <c r="T266" s="330"/>
      <c r="U266" s="372"/>
      <c r="V266" s="305"/>
      <c r="W266" s="310"/>
      <c r="X266" s="5"/>
    </row>
    <row r="267" spans="1:24" ht="15.6" x14ac:dyDescent="0.3">
      <c r="A267" s="278"/>
      <c r="B267" s="279" t="s">
        <v>119</v>
      </c>
      <c r="C267" s="279"/>
      <c r="D267" s="279"/>
      <c r="E267" s="279"/>
      <c r="F267" s="279"/>
      <c r="G267" s="279"/>
      <c r="H267" s="373"/>
      <c r="I267" s="373"/>
      <c r="J267" s="373"/>
      <c r="K267" s="373"/>
      <c r="L267" s="373"/>
      <c r="M267" s="373"/>
      <c r="N267" s="373"/>
      <c r="O267" s="373"/>
      <c r="P267" s="373"/>
      <c r="Q267" s="373"/>
      <c r="R267" s="329">
        <f>SUM(R258:R266)</f>
        <v>144</v>
      </c>
      <c r="S267" s="372">
        <f>SUM(S258:S266)</f>
        <v>1</v>
      </c>
      <c r="T267" s="330">
        <f>SUM(T258:T266)</f>
        <v>24638</v>
      </c>
      <c r="U267" s="372">
        <f>SUM(U258:U266)</f>
        <v>0.99999999999999989</v>
      </c>
      <c r="V267" s="305"/>
      <c r="W267" s="310"/>
      <c r="X267" s="5"/>
    </row>
    <row r="268" spans="1:24" ht="15.6" x14ac:dyDescent="0.3">
      <c r="A268" s="177"/>
      <c r="B268" s="275"/>
      <c r="C268" s="275"/>
      <c r="D268" s="275"/>
      <c r="E268" s="275"/>
      <c r="F268" s="275"/>
      <c r="G268" s="275"/>
      <c r="H268" s="368"/>
      <c r="I268" s="368"/>
      <c r="J268" s="368"/>
      <c r="K268" s="368"/>
      <c r="L268" s="368"/>
      <c r="M268" s="368"/>
      <c r="N268" s="368"/>
      <c r="O268" s="368"/>
      <c r="P268" s="368"/>
      <c r="Q268" s="368"/>
      <c r="R268" s="327"/>
      <c r="S268" s="369"/>
      <c r="T268" s="370"/>
      <c r="U268" s="369"/>
      <c r="V268" s="275"/>
      <c r="W268" s="275"/>
      <c r="X268" s="5"/>
    </row>
    <row r="269" spans="1:24" ht="15.6" x14ac:dyDescent="0.3">
      <c r="A269" s="243"/>
      <c r="B269" s="230" t="s">
        <v>169</v>
      </c>
      <c r="C269" s="244"/>
      <c r="D269" s="244"/>
      <c r="E269" s="244"/>
      <c r="F269" s="244"/>
      <c r="G269" s="244"/>
      <c r="H269" s="246"/>
      <c r="I269" s="246"/>
      <c r="J269" s="246"/>
      <c r="K269" s="246"/>
      <c r="L269" s="246"/>
      <c r="M269" s="246"/>
      <c r="N269" s="246"/>
      <c r="O269" s="246"/>
      <c r="P269" s="246"/>
      <c r="Q269" s="246"/>
      <c r="R269" s="242" t="s">
        <v>104</v>
      </c>
      <c r="S269" s="231" t="s">
        <v>105</v>
      </c>
      <c r="T269" s="242" t="s">
        <v>113</v>
      </c>
      <c r="U269" s="231" t="s">
        <v>105</v>
      </c>
      <c r="V269" s="244"/>
      <c r="W269" s="245"/>
      <c r="X269" s="5"/>
    </row>
    <row r="270" spans="1:24" ht="15.6" x14ac:dyDescent="0.3">
      <c r="A270" s="189"/>
      <c r="B270" s="247" t="s">
        <v>90</v>
      </c>
      <c r="C270" s="248"/>
      <c r="D270" s="248"/>
      <c r="E270" s="248"/>
      <c r="F270" s="248"/>
      <c r="G270" s="248"/>
      <c r="H270" s="249"/>
      <c r="I270" s="249"/>
      <c r="J270" s="249"/>
      <c r="K270" s="249"/>
      <c r="L270" s="249"/>
      <c r="M270" s="249"/>
      <c r="N270" s="249"/>
      <c r="O270" s="249"/>
      <c r="P270" s="249"/>
      <c r="Q270" s="249"/>
      <c r="R270" s="247">
        <v>0</v>
      </c>
      <c r="S270" s="250">
        <v>0</v>
      </c>
      <c r="T270" s="251">
        <v>0</v>
      </c>
      <c r="U270" s="250">
        <v>0</v>
      </c>
      <c r="V270" s="248"/>
      <c r="W270" s="190"/>
      <c r="X270" s="5"/>
    </row>
    <row r="271" spans="1:24" ht="15.6" x14ac:dyDescent="0.3">
      <c r="A271" s="278"/>
      <c r="B271" s="329" t="s">
        <v>91</v>
      </c>
      <c r="C271" s="279"/>
      <c r="D271" s="279"/>
      <c r="E271" s="279"/>
      <c r="F271" s="279"/>
      <c r="G271" s="279"/>
      <c r="H271" s="373"/>
      <c r="I271" s="373"/>
      <c r="J271" s="373"/>
      <c r="K271" s="373"/>
      <c r="L271" s="373"/>
      <c r="M271" s="373"/>
      <c r="N271" s="373"/>
      <c r="O271" s="373"/>
      <c r="P271" s="373"/>
      <c r="Q271" s="373"/>
      <c r="R271" s="329">
        <v>0</v>
      </c>
      <c r="S271" s="372">
        <v>0</v>
      </c>
      <c r="T271" s="330">
        <v>0</v>
      </c>
      <c r="U271" s="372">
        <v>0</v>
      </c>
      <c r="V271" s="279"/>
      <c r="W271" s="310"/>
      <c r="X271" s="5"/>
    </row>
    <row r="272" spans="1:24" ht="15.6" x14ac:dyDescent="0.3">
      <c r="A272" s="278"/>
      <c r="B272" s="329" t="s">
        <v>92</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161</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162</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163</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164</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165</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c r="C278" s="279"/>
      <c r="D278" s="279"/>
      <c r="E278" s="279"/>
      <c r="F278" s="279"/>
      <c r="G278" s="279"/>
      <c r="H278" s="373"/>
      <c r="I278" s="373"/>
      <c r="J278" s="373"/>
      <c r="K278" s="373"/>
      <c r="L278" s="373"/>
      <c r="M278" s="373"/>
      <c r="N278" s="373"/>
      <c r="O278" s="373"/>
      <c r="P278" s="373"/>
      <c r="Q278" s="373"/>
      <c r="R278" s="329"/>
      <c r="S278" s="372"/>
      <c r="T278" s="330"/>
      <c r="U278" s="372"/>
      <c r="V278" s="279"/>
      <c r="W278" s="310"/>
      <c r="X278" s="5"/>
    </row>
    <row r="279" spans="1:24" ht="15.6" x14ac:dyDescent="0.3">
      <c r="A279" s="278"/>
      <c r="B279" s="279" t="s">
        <v>119</v>
      </c>
      <c r="C279" s="279"/>
      <c r="D279" s="279"/>
      <c r="E279" s="279"/>
      <c r="F279" s="279"/>
      <c r="G279" s="279"/>
      <c r="H279" s="373"/>
      <c r="I279" s="373"/>
      <c r="J279" s="373"/>
      <c r="K279" s="373"/>
      <c r="L279" s="373"/>
      <c r="M279" s="373"/>
      <c r="N279" s="373"/>
      <c r="O279" s="373"/>
      <c r="P279" s="373"/>
      <c r="Q279" s="373"/>
      <c r="R279" s="329">
        <f>SUM(R270:R277)</f>
        <v>0</v>
      </c>
      <c r="S279" s="372">
        <f>SUM(S270:S278)</f>
        <v>0</v>
      </c>
      <c r="T279" s="330">
        <f>SUM(T270:T277)</f>
        <v>0</v>
      </c>
      <c r="U279" s="372">
        <f>SUM(U270:U278)</f>
        <v>0</v>
      </c>
      <c r="V279" s="279"/>
      <c r="W279" s="310"/>
      <c r="X279" s="5"/>
    </row>
    <row r="280" spans="1:24" ht="15.6" x14ac:dyDescent="0.3">
      <c r="A280" s="278"/>
      <c r="B280" s="279"/>
      <c r="C280" s="279"/>
      <c r="D280" s="279"/>
      <c r="E280" s="279"/>
      <c r="F280" s="279"/>
      <c r="G280" s="279"/>
      <c r="H280" s="373"/>
      <c r="I280" s="373"/>
      <c r="J280" s="373"/>
      <c r="K280" s="373"/>
      <c r="L280" s="373"/>
      <c r="M280" s="373"/>
      <c r="N280" s="373"/>
      <c r="O280" s="373"/>
      <c r="P280" s="373"/>
      <c r="Q280" s="373"/>
      <c r="R280" s="329"/>
      <c r="S280" s="372"/>
      <c r="T280" s="330"/>
      <c r="U280" s="372"/>
      <c r="V280" s="279"/>
      <c r="W280" s="310"/>
      <c r="X280" s="5"/>
    </row>
    <row r="281" spans="1:24" ht="15.6" x14ac:dyDescent="0.3">
      <c r="A281" s="278"/>
      <c r="B281" s="288" t="s">
        <v>170</v>
      </c>
      <c r="C281" s="279"/>
      <c r="D281" s="279"/>
      <c r="E281" s="279"/>
      <c r="F281" s="279"/>
      <c r="G281" s="279"/>
      <c r="H281" s="373"/>
      <c r="I281" s="373"/>
      <c r="J281" s="373"/>
      <c r="K281" s="373"/>
      <c r="L281" s="373"/>
      <c r="M281" s="373"/>
      <c r="N281" s="373"/>
      <c r="O281" s="373"/>
      <c r="P281" s="373"/>
      <c r="Q281" s="373"/>
      <c r="R281" s="376">
        <f>R279+R267+R255</f>
        <v>7559</v>
      </c>
      <c r="S281" s="372"/>
      <c r="T281" s="377">
        <f>+T279+T267+T255</f>
        <v>1015503</v>
      </c>
      <c r="U281" s="372"/>
      <c r="V281" s="279"/>
      <c r="W281" s="310"/>
      <c r="X281" s="5"/>
    </row>
    <row r="282" spans="1:24" ht="15.6" x14ac:dyDescent="0.3">
      <c r="A282" s="177"/>
      <c r="B282" s="340"/>
      <c r="C282" s="340"/>
      <c r="D282" s="340"/>
      <c r="E282" s="340"/>
      <c r="F282" s="340"/>
      <c r="G282" s="340"/>
      <c r="H282" s="374"/>
      <c r="I282" s="374"/>
      <c r="J282" s="374"/>
      <c r="K282" s="374"/>
      <c r="L282" s="374"/>
      <c r="M282" s="374"/>
      <c r="N282" s="374"/>
      <c r="O282" s="374"/>
      <c r="P282" s="374"/>
      <c r="Q282" s="374"/>
      <c r="R282" s="374"/>
      <c r="S282" s="374"/>
      <c r="T282" s="375"/>
      <c r="U282" s="374"/>
      <c r="V282" s="340"/>
      <c r="W282" s="275"/>
      <c r="X282" s="5"/>
    </row>
    <row r="283" spans="1:24" ht="15.6" x14ac:dyDescent="0.3">
      <c r="A283" s="177"/>
      <c r="B283" s="252"/>
      <c r="C283" s="252"/>
      <c r="D283" s="252"/>
      <c r="E283" s="252"/>
      <c r="F283" s="252"/>
      <c r="G283" s="252"/>
      <c r="H283" s="253"/>
      <c r="I283" s="253"/>
      <c r="J283" s="253"/>
      <c r="K283" s="253"/>
      <c r="L283" s="253"/>
      <c r="M283" s="253"/>
      <c r="N283" s="253"/>
      <c r="O283" s="253"/>
      <c r="P283" s="253"/>
      <c r="Q283" s="253"/>
      <c r="R283" s="253"/>
      <c r="S283" s="253"/>
      <c r="T283" s="254"/>
      <c r="U283" s="253"/>
      <c r="V283" s="252"/>
      <c r="W283" s="179"/>
      <c r="X283" s="5"/>
    </row>
    <row r="284" spans="1:24" ht="15.6" x14ac:dyDescent="0.3">
      <c r="A284" s="222"/>
      <c r="B284" s="255" t="s">
        <v>93</v>
      </c>
      <c r="C284" s="252"/>
      <c r="D284" s="252"/>
      <c r="E284" s="252"/>
      <c r="F284" s="256" t="s">
        <v>99</v>
      </c>
      <c r="G284" s="252"/>
      <c r="H284" s="255" t="s">
        <v>101</v>
      </c>
      <c r="I284" s="257"/>
      <c r="J284" s="257"/>
      <c r="K284" s="257"/>
      <c r="L284" s="257"/>
      <c r="M284" s="257"/>
      <c r="N284" s="257"/>
      <c r="O284" s="257"/>
      <c r="P284" s="257"/>
      <c r="Q284" s="257"/>
      <c r="R284" s="257"/>
      <c r="S284" s="257"/>
      <c r="T284" s="257"/>
      <c r="U284" s="257"/>
      <c r="V284" s="257"/>
      <c r="W284" s="187"/>
      <c r="X284" s="5"/>
    </row>
    <row r="285" spans="1:24" ht="15.6" x14ac:dyDescent="0.3">
      <c r="A285" s="222"/>
      <c r="B285" s="257"/>
      <c r="C285" s="252"/>
      <c r="D285" s="252"/>
      <c r="E285" s="252"/>
      <c r="F285" s="252"/>
      <c r="G285" s="252"/>
      <c r="H285" s="252"/>
      <c r="I285" s="257"/>
      <c r="J285" s="257"/>
      <c r="K285" s="257"/>
      <c r="L285" s="257"/>
      <c r="M285" s="257"/>
      <c r="N285" s="257"/>
      <c r="O285" s="257"/>
      <c r="P285" s="257"/>
      <c r="Q285" s="257"/>
      <c r="R285" s="257"/>
      <c r="S285" s="257"/>
      <c r="T285" s="257"/>
      <c r="U285" s="257"/>
      <c r="V285" s="257"/>
      <c r="W285" s="187"/>
      <c r="X285" s="5"/>
    </row>
    <row r="286" spans="1:24" ht="15.6" x14ac:dyDescent="0.3">
      <c r="A286" s="222"/>
      <c r="B286" s="255" t="s">
        <v>94</v>
      </c>
      <c r="C286" s="255"/>
      <c r="D286" s="255"/>
      <c r="E286" s="255"/>
      <c r="F286" s="258" t="s">
        <v>153</v>
      </c>
      <c r="G286" s="255"/>
      <c r="H286" s="255" t="s">
        <v>157</v>
      </c>
      <c r="I286" s="257"/>
      <c r="J286" s="257"/>
      <c r="K286" s="257"/>
      <c r="L286" s="257"/>
      <c r="M286" s="257"/>
      <c r="N286" s="257"/>
      <c r="O286" s="257"/>
      <c r="P286" s="257"/>
      <c r="Q286" s="257"/>
      <c r="R286" s="257"/>
      <c r="S286" s="257"/>
      <c r="T286" s="257"/>
      <c r="U286" s="257"/>
      <c r="V286" s="257"/>
      <c r="W286" s="187"/>
      <c r="X286" s="5"/>
    </row>
    <row r="287" spans="1:24" ht="15.6" x14ac:dyDescent="0.3">
      <c r="A287" s="222"/>
      <c r="B287" s="255" t="s">
        <v>277</v>
      </c>
      <c r="C287" s="255"/>
      <c r="D287" s="255"/>
      <c r="E287" s="255"/>
      <c r="F287" s="258" t="s">
        <v>278</v>
      </c>
      <c r="G287" s="255"/>
      <c r="H287" s="255" t="s">
        <v>279</v>
      </c>
      <c r="I287" s="257"/>
      <c r="J287" s="257"/>
      <c r="K287" s="257"/>
      <c r="L287" s="257"/>
      <c r="M287" s="257"/>
      <c r="N287" s="257"/>
      <c r="O287" s="257"/>
      <c r="P287" s="257"/>
      <c r="Q287" s="257"/>
      <c r="R287" s="257"/>
      <c r="S287" s="257"/>
      <c r="T287" s="257"/>
      <c r="U287" s="257"/>
      <c r="V287" s="257"/>
      <c r="W287" s="187"/>
      <c r="X287" s="5"/>
    </row>
    <row r="288" spans="1:24" ht="15.6" x14ac:dyDescent="0.3">
      <c r="A288" s="222"/>
      <c r="B288" s="255" t="s">
        <v>95</v>
      </c>
      <c r="C288" s="255"/>
      <c r="D288" s="255"/>
      <c r="E288" s="255"/>
      <c r="F288" s="258" t="s">
        <v>152</v>
      </c>
      <c r="G288" s="255"/>
      <c r="H288" s="255" t="s">
        <v>158</v>
      </c>
      <c r="I288" s="257"/>
      <c r="J288" s="257"/>
      <c r="K288" s="257"/>
      <c r="L288" s="257"/>
      <c r="M288" s="257"/>
      <c r="N288" s="257"/>
      <c r="O288" s="257"/>
      <c r="P288" s="257"/>
      <c r="Q288" s="257"/>
      <c r="R288" s="257"/>
      <c r="S288" s="257"/>
      <c r="T288" s="257"/>
      <c r="U288" s="257"/>
      <c r="V288" s="257"/>
      <c r="W288" s="187"/>
      <c r="X288" s="5"/>
    </row>
    <row r="289" spans="1:24" ht="15.6" x14ac:dyDescent="0.3">
      <c r="A289" s="222"/>
      <c r="B289" s="255"/>
      <c r="C289" s="255"/>
      <c r="D289" s="255"/>
      <c r="E289" s="255"/>
      <c r="F289" s="255"/>
      <c r="G289" s="259"/>
      <c r="H289" s="257"/>
      <c r="I289" s="257"/>
      <c r="J289" s="257"/>
      <c r="K289" s="257"/>
      <c r="L289" s="257"/>
      <c r="M289" s="257"/>
      <c r="N289" s="257"/>
      <c r="O289" s="257"/>
      <c r="P289" s="257"/>
      <c r="Q289" s="257"/>
      <c r="R289" s="257"/>
      <c r="S289" s="257"/>
      <c r="T289" s="257"/>
      <c r="U289" s="257"/>
      <c r="V289" s="257"/>
      <c r="W289" s="187"/>
      <c r="X289" s="5"/>
    </row>
    <row r="290" spans="1:24" ht="18" thickBot="1" x14ac:dyDescent="0.35">
      <c r="A290" s="222"/>
      <c r="B290" s="260" t="str">
        <f>B195</f>
        <v>PM12 INVESTOR REPORT QUARTER ENDING JANUARY 2011</v>
      </c>
      <c r="C290" s="255"/>
      <c r="D290" s="255"/>
      <c r="E290" s="255"/>
      <c r="F290" s="255"/>
      <c r="G290" s="259"/>
      <c r="H290" s="257"/>
      <c r="I290" s="257"/>
      <c r="J290" s="257"/>
      <c r="K290" s="257"/>
      <c r="L290" s="257"/>
      <c r="M290" s="257"/>
      <c r="N290" s="257"/>
      <c r="O290" s="257"/>
      <c r="P290" s="257"/>
      <c r="Q290" s="257"/>
      <c r="R290" s="257"/>
      <c r="S290" s="257"/>
      <c r="T290" s="257"/>
      <c r="U290" s="257"/>
      <c r="V290" s="257"/>
      <c r="W290" s="187"/>
      <c r="X290" s="5"/>
    </row>
    <row r="291" spans="1:24" x14ac:dyDescent="0.2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row>
  </sheetData>
  <phoneticPr fontId="0" type="noConversion"/>
  <hyperlinks>
    <hyperlink ref="P231" r:id="rId1" xr:uid="{00000000-0004-0000-1100-000000000000}"/>
    <hyperlink ref="I9" r:id="rId2" xr:uid="{00000000-0004-0000-11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195" max="14" man="1"/>
  </row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89CB31"/>
  </sheetPr>
  <dimension ref="A1:Y291"/>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0.64400000000000002</v>
      </c>
      <c r="T16" s="381" t="s">
        <v>145</v>
      </c>
      <c r="U16" s="380">
        <v>0.35599999999999998</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40681</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220</v>
      </c>
      <c r="E27" s="285"/>
      <c r="F27" s="285" t="s">
        <v>148</v>
      </c>
      <c r="G27" s="285"/>
      <c r="H27" s="285" t="s">
        <v>148</v>
      </c>
      <c r="I27" s="285"/>
      <c r="J27" s="285" t="s">
        <v>148</v>
      </c>
      <c r="K27" s="285"/>
      <c r="L27" s="285" t="s">
        <v>171</v>
      </c>
      <c r="M27" s="285"/>
      <c r="N27" s="285" t="s">
        <v>171</v>
      </c>
      <c r="O27" s="285"/>
      <c r="P27" s="285" t="s">
        <v>149</v>
      </c>
      <c r="Q27" s="285"/>
      <c r="R27" s="285" t="s">
        <v>149</v>
      </c>
      <c r="S27" s="280"/>
      <c r="T27" s="287"/>
      <c r="U27" s="281"/>
      <c r="V27" s="281"/>
      <c r="W27" s="282"/>
      <c r="X27" s="5"/>
    </row>
    <row r="28" spans="1:25" ht="15.6" x14ac:dyDescent="0.3">
      <c r="A28" s="278"/>
      <c r="B28" s="288" t="s">
        <v>198</v>
      </c>
      <c r="C28" s="280"/>
      <c r="D28" s="285" t="s">
        <v>221</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939954.6</v>
      </c>
      <c r="E32" s="289"/>
      <c r="F32" s="290">
        <f>F31*F38</f>
        <v>90862.394</v>
      </c>
      <c r="G32" s="290"/>
      <c r="H32" s="295">
        <f>H31*H38</f>
        <v>153526.114</v>
      </c>
      <c r="I32" s="295"/>
      <c r="J32" s="294">
        <f>J31*J38</f>
        <v>194883.9204</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932543.4</v>
      </c>
      <c r="E33" s="301"/>
      <c r="F33" s="303">
        <f>F37*F31</f>
        <v>90145.978000000003</v>
      </c>
      <c r="G33" s="303"/>
      <c r="H33" s="384">
        <f>H31*H37</f>
        <v>152315.61800000002</v>
      </c>
      <c r="I33" s="384"/>
      <c r="J33" s="383">
        <f>J37*J31</f>
        <v>193347.3316</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510844.6460988</v>
      </c>
      <c r="E35" s="289"/>
      <c r="F35" s="290">
        <f>F34*F38</f>
        <v>90862.394</v>
      </c>
      <c r="G35" s="290"/>
      <c r="H35" s="290">
        <f>H34*H38</f>
        <v>105880.3811352</v>
      </c>
      <c r="I35" s="290"/>
      <c r="J35" s="290">
        <f>J34*J38</f>
        <v>105915.33760079999</v>
      </c>
      <c r="K35" s="290"/>
      <c r="L35" s="290">
        <f>+L34</f>
        <v>25000</v>
      </c>
      <c r="M35" s="290"/>
      <c r="N35" s="290">
        <f>+N34</f>
        <v>86897</v>
      </c>
      <c r="O35" s="290"/>
      <c r="P35" s="290">
        <f>+P34</f>
        <v>17000</v>
      </c>
      <c r="Q35" s="290"/>
      <c r="R35" s="290">
        <f>+R34</f>
        <v>73103</v>
      </c>
      <c r="S35" s="290"/>
      <c r="T35" s="290"/>
      <c r="U35" s="291"/>
      <c r="V35" s="290">
        <f>SUM(C35:R35)</f>
        <v>1015502.7588348</v>
      </c>
      <c r="W35" s="292"/>
      <c r="X35" s="5"/>
    </row>
    <row r="36" spans="1:24" ht="15.6" x14ac:dyDescent="0.3">
      <c r="A36" s="283"/>
      <c r="B36" s="288" t="s">
        <v>295</v>
      </c>
      <c r="C36" s="301"/>
      <c r="D36" s="303">
        <f>D34*D37</f>
        <v>506816.82194520003</v>
      </c>
      <c r="E36" s="301"/>
      <c r="F36" s="303">
        <f>F34*F37</f>
        <v>90145.978000000003</v>
      </c>
      <c r="G36" s="303"/>
      <c r="H36" s="303">
        <f>H34*H37</f>
        <v>105045.55392240001</v>
      </c>
      <c r="I36" s="303"/>
      <c r="J36" s="303">
        <f>J34*J37</f>
        <v>105080.23370320001</v>
      </c>
      <c r="K36" s="303"/>
      <c r="L36" s="303">
        <f>+L34</f>
        <v>25000</v>
      </c>
      <c r="M36" s="303"/>
      <c r="N36" s="303">
        <f>+N34</f>
        <v>86897</v>
      </c>
      <c r="O36" s="303"/>
      <c r="P36" s="303">
        <f>+P34</f>
        <v>17000</v>
      </c>
      <c r="Q36" s="303"/>
      <c r="R36" s="303">
        <f>+R34</f>
        <v>73103</v>
      </c>
      <c r="S36" s="302"/>
      <c r="T36" s="302"/>
      <c r="U36" s="291"/>
      <c r="V36" s="303">
        <f>SUM(C36:R36)-1</f>
        <v>1009087.5875708001</v>
      </c>
      <c r="W36" s="292"/>
      <c r="X36" s="5"/>
    </row>
    <row r="37" spans="1:24" ht="15.6" x14ac:dyDescent="0.3">
      <c r="A37" s="278"/>
      <c r="B37" s="304" t="s">
        <v>135</v>
      </c>
      <c r="C37" s="305"/>
      <c r="D37" s="306">
        <v>0.62169560000000001</v>
      </c>
      <c r="E37" s="307"/>
      <c r="F37" s="306">
        <v>0.62169640000000004</v>
      </c>
      <c r="G37" s="306"/>
      <c r="H37" s="306">
        <v>0.62169640000000004</v>
      </c>
      <c r="I37" s="306"/>
      <c r="J37" s="306">
        <v>0.62169560000000001</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0.62663639999999998</v>
      </c>
      <c r="E38" s="307"/>
      <c r="F38" s="306">
        <v>0.62663720000000001</v>
      </c>
      <c r="G38" s="306"/>
      <c r="H38" s="306">
        <v>0.62663720000000001</v>
      </c>
      <c r="I38" s="306"/>
      <c r="J38" s="306">
        <v>0.62663639999999998</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235</v>
      </c>
      <c r="E39" s="279"/>
      <c r="F39" s="287" t="s">
        <v>235</v>
      </c>
      <c r="G39" s="287"/>
      <c r="H39" s="287" t="s">
        <v>235</v>
      </c>
      <c r="I39" s="287"/>
      <c r="J39" s="287" t="s">
        <v>236</v>
      </c>
      <c r="K39" s="287"/>
      <c r="L39" s="287" t="s">
        <v>237</v>
      </c>
      <c r="M39" s="287"/>
      <c r="N39" s="287" t="s">
        <v>237</v>
      </c>
      <c r="O39" s="287"/>
      <c r="P39" s="287" t="s">
        <v>238</v>
      </c>
      <c r="Q39" s="287"/>
      <c r="R39" s="287" t="s">
        <v>238</v>
      </c>
      <c r="S39" s="313"/>
      <c r="T39" s="314"/>
      <c r="U39" s="281"/>
      <c r="V39" s="281"/>
      <c r="W39" s="282"/>
      <c r="X39" s="5"/>
    </row>
    <row r="40" spans="1:24" ht="15.6" x14ac:dyDescent="0.3">
      <c r="A40" s="278"/>
      <c r="B40" s="279" t="s">
        <v>12</v>
      </c>
      <c r="C40" s="279"/>
      <c r="D40" s="314">
        <v>3.3874999999999999E-3</v>
      </c>
      <c r="E40" s="279"/>
      <c r="F40" s="314">
        <v>9.2338000000000003E-3</v>
      </c>
      <c r="G40" s="313"/>
      <c r="H40" s="314">
        <v>1.213E-2</v>
      </c>
      <c r="I40" s="314"/>
      <c r="J40" s="314">
        <v>4.2300000000000003E-3</v>
      </c>
      <c r="K40" s="313"/>
      <c r="L40" s="314">
        <v>1.04338E-2</v>
      </c>
      <c r="M40" s="313"/>
      <c r="N40" s="314">
        <v>1.333E-2</v>
      </c>
      <c r="O40" s="313"/>
      <c r="P40" s="314">
        <v>1.2633800000000001E-2</v>
      </c>
      <c r="Q40" s="313"/>
      <c r="R40" s="314">
        <v>1.553E-2</v>
      </c>
      <c r="S40" s="313"/>
      <c r="T40" s="314"/>
      <c r="U40" s="281"/>
      <c r="V40" s="287"/>
      <c r="W40" s="282"/>
      <c r="X40" s="5"/>
    </row>
    <row r="41" spans="1:24" ht="15.6" x14ac:dyDescent="0.3">
      <c r="A41" s="278"/>
      <c r="B41" s="279" t="s">
        <v>13</v>
      </c>
      <c r="C41" s="279"/>
      <c r="D41" s="314">
        <v>3.8124999999999999E-3</v>
      </c>
      <c r="E41" s="279"/>
      <c r="F41" s="314">
        <v>8.5749999999999993E-3</v>
      </c>
      <c r="G41" s="313"/>
      <c r="H41" s="314">
        <v>1.17E-2</v>
      </c>
      <c r="I41" s="314"/>
      <c r="J41" s="314">
        <v>3.9563000000000003E-3</v>
      </c>
      <c r="K41" s="313"/>
      <c r="L41" s="314">
        <v>9.7750000000000007E-3</v>
      </c>
      <c r="M41" s="313"/>
      <c r="N41" s="314">
        <v>1.29E-2</v>
      </c>
      <c r="O41" s="313"/>
      <c r="P41" s="314">
        <v>1.1975E-2</v>
      </c>
      <c r="Q41" s="313"/>
      <c r="R41" s="314">
        <v>1.5100000000000001E-2</v>
      </c>
      <c r="S41" s="313"/>
      <c r="T41" s="314"/>
      <c r="U41" s="281"/>
      <c r="V41" s="313" t="s">
        <v>199</v>
      </c>
      <c r="W41" s="282"/>
      <c r="X41" s="5"/>
    </row>
    <row r="42" spans="1:24" ht="15.6" x14ac:dyDescent="0.3">
      <c r="A42" s="278"/>
      <c r="B42" s="279" t="s">
        <v>296</v>
      </c>
      <c r="C42" s="279"/>
      <c r="D42" s="287" t="s">
        <v>286</v>
      </c>
      <c r="E42" s="279"/>
      <c r="F42" s="287" t="s">
        <v>235</v>
      </c>
      <c r="G42" s="287"/>
      <c r="H42" s="287" t="s">
        <v>267</v>
      </c>
      <c r="I42" s="287"/>
      <c r="J42" s="287" t="s">
        <v>266</v>
      </c>
      <c r="K42" s="287"/>
      <c r="L42" s="287" t="s">
        <v>237</v>
      </c>
      <c r="M42" s="287"/>
      <c r="N42" s="287" t="s">
        <v>265</v>
      </c>
      <c r="O42" s="287"/>
      <c r="P42" s="287" t="s">
        <v>238</v>
      </c>
      <c r="Q42" s="287"/>
      <c r="R42" s="287" t="s">
        <v>240</v>
      </c>
      <c r="S42" s="313"/>
      <c r="T42" s="314"/>
      <c r="U42" s="281"/>
      <c r="V42" s="281"/>
      <c r="W42" s="282"/>
      <c r="X42" s="5"/>
    </row>
    <row r="43" spans="1:24" ht="15.6" x14ac:dyDescent="0.3">
      <c r="A43" s="278"/>
      <c r="B43" s="279" t="s">
        <v>297</v>
      </c>
      <c r="C43" s="315"/>
      <c r="D43" s="314">
        <v>9.4371000000000003E-3</v>
      </c>
      <c r="E43" s="314"/>
      <c r="F43" s="314">
        <f>+F40</f>
        <v>9.2338000000000003E-3</v>
      </c>
      <c r="G43" s="314"/>
      <c r="H43" s="314">
        <v>9.1947999999999995E-3</v>
      </c>
      <c r="I43" s="314"/>
      <c r="J43" s="314">
        <v>9.3158000000000008E-3</v>
      </c>
      <c r="K43" s="314"/>
      <c r="L43" s="314">
        <f>+L40</f>
        <v>1.04338E-2</v>
      </c>
      <c r="M43" s="314"/>
      <c r="N43" s="314">
        <v>1.05348E-2</v>
      </c>
      <c r="O43" s="314"/>
      <c r="P43" s="314">
        <f>+P40</f>
        <v>1.2633800000000001E-2</v>
      </c>
      <c r="Q43" s="313"/>
      <c r="R43" s="314">
        <v>1.2869800000000001E-2</v>
      </c>
      <c r="S43" s="287"/>
      <c r="T43" s="287"/>
      <c r="U43" s="281"/>
      <c r="V43" s="313">
        <f>SUMPRODUCT(D43:R43,D35:R35)/V35</f>
        <v>9.8000869345925921E-3</v>
      </c>
      <c r="W43" s="282"/>
      <c r="X43" s="5"/>
    </row>
    <row r="44" spans="1:24" ht="15.6" x14ac:dyDescent="0.3">
      <c r="A44" s="278"/>
      <c r="B44" s="279" t="s">
        <v>298</v>
      </c>
      <c r="C44" s="315"/>
      <c r="D44" s="314">
        <v>8.7782999999999993E-3</v>
      </c>
      <c r="E44" s="314"/>
      <c r="F44" s="314">
        <f>+F41</f>
        <v>8.5749999999999993E-3</v>
      </c>
      <c r="G44" s="314"/>
      <c r="H44" s="314">
        <v>8.5360000000000002E-3</v>
      </c>
      <c r="I44" s="314"/>
      <c r="J44" s="314">
        <v>8.6569999999999998E-3</v>
      </c>
      <c r="K44" s="314"/>
      <c r="L44" s="314">
        <f>+L41</f>
        <v>9.7750000000000007E-3</v>
      </c>
      <c r="M44" s="314"/>
      <c r="N44" s="314">
        <v>9.8759999999999994E-3</v>
      </c>
      <c r="O44" s="314"/>
      <c r="P44" s="314">
        <f>+P41</f>
        <v>1.1975E-2</v>
      </c>
      <c r="Q44" s="313"/>
      <c r="R44" s="314">
        <v>1.2211E-2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40770</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123</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206</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0.25028231486705294</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40679</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92</v>
      </c>
      <c r="S57" s="279"/>
      <c r="T57" s="325">
        <v>40497</v>
      </c>
      <c r="U57" s="326"/>
      <c r="V57" s="325">
        <v>40588</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90</v>
      </c>
      <c r="S58" s="279"/>
      <c r="T58" s="325">
        <v>40589</v>
      </c>
      <c r="U58" s="326"/>
      <c r="V58" s="325">
        <v>40678</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40666</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307</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1015503</v>
      </c>
      <c r="O68" s="329"/>
      <c r="P68" s="329">
        <f>6414+428+72</f>
        <v>6914</v>
      </c>
      <c r="Q68" s="329"/>
      <c r="R68" s="329">
        <f>428+72-1</f>
        <v>499</v>
      </c>
      <c r="S68" s="329"/>
      <c r="T68" s="329">
        <v>0</v>
      </c>
      <c r="U68" s="329"/>
      <c r="V68" s="330">
        <f>+N68-P68+R68-T68</f>
        <v>1009088</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1015503</v>
      </c>
      <c r="O71" s="329"/>
      <c r="P71" s="329">
        <f>SUM(P68:P70)</f>
        <v>6914</v>
      </c>
      <c r="Q71" s="329"/>
      <c r="R71" s="329">
        <f>SUM(R68:R70)</f>
        <v>499</v>
      </c>
      <c r="S71" s="329"/>
      <c r="T71" s="329">
        <f>SUM(T68:T70)</f>
        <v>0</v>
      </c>
      <c r="U71" s="329"/>
      <c r="V71" s="329">
        <f>SUM(V68:V70)</f>
        <v>1009088</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1015503</v>
      </c>
      <c r="O84" s="329"/>
      <c r="P84" s="329"/>
      <c r="Q84" s="329"/>
      <c r="R84" s="329"/>
      <c r="S84" s="329"/>
      <c r="T84" s="329"/>
      <c r="U84" s="329"/>
      <c r="V84" s="329">
        <f>SUM(V71:V83)</f>
        <v>1009088</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+T196</f>
        <v>40661</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6914-191</f>
        <v>6723</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4846+2753-847-378+164</f>
        <v>6538</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44+18</f>
        <v>62</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71</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0</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6723</v>
      </c>
      <c r="U96" s="279"/>
      <c r="V96" s="329">
        <f>SUM(V88:V95)</f>
        <v>6671</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-62</v>
      </c>
      <c r="U97" s="279"/>
      <c r="V97" s="329">
        <v>62</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131</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6661</v>
      </c>
      <c r="U100" s="279"/>
      <c r="V100" s="329">
        <f>V96+V98+V97+V99</f>
        <v>6864</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259</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210</v>
      </c>
      <c r="C104" s="279"/>
      <c r="D104" s="279"/>
      <c r="E104" s="279"/>
      <c r="F104" s="279"/>
      <c r="G104" s="279"/>
      <c r="H104" s="279"/>
      <c r="I104" s="279"/>
      <c r="J104" s="279"/>
      <c r="K104" s="279"/>
      <c r="L104" s="279"/>
      <c r="M104" s="279"/>
      <c r="N104" s="279"/>
      <c r="O104" s="279"/>
      <c r="P104" s="279"/>
      <c r="Q104" s="279"/>
      <c r="R104" s="279"/>
      <c r="S104" s="279"/>
      <c r="T104" s="279"/>
      <c r="U104" s="279"/>
      <c r="V104" s="330">
        <f>-374-287-12</f>
        <v>-673</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-279</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-1879+207</f>
        <v>-1672</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-207</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-226</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-64</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-232</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-53</v>
      </c>
      <c r="W111" s="282"/>
      <c r="X111" s="5"/>
      <c r="Y111" s="109"/>
    </row>
    <row r="112" spans="1:25" ht="15.6" x14ac:dyDescent="0.3">
      <c r="A112" s="336">
        <v>7</v>
      </c>
      <c r="B112" s="279" t="s">
        <v>35</v>
      </c>
      <c r="C112" s="279"/>
      <c r="D112" s="279"/>
      <c r="E112" s="279"/>
      <c r="F112" s="279"/>
      <c r="G112" s="279"/>
      <c r="H112" s="279"/>
      <c r="I112" s="279"/>
      <c r="J112" s="279"/>
      <c r="K112" s="279"/>
      <c r="L112" s="279"/>
      <c r="M112" s="279"/>
      <c r="N112" s="279"/>
      <c r="O112" s="279"/>
      <c r="P112" s="279"/>
      <c r="Q112" s="279"/>
      <c r="R112" s="279"/>
      <c r="S112" s="279"/>
      <c r="T112" s="279"/>
      <c r="U112" s="279"/>
      <c r="V112" s="330">
        <v>-10</v>
      </c>
      <c r="W112" s="282"/>
      <c r="X112" s="5"/>
    </row>
    <row r="113" spans="1:24" ht="15.6" x14ac:dyDescent="0.3">
      <c r="A113" s="336">
        <f t="shared" ref="A113:A118" si="0">+A112+1</f>
        <v>8</v>
      </c>
      <c r="B113" s="279" t="s">
        <v>46</v>
      </c>
      <c r="C113" s="279"/>
      <c r="D113" s="279"/>
      <c r="E113" s="279"/>
      <c r="F113" s="279"/>
      <c r="G113" s="279"/>
      <c r="H113" s="279"/>
      <c r="I113" s="279"/>
      <c r="J113" s="279"/>
      <c r="K113" s="279"/>
      <c r="L113" s="279"/>
      <c r="M113" s="279"/>
      <c r="N113" s="279"/>
      <c r="O113" s="279"/>
      <c r="P113" s="279"/>
      <c r="Q113" s="279"/>
      <c r="R113" s="279"/>
      <c r="S113" s="279"/>
      <c r="T113" s="329">
        <f>-V113</f>
        <v>191</v>
      </c>
      <c r="U113" s="279"/>
      <c r="V113" s="330">
        <v>-191</v>
      </c>
      <c r="W113" s="282"/>
      <c r="X113" s="5"/>
    </row>
    <row r="114" spans="1:24" ht="15.6" x14ac:dyDescent="0.3">
      <c r="A114" s="336">
        <f t="shared" si="0"/>
        <v>9</v>
      </c>
      <c r="B114" s="279" t="s">
        <v>130</v>
      </c>
      <c r="C114" s="279"/>
      <c r="D114" s="279"/>
      <c r="E114" s="279"/>
      <c r="F114" s="279"/>
      <c r="G114" s="279"/>
      <c r="H114" s="279"/>
      <c r="I114" s="279"/>
      <c r="J114" s="279"/>
      <c r="K114" s="279"/>
      <c r="L114" s="279"/>
      <c r="M114" s="279"/>
      <c r="N114" s="279"/>
      <c r="O114" s="279"/>
      <c r="P114" s="279"/>
      <c r="Q114" s="279"/>
      <c r="R114" s="279"/>
      <c r="S114" s="279"/>
      <c r="T114" s="279"/>
      <c r="U114" s="279"/>
      <c r="V114" s="330">
        <v>0</v>
      </c>
      <c r="W114" s="282"/>
      <c r="X114" s="5"/>
    </row>
    <row r="115" spans="1:24" ht="15.6" x14ac:dyDescent="0.3">
      <c r="A115" s="336">
        <f t="shared" si="0"/>
        <v>10</v>
      </c>
      <c r="B115" s="279" t="s">
        <v>36</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37</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154</v>
      </c>
      <c r="C117" s="279"/>
      <c r="D117" s="279"/>
      <c r="E117" s="279"/>
      <c r="F117" s="279"/>
      <c r="G117" s="279"/>
      <c r="H117" s="279"/>
      <c r="I117" s="279"/>
      <c r="J117" s="279"/>
      <c r="K117" s="279"/>
      <c r="L117" s="279"/>
      <c r="M117" s="279"/>
      <c r="N117" s="279"/>
      <c r="O117" s="279"/>
      <c r="P117" s="279"/>
      <c r="Q117" s="279"/>
      <c r="R117" s="279"/>
      <c r="S117" s="279"/>
      <c r="T117" s="279"/>
      <c r="U117" s="279"/>
      <c r="V117" s="330">
        <v>-374</v>
      </c>
      <c r="W117" s="282"/>
      <c r="X117" s="5"/>
    </row>
    <row r="118" spans="1:24" ht="15.6" x14ac:dyDescent="0.3">
      <c r="A118" s="336">
        <f t="shared" si="0"/>
        <v>13</v>
      </c>
      <c r="B118" s="279" t="s">
        <v>131</v>
      </c>
      <c r="C118" s="279"/>
      <c r="D118" s="279"/>
      <c r="E118" s="279"/>
      <c r="F118" s="279"/>
      <c r="G118" s="279"/>
      <c r="H118" s="279"/>
      <c r="I118" s="279"/>
      <c r="J118" s="279"/>
      <c r="K118" s="279"/>
      <c r="L118" s="279"/>
      <c r="M118" s="279"/>
      <c r="N118" s="279"/>
      <c r="O118" s="279"/>
      <c r="P118" s="279"/>
      <c r="Q118" s="279"/>
      <c r="R118" s="279"/>
      <c r="S118" s="279"/>
      <c r="T118" s="279"/>
      <c r="U118" s="279"/>
      <c r="V118" s="330">
        <f>-V100-SUM(V102:V117)</f>
        <v>-2881</v>
      </c>
      <c r="W118" s="282"/>
      <c r="X118" s="5"/>
    </row>
    <row r="119" spans="1:24" ht="15.6" x14ac:dyDescent="0.3">
      <c r="A119" s="278"/>
      <c r="B119" s="333" t="s">
        <v>38</v>
      </c>
      <c r="C119" s="305"/>
      <c r="D119" s="305"/>
      <c r="E119" s="305"/>
      <c r="F119" s="305"/>
      <c r="G119" s="305"/>
      <c r="H119" s="305"/>
      <c r="I119" s="305"/>
      <c r="J119" s="305"/>
      <c r="K119" s="305"/>
      <c r="L119" s="305"/>
      <c r="M119" s="305"/>
      <c r="N119" s="305"/>
      <c r="O119" s="305"/>
      <c r="P119" s="305"/>
      <c r="Q119" s="305"/>
      <c r="R119" s="305"/>
      <c r="S119" s="305"/>
      <c r="T119" s="305"/>
      <c r="U119" s="305"/>
      <c r="V119" s="337"/>
      <c r="W119" s="310"/>
      <c r="X119" s="5"/>
    </row>
    <row r="120" spans="1:24" ht="15.6" x14ac:dyDescent="0.3">
      <c r="A120" s="278"/>
      <c r="B120" s="279" t="s">
        <v>179</v>
      </c>
      <c r="C120" s="279"/>
      <c r="D120" s="279"/>
      <c r="E120" s="279"/>
      <c r="F120" s="279"/>
      <c r="G120" s="279"/>
      <c r="H120" s="279"/>
      <c r="I120" s="279"/>
      <c r="J120" s="279"/>
      <c r="K120" s="279"/>
      <c r="L120" s="279"/>
      <c r="M120" s="279"/>
      <c r="N120" s="279"/>
      <c r="O120" s="279"/>
      <c r="P120" s="279"/>
      <c r="Q120" s="279"/>
      <c r="R120" s="279"/>
      <c r="S120" s="279"/>
      <c r="T120" s="329">
        <f>-T180</f>
        <v>0</v>
      </c>
      <c r="U120" s="329"/>
      <c r="V120" s="330"/>
      <c r="W120" s="282"/>
      <c r="X120" s="5"/>
    </row>
    <row r="121" spans="1:24" ht="15.6" x14ac:dyDescent="0.3">
      <c r="A121" s="278"/>
      <c r="B121" s="279" t="s">
        <v>180</v>
      </c>
      <c r="C121" s="279"/>
      <c r="D121" s="279"/>
      <c r="E121" s="279"/>
      <c r="F121" s="279"/>
      <c r="G121" s="279"/>
      <c r="H121" s="279"/>
      <c r="I121" s="279"/>
      <c r="J121" s="279"/>
      <c r="K121" s="279"/>
      <c r="L121" s="279"/>
      <c r="M121" s="279"/>
      <c r="N121" s="279"/>
      <c r="O121" s="279"/>
      <c r="P121" s="279"/>
      <c r="Q121" s="279"/>
      <c r="R121" s="279"/>
      <c r="S121" s="279"/>
      <c r="T121" s="329">
        <v>-10</v>
      </c>
      <c r="U121" s="329"/>
      <c r="V121" s="330"/>
      <c r="W121" s="282"/>
      <c r="X121" s="5"/>
    </row>
    <row r="122" spans="1:24" ht="15.6" x14ac:dyDescent="0.3">
      <c r="A122" s="278"/>
      <c r="B122" s="279" t="s">
        <v>39</v>
      </c>
      <c r="C122" s="279"/>
      <c r="D122" s="279"/>
      <c r="E122" s="279"/>
      <c r="F122" s="279"/>
      <c r="G122" s="279"/>
      <c r="H122" s="279"/>
      <c r="I122" s="279"/>
      <c r="J122" s="279"/>
      <c r="K122" s="279"/>
      <c r="L122" s="279"/>
      <c r="M122" s="279"/>
      <c r="N122" s="279"/>
      <c r="O122" s="279"/>
      <c r="P122" s="279"/>
      <c r="Q122" s="279"/>
      <c r="R122" s="279"/>
      <c r="S122" s="279"/>
      <c r="T122" s="329">
        <f>-S180</f>
        <v>-428</v>
      </c>
      <c r="U122" s="329"/>
      <c r="V122" s="330"/>
      <c r="W122" s="282"/>
      <c r="X122" s="5"/>
    </row>
    <row r="123" spans="1:24" ht="15.6" x14ac:dyDescent="0.3">
      <c r="A123" s="278"/>
      <c r="B123" s="279" t="s">
        <v>203</v>
      </c>
      <c r="C123" s="279"/>
      <c r="D123" s="279"/>
      <c r="E123" s="279"/>
      <c r="F123" s="279"/>
      <c r="G123" s="279"/>
      <c r="H123" s="279"/>
      <c r="I123" s="279"/>
      <c r="J123" s="279"/>
      <c r="K123" s="279"/>
      <c r="L123" s="279"/>
      <c r="M123" s="279"/>
      <c r="N123" s="279"/>
      <c r="O123" s="279"/>
      <c r="P123" s="279"/>
      <c r="Q123" s="279"/>
      <c r="R123" s="279"/>
      <c r="S123" s="279"/>
      <c r="T123" s="329">
        <v>-4028</v>
      </c>
      <c r="U123" s="329"/>
      <c r="V123" s="330"/>
      <c r="W123" s="282"/>
      <c r="X123" s="5"/>
    </row>
    <row r="124" spans="1:24" ht="15.6" x14ac:dyDescent="0.3">
      <c r="A124" s="278"/>
      <c r="B124" s="279" t="s">
        <v>201</v>
      </c>
      <c r="C124" s="279"/>
      <c r="D124" s="279"/>
      <c r="E124" s="279"/>
      <c r="F124" s="279"/>
      <c r="G124" s="279"/>
      <c r="H124" s="279"/>
      <c r="I124" s="279"/>
      <c r="J124" s="279"/>
      <c r="K124" s="279"/>
      <c r="L124" s="279"/>
      <c r="M124" s="279"/>
      <c r="N124" s="279"/>
      <c r="O124" s="279"/>
      <c r="P124" s="279"/>
      <c r="Q124" s="279"/>
      <c r="R124" s="279"/>
      <c r="S124" s="279"/>
      <c r="T124" s="329">
        <v>-716</v>
      </c>
      <c r="U124" s="329"/>
      <c r="V124" s="330"/>
      <c r="W124" s="282"/>
      <c r="X124" s="5"/>
    </row>
    <row r="125" spans="1:24" ht="15.6" x14ac:dyDescent="0.3">
      <c r="A125" s="278"/>
      <c r="B125" s="279" t="s">
        <v>200</v>
      </c>
      <c r="C125" s="279"/>
      <c r="D125" s="279"/>
      <c r="E125" s="279"/>
      <c r="F125" s="279"/>
      <c r="G125" s="279"/>
      <c r="H125" s="279"/>
      <c r="I125" s="279"/>
      <c r="J125" s="279"/>
      <c r="K125" s="279"/>
      <c r="L125" s="279"/>
      <c r="M125" s="279"/>
      <c r="N125" s="279"/>
      <c r="O125" s="279"/>
      <c r="P125" s="279"/>
      <c r="Q125" s="279"/>
      <c r="R125" s="279"/>
      <c r="S125" s="279"/>
      <c r="T125" s="329">
        <v>-835</v>
      </c>
      <c r="U125" s="329"/>
      <c r="V125" s="330"/>
      <c r="W125" s="282"/>
      <c r="X125" s="5"/>
    </row>
    <row r="126" spans="1:24" ht="15.6" x14ac:dyDescent="0.3">
      <c r="A126" s="278"/>
      <c r="B126" s="279" t="s">
        <v>260</v>
      </c>
      <c r="C126" s="279"/>
      <c r="D126" s="279"/>
      <c r="E126" s="279"/>
      <c r="F126" s="279"/>
      <c r="G126" s="279"/>
      <c r="H126" s="279"/>
      <c r="I126" s="279"/>
      <c r="J126" s="279"/>
      <c r="K126" s="279"/>
      <c r="L126" s="279"/>
      <c r="M126" s="279"/>
      <c r="N126" s="279"/>
      <c r="O126" s="279"/>
      <c r="P126" s="279"/>
      <c r="Q126" s="279"/>
      <c r="R126" s="279"/>
      <c r="S126" s="279"/>
      <c r="T126" s="329">
        <v>-835</v>
      </c>
      <c r="U126" s="329"/>
      <c r="V126" s="330"/>
      <c r="W126" s="282"/>
      <c r="X126" s="5"/>
    </row>
    <row r="127" spans="1:24" ht="15.6" x14ac:dyDescent="0.3">
      <c r="A127" s="278"/>
      <c r="B127" s="279" t="s">
        <v>195</v>
      </c>
      <c r="C127" s="279"/>
      <c r="D127" s="279"/>
      <c r="E127" s="279"/>
      <c r="F127" s="279"/>
      <c r="G127" s="279"/>
      <c r="H127" s="279"/>
      <c r="I127" s="279"/>
      <c r="J127" s="279"/>
      <c r="K127" s="279"/>
      <c r="L127" s="279"/>
      <c r="M127" s="279"/>
      <c r="N127" s="279"/>
      <c r="O127" s="279"/>
      <c r="P127" s="279"/>
      <c r="Q127" s="279"/>
      <c r="R127" s="279"/>
      <c r="S127" s="279"/>
      <c r="T127" s="329">
        <v>0</v>
      </c>
      <c r="U127" s="329"/>
      <c r="V127" s="330"/>
      <c r="W127" s="282"/>
      <c r="X127" s="5"/>
    </row>
    <row r="128" spans="1:24" ht="15.6" x14ac:dyDescent="0.3">
      <c r="A128" s="278"/>
      <c r="B128" s="279" t="s">
        <v>194</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261</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193</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40</v>
      </c>
      <c r="C131" s="279"/>
      <c r="D131" s="279"/>
      <c r="E131" s="279"/>
      <c r="F131" s="279"/>
      <c r="G131" s="279"/>
      <c r="H131" s="279"/>
      <c r="I131" s="279"/>
      <c r="J131" s="279"/>
      <c r="K131" s="279"/>
      <c r="L131" s="279"/>
      <c r="M131" s="279"/>
      <c r="N131" s="279"/>
      <c r="O131" s="279"/>
      <c r="P131" s="279"/>
      <c r="Q131" s="279"/>
      <c r="R131" s="279"/>
      <c r="S131" s="279"/>
      <c r="T131" s="329">
        <f>SUM(T120:T130)</f>
        <v>-6852</v>
      </c>
      <c r="U131" s="329"/>
      <c r="V131" s="329">
        <f>SUM(V101:V128)</f>
        <v>-6864</v>
      </c>
      <c r="W131" s="282"/>
      <c r="X131" s="5"/>
    </row>
    <row r="132" spans="1:24" ht="15.6" x14ac:dyDescent="0.3">
      <c r="A132" s="278"/>
      <c r="B132" s="279" t="s">
        <v>41</v>
      </c>
      <c r="C132" s="279"/>
      <c r="D132" s="279"/>
      <c r="E132" s="279"/>
      <c r="F132" s="279"/>
      <c r="G132" s="279"/>
      <c r="H132" s="279"/>
      <c r="I132" s="279"/>
      <c r="J132" s="279"/>
      <c r="K132" s="279"/>
      <c r="L132" s="279"/>
      <c r="M132" s="279"/>
      <c r="N132" s="279"/>
      <c r="O132" s="279"/>
      <c r="P132" s="279"/>
      <c r="Q132" s="279"/>
      <c r="R132" s="279"/>
      <c r="S132" s="279"/>
      <c r="T132" s="329">
        <f>T100+T131+T113</f>
        <v>0</v>
      </c>
      <c r="U132" s="329"/>
      <c r="V132" s="329">
        <f>V100+V131</f>
        <v>0</v>
      </c>
      <c r="W132" s="282"/>
      <c r="X132" s="5"/>
    </row>
    <row r="133" spans="1:24" ht="15.6" x14ac:dyDescent="0.3">
      <c r="A133" s="177"/>
      <c r="B133" s="275"/>
      <c r="C133" s="275"/>
      <c r="D133" s="275"/>
      <c r="E133" s="275"/>
      <c r="F133" s="275"/>
      <c r="G133" s="275"/>
      <c r="H133" s="275"/>
      <c r="I133" s="275"/>
      <c r="J133" s="275"/>
      <c r="K133" s="275"/>
      <c r="L133" s="275"/>
      <c r="M133" s="275"/>
      <c r="N133" s="275"/>
      <c r="O133" s="275"/>
      <c r="P133" s="275"/>
      <c r="Q133" s="275"/>
      <c r="R133" s="275"/>
      <c r="S133" s="275"/>
      <c r="T133" s="327"/>
      <c r="U133" s="327"/>
      <c r="V133" s="327"/>
      <c r="W133" s="275"/>
      <c r="X133" s="5"/>
    </row>
    <row r="134" spans="1:24" ht="15.6" x14ac:dyDescent="0.3">
      <c r="A134" s="177"/>
      <c r="B134" s="179"/>
      <c r="C134" s="179"/>
      <c r="D134" s="179"/>
      <c r="E134" s="179"/>
      <c r="F134" s="179"/>
      <c r="G134" s="179"/>
      <c r="H134" s="179"/>
      <c r="I134" s="179"/>
      <c r="J134" s="179"/>
      <c r="K134" s="179"/>
      <c r="L134" s="179"/>
      <c r="M134" s="179"/>
      <c r="N134" s="179"/>
      <c r="O134" s="179"/>
      <c r="P134" s="179"/>
      <c r="Q134" s="179"/>
      <c r="R134" s="179"/>
      <c r="S134" s="179"/>
      <c r="T134" s="179"/>
      <c r="U134" s="179"/>
      <c r="V134" s="199"/>
      <c r="W134" s="179"/>
      <c r="X134" s="5"/>
    </row>
    <row r="135" spans="1:24" ht="18" thickBot="1" x14ac:dyDescent="0.35">
      <c r="A135" s="194"/>
      <c r="B135" s="264" t="str">
        <f>B64</f>
        <v>PM12 INVESTOR REPORT QUARTER ENDING APRIL 2011</v>
      </c>
      <c r="C135" s="195"/>
      <c r="D135" s="195"/>
      <c r="E135" s="195"/>
      <c r="F135" s="195"/>
      <c r="G135" s="195"/>
      <c r="H135" s="195"/>
      <c r="I135" s="195"/>
      <c r="J135" s="195"/>
      <c r="K135" s="195"/>
      <c r="L135" s="195"/>
      <c r="M135" s="195"/>
      <c r="N135" s="195"/>
      <c r="O135" s="195"/>
      <c r="P135" s="195"/>
      <c r="Q135" s="195"/>
      <c r="R135" s="195"/>
      <c r="S135" s="195"/>
      <c r="T135" s="195"/>
      <c r="U135" s="195"/>
      <c r="V135" s="207"/>
      <c r="W135" s="197"/>
      <c r="X135" s="5"/>
    </row>
    <row r="136" spans="1:24" ht="15.6" x14ac:dyDescent="0.3">
      <c r="A136" s="235"/>
      <c r="B136" s="392" t="s">
        <v>42</v>
      </c>
      <c r="C136" s="236"/>
      <c r="D136" s="236"/>
      <c r="E136" s="236"/>
      <c r="F136" s="236"/>
      <c r="G136" s="236"/>
      <c r="H136" s="236"/>
      <c r="I136" s="236"/>
      <c r="J136" s="236"/>
      <c r="K136" s="236"/>
      <c r="L136" s="236"/>
      <c r="M136" s="236"/>
      <c r="N136" s="236"/>
      <c r="O136" s="236"/>
      <c r="P136" s="236"/>
      <c r="Q136" s="236"/>
      <c r="R136" s="236"/>
      <c r="S136" s="236"/>
      <c r="T136" s="236"/>
      <c r="U136" s="236"/>
      <c r="V136" s="237"/>
      <c r="W136" s="236"/>
      <c r="X136" s="5"/>
    </row>
    <row r="137" spans="1:24" ht="15.6" x14ac:dyDescent="0.3">
      <c r="A137" s="177"/>
      <c r="B137" s="186"/>
      <c r="C137" s="179"/>
      <c r="D137" s="179"/>
      <c r="E137" s="179"/>
      <c r="F137" s="179"/>
      <c r="G137" s="179"/>
      <c r="H137" s="179"/>
      <c r="I137" s="179"/>
      <c r="J137" s="179"/>
      <c r="K137" s="179"/>
      <c r="L137" s="179"/>
      <c r="M137" s="179"/>
      <c r="N137" s="179"/>
      <c r="O137" s="179"/>
      <c r="P137" s="179"/>
      <c r="Q137" s="179"/>
      <c r="R137" s="179"/>
      <c r="S137" s="179"/>
      <c r="T137" s="179"/>
      <c r="U137" s="179"/>
      <c r="V137" s="199"/>
      <c r="W137" s="179"/>
      <c r="X137" s="5"/>
    </row>
    <row r="138" spans="1:24" ht="15.6" x14ac:dyDescent="0.3">
      <c r="A138" s="177"/>
      <c r="B138" s="208" t="s">
        <v>43</v>
      </c>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278"/>
      <c r="B139" s="279" t="s">
        <v>44</v>
      </c>
      <c r="C139" s="279"/>
      <c r="D139" s="279"/>
      <c r="E139" s="279"/>
      <c r="F139" s="279"/>
      <c r="G139" s="279"/>
      <c r="H139" s="279"/>
      <c r="I139" s="279"/>
      <c r="J139" s="279"/>
      <c r="K139" s="279"/>
      <c r="L139" s="279"/>
      <c r="M139" s="279"/>
      <c r="N139" s="279"/>
      <c r="O139" s="279"/>
      <c r="P139" s="279"/>
      <c r="Q139" s="279"/>
      <c r="R139" s="279"/>
      <c r="S139" s="279"/>
      <c r="T139" s="279"/>
      <c r="U139" s="279"/>
      <c r="V139" s="330">
        <f>+V34*0.019</f>
        <v>28503.895</v>
      </c>
      <c r="W139" s="310"/>
      <c r="X139" s="5"/>
    </row>
    <row r="140" spans="1:24" ht="15.6" x14ac:dyDescent="0.3">
      <c r="A140" s="278"/>
      <c r="B140" s="279" t="s">
        <v>45</v>
      </c>
      <c r="C140" s="279"/>
      <c r="D140" s="279"/>
      <c r="E140" s="279"/>
      <c r="F140" s="279"/>
      <c r="G140" s="279"/>
      <c r="H140" s="279"/>
      <c r="I140" s="279"/>
      <c r="J140" s="279"/>
      <c r="K140" s="279"/>
      <c r="L140" s="279"/>
      <c r="M140" s="279"/>
      <c r="N140" s="279"/>
      <c r="O140" s="279"/>
      <c r="P140" s="279"/>
      <c r="Q140" s="279"/>
      <c r="R140" s="279"/>
      <c r="S140" s="279"/>
      <c r="T140" s="279"/>
      <c r="U140" s="279"/>
      <c r="V140" s="330">
        <v>28504</v>
      </c>
      <c r="W140" s="310"/>
      <c r="X140" s="5"/>
    </row>
    <row r="141" spans="1:24" ht="15.6" x14ac:dyDescent="0.3">
      <c r="A141" s="278"/>
      <c r="B141" s="279" t="s">
        <v>141</v>
      </c>
      <c r="C141" s="279"/>
      <c r="D141" s="279"/>
      <c r="E141" s="279"/>
      <c r="F141" s="279"/>
      <c r="G141" s="279"/>
      <c r="H141" s="279"/>
      <c r="I141" s="279"/>
      <c r="J141" s="279"/>
      <c r="K141" s="279"/>
      <c r="L141" s="279"/>
      <c r="M141" s="279"/>
      <c r="N141" s="279"/>
      <c r="O141" s="279"/>
      <c r="P141" s="279"/>
      <c r="Q141" s="279"/>
      <c r="R141" s="279"/>
      <c r="S141" s="279"/>
      <c r="T141" s="279"/>
      <c r="U141" s="279"/>
      <c r="V141" s="330">
        <v>0</v>
      </c>
      <c r="W141" s="310"/>
      <c r="X141" s="5"/>
    </row>
    <row r="142" spans="1:24" ht="15.6" x14ac:dyDescent="0.3">
      <c r="A142" s="278"/>
      <c r="B142" s="279" t="s">
        <v>128</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129</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181</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46</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134</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230</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c r="Y147" s="109"/>
    </row>
    <row r="148" spans="1:25" ht="15.6" x14ac:dyDescent="0.3">
      <c r="A148" s="278"/>
      <c r="B148" s="279" t="s">
        <v>47</v>
      </c>
      <c r="C148" s="279"/>
      <c r="D148" s="279"/>
      <c r="E148" s="279"/>
      <c r="F148" s="279"/>
      <c r="G148" s="279"/>
      <c r="H148" s="279"/>
      <c r="I148" s="279"/>
      <c r="J148" s="279"/>
      <c r="K148" s="279"/>
      <c r="L148" s="279"/>
      <c r="M148" s="279"/>
      <c r="N148" s="279"/>
      <c r="O148" s="279"/>
      <c r="P148" s="279"/>
      <c r="Q148" s="279"/>
      <c r="R148" s="279"/>
      <c r="S148" s="279"/>
      <c r="T148" s="279"/>
      <c r="U148" s="279"/>
      <c r="V148" s="330">
        <f>SUM(V140:V147)</f>
        <v>28504</v>
      </c>
      <c r="W148" s="310"/>
      <c r="X148" s="5"/>
    </row>
    <row r="149" spans="1:25" ht="15.6" x14ac:dyDescent="0.3">
      <c r="A149" s="278"/>
      <c r="B149" s="305"/>
      <c r="C149" s="305"/>
      <c r="D149" s="305"/>
      <c r="E149" s="305"/>
      <c r="F149" s="305"/>
      <c r="G149" s="305"/>
      <c r="H149" s="305"/>
      <c r="I149" s="305"/>
      <c r="J149" s="305"/>
      <c r="K149" s="305"/>
      <c r="L149" s="305"/>
      <c r="M149" s="305"/>
      <c r="N149" s="305"/>
      <c r="O149" s="305"/>
      <c r="P149" s="305"/>
      <c r="Q149" s="305"/>
      <c r="R149" s="305"/>
      <c r="S149" s="305"/>
      <c r="T149" s="305"/>
      <c r="U149" s="305"/>
      <c r="V149" s="335"/>
      <c r="W149" s="310"/>
      <c r="X149" s="5"/>
    </row>
    <row r="150" spans="1:25" ht="15.6" x14ac:dyDescent="0.3">
      <c r="A150" s="278"/>
      <c r="B150" s="333" t="s">
        <v>269</v>
      </c>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279" t="s">
        <v>160</v>
      </c>
      <c r="C151" s="279"/>
      <c r="D151" s="279"/>
      <c r="E151" s="279"/>
      <c r="F151" s="279"/>
      <c r="G151" s="279"/>
      <c r="H151" s="279"/>
      <c r="I151" s="279"/>
      <c r="J151" s="279"/>
      <c r="K151" s="279"/>
      <c r="L151" s="279"/>
      <c r="M151" s="279"/>
      <c r="N151" s="279"/>
      <c r="O151" s="279"/>
      <c r="P151" s="279"/>
      <c r="Q151" s="279"/>
      <c r="R151" s="279"/>
      <c r="S151" s="279"/>
      <c r="T151" s="279"/>
      <c r="U151" s="279"/>
      <c r="V151" s="330">
        <v>0</v>
      </c>
      <c r="W151" s="310"/>
      <c r="X151" s="5"/>
    </row>
    <row r="152" spans="1:25" ht="15.6" x14ac:dyDescent="0.3">
      <c r="A152" s="278"/>
      <c r="B152" s="279" t="s">
        <v>178</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270</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305"/>
      <c r="C154" s="305"/>
      <c r="D154" s="305"/>
      <c r="E154" s="305"/>
      <c r="F154" s="305"/>
      <c r="G154" s="305"/>
      <c r="H154" s="305"/>
      <c r="I154" s="305"/>
      <c r="J154" s="305"/>
      <c r="K154" s="305"/>
      <c r="L154" s="305"/>
      <c r="M154" s="305"/>
      <c r="N154" s="305"/>
      <c r="O154" s="305"/>
      <c r="P154" s="305"/>
      <c r="Q154" s="305"/>
      <c r="R154" s="305"/>
      <c r="S154" s="305"/>
      <c r="T154" s="305"/>
      <c r="U154" s="305"/>
      <c r="V154" s="335"/>
      <c r="W154" s="310"/>
      <c r="X154" s="5"/>
    </row>
    <row r="155" spans="1:25" ht="15.6" x14ac:dyDescent="0.3">
      <c r="A155" s="177"/>
      <c r="B155" s="275"/>
      <c r="C155" s="275"/>
      <c r="D155" s="275"/>
      <c r="E155" s="275"/>
      <c r="F155" s="275"/>
      <c r="G155" s="275"/>
      <c r="H155" s="275"/>
      <c r="I155" s="275"/>
      <c r="J155" s="275"/>
      <c r="K155" s="275"/>
      <c r="L155" s="275"/>
      <c r="M155" s="275"/>
      <c r="N155" s="275"/>
      <c r="O155" s="275"/>
      <c r="P155" s="275"/>
      <c r="Q155" s="275"/>
      <c r="R155" s="275"/>
      <c r="S155" s="275"/>
      <c r="T155" s="275"/>
      <c r="U155" s="275"/>
      <c r="V155" s="338"/>
      <c r="W155" s="275"/>
      <c r="X155" s="5"/>
    </row>
    <row r="156" spans="1:25" ht="15.6" x14ac:dyDescent="0.3">
      <c r="A156" s="177"/>
      <c r="B156" s="208" t="s">
        <v>24</v>
      </c>
      <c r="C156" s="179"/>
      <c r="D156" s="179"/>
      <c r="E156" s="179"/>
      <c r="F156" s="179"/>
      <c r="G156" s="179"/>
      <c r="H156" s="179"/>
      <c r="I156" s="179"/>
      <c r="J156" s="179"/>
      <c r="K156" s="179"/>
      <c r="L156" s="179"/>
      <c r="M156" s="179"/>
      <c r="N156" s="179"/>
      <c r="O156" s="179"/>
      <c r="P156" s="179"/>
      <c r="Q156" s="179"/>
      <c r="R156" s="179"/>
      <c r="S156" s="179"/>
      <c r="T156" s="179"/>
      <c r="U156" s="179"/>
      <c r="V156" s="199"/>
      <c r="W156" s="179"/>
      <c r="X156" s="5"/>
    </row>
    <row r="157" spans="1:25" ht="15.6" x14ac:dyDescent="0.3">
      <c r="A157" s="278"/>
      <c r="B157" s="279" t="s">
        <v>48</v>
      </c>
      <c r="C157" s="279"/>
      <c r="D157" s="279"/>
      <c r="E157" s="279"/>
      <c r="F157" s="279"/>
      <c r="G157" s="279"/>
      <c r="H157" s="279"/>
      <c r="I157" s="279"/>
      <c r="J157" s="279"/>
      <c r="K157" s="279"/>
      <c r="L157" s="279"/>
      <c r="M157" s="279"/>
      <c r="N157" s="279"/>
      <c r="O157" s="279"/>
      <c r="P157" s="279"/>
      <c r="Q157" s="279"/>
      <c r="R157" s="279"/>
      <c r="S157" s="279"/>
      <c r="T157" s="279"/>
      <c r="U157" s="279"/>
      <c r="V157" s="339" t="s">
        <v>123</v>
      </c>
      <c r="W157" s="282"/>
      <c r="X157" s="5"/>
    </row>
    <row r="158" spans="1:25" ht="15.6" x14ac:dyDescent="0.3">
      <c r="A158" s="278"/>
      <c r="B158" s="279" t="s">
        <v>49</v>
      </c>
      <c r="C158" s="281"/>
      <c r="D158" s="281"/>
      <c r="E158" s="281"/>
      <c r="F158" s="281"/>
      <c r="G158" s="281"/>
      <c r="H158" s="281"/>
      <c r="I158" s="281"/>
      <c r="J158" s="281"/>
      <c r="K158" s="281"/>
      <c r="L158" s="281"/>
      <c r="M158" s="281"/>
      <c r="N158" s="281"/>
      <c r="O158" s="281"/>
      <c r="P158" s="281"/>
      <c r="Q158" s="281"/>
      <c r="R158" s="281"/>
      <c r="S158" s="281"/>
      <c r="T158" s="281"/>
      <c r="U158" s="281"/>
      <c r="V158" s="339" t="s">
        <v>123</v>
      </c>
      <c r="W158" s="282"/>
      <c r="X158" s="5"/>
    </row>
    <row r="159" spans="1:25" ht="15.6" x14ac:dyDescent="0.3">
      <c r="A159" s="278"/>
      <c r="B159" s="279" t="s">
        <v>50</v>
      </c>
      <c r="C159" s="279"/>
      <c r="D159" s="279"/>
      <c r="E159" s="279"/>
      <c r="F159" s="279"/>
      <c r="G159" s="279"/>
      <c r="H159" s="279"/>
      <c r="I159" s="279"/>
      <c r="J159" s="279"/>
      <c r="K159" s="279"/>
      <c r="L159" s="279"/>
      <c r="M159" s="279"/>
      <c r="N159" s="279"/>
      <c r="O159" s="279"/>
      <c r="P159" s="279"/>
      <c r="Q159" s="279"/>
      <c r="R159" s="279"/>
      <c r="S159" s="279"/>
      <c r="T159" s="279"/>
      <c r="U159" s="279"/>
      <c r="V159" s="339" t="s">
        <v>123</v>
      </c>
      <c r="W159" s="282"/>
      <c r="X159" s="5"/>
    </row>
    <row r="160" spans="1:25" ht="15.6" x14ac:dyDescent="0.3">
      <c r="A160" s="278"/>
      <c r="B160" s="279" t="s">
        <v>51</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177"/>
      <c r="B161" s="275"/>
      <c r="C161" s="275"/>
      <c r="D161" s="275"/>
      <c r="E161" s="275"/>
      <c r="F161" s="275"/>
      <c r="G161" s="275"/>
      <c r="H161" s="275"/>
      <c r="I161" s="275"/>
      <c r="J161" s="275"/>
      <c r="K161" s="275"/>
      <c r="L161" s="275"/>
      <c r="M161" s="275"/>
      <c r="N161" s="275"/>
      <c r="O161" s="275"/>
      <c r="P161" s="275"/>
      <c r="Q161" s="275"/>
      <c r="R161" s="275"/>
      <c r="S161" s="275"/>
      <c r="T161" s="275"/>
      <c r="U161" s="275"/>
      <c r="V161" s="338"/>
      <c r="W161" s="275"/>
      <c r="X161" s="5"/>
    </row>
    <row r="162" spans="1:24" ht="15.6" x14ac:dyDescent="0.3">
      <c r="A162" s="177"/>
      <c r="B162" s="208" t="s">
        <v>52</v>
      </c>
      <c r="C162" s="179"/>
      <c r="D162" s="179"/>
      <c r="E162" s="179"/>
      <c r="F162" s="179"/>
      <c r="G162" s="179"/>
      <c r="H162" s="179"/>
      <c r="I162" s="179"/>
      <c r="J162" s="179"/>
      <c r="K162" s="179"/>
      <c r="L162" s="179"/>
      <c r="M162" s="179"/>
      <c r="N162" s="179"/>
      <c r="O162" s="179"/>
      <c r="P162" s="179"/>
      <c r="Q162" s="179"/>
      <c r="R162" s="179"/>
      <c r="S162" s="179"/>
      <c r="T162" s="179"/>
      <c r="U162" s="179"/>
      <c r="V162" s="209"/>
      <c r="W162" s="179"/>
      <c r="X162" s="5"/>
    </row>
    <row r="163" spans="1:24" ht="15.6" x14ac:dyDescent="0.3">
      <c r="A163" s="278"/>
      <c r="B163" s="279" t="s">
        <v>53</v>
      </c>
      <c r="C163" s="279"/>
      <c r="D163" s="279"/>
      <c r="E163" s="279"/>
      <c r="F163" s="279"/>
      <c r="G163" s="279"/>
      <c r="H163" s="279"/>
      <c r="I163" s="279"/>
      <c r="J163" s="279"/>
      <c r="K163" s="279"/>
      <c r="L163" s="279"/>
      <c r="M163" s="279"/>
      <c r="N163" s="279"/>
      <c r="O163" s="279"/>
      <c r="P163" s="279"/>
      <c r="Q163" s="279"/>
      <c r="R163" s="279"/>
      <c r="S163" s="279"/>
      <c r="T163" s="279"/>
      <c r="U163" s="279"/>
      <c r="V163" s="330">
        <v>0</v>
      </c>
      <c r="W163" s="310"/>
      <c r="X163" s="5"/>
    </row>
    <row r="164" spans="1:24" ht="15.6" x14ac:dyDescent="0.3">
      <c r="A164" s="278"/>
      <c r="B164" s="279" t="s">
        <v>54</v>
      </c>
      <c r="C164" s="279"/>
      <c r="D164" s="279"/>
      <c r="E164" s="279"/>
      <c r="F164" s="279"/>
      <c r="G164" s="279"/>
      <c r="H164" s="279"/>
      <c r="I164" s="279"/>
      <c r="J164" s="279"/>
      <c r="K164" s="279"/>
      <c r="L164" s="279"/>
      <c r="M164" s="279"/>
      <c r="N164" s="279"/>
      <c r="O164" s="279"/>
      <c r="P164" s="279"/>
      <c r="Q164" s="279"/>
      <c r="R164" s="279"/>
      <c r="S164" s="279"/>
      <c r="T164" s="279"/>
      <c r="U164" s="279"/>
      <c r="V164" s="330">
        <f>-V113</f>
        <v>191</v>
      </c>
      <c r="W164" s="310"/>
      <c r="X164" s="5"/>
    </row>
    <row r="165" spans="1:24" ht="15.6" x14ac:dyDescent="0.3">
      <c r="A165" s="278"/>
      <c r="B165" s="279" t="s">
        <v>55</v>
      </c>
      <c r="C165" s="279"/>
      <c r="D165" s="279"/>
      <c r="E165" s="279"/>
      <c r="F165" s="279"/>
      <c r="G165" s="279"/>
      <c r="H165" s="279"/>
      <c r="I165" s="279"/>
      <c r="J165" s="279"/>
      <c r="K165" s="279"/>
      <c r="L165" s="279"/>
      <c r="M165" s="279"/>
      <c r="N165" s="279"/>
      <c r="O165" s="279"/>
      <c r="P165" s="279"/>
      <c r="Q165" s="279"/>
      <c r="R165" s="279"/>
      <c r="S165" s="279"/>
      <c r="T165" s="279"/>
      <c r="U165" s="279"/>
      <c r="V165" s="330">
        <f>V164+V163</f>
        <v>191</v>
      </c>
      <c r="W165" s="310"/>
      <c r="X165" s="5"/>
    </row>
    <row r="166" spans="1:24" ht="15.6" x14ac:dyDescent="0.3">
      <c r="A166" s="278"/>
      <c r="B166" s="399" t="s">
        <v>310</v>
      </c>
      <c r="C166" s="279"/>
      <c r="D166" s="279"/>
      <c r="E166" s="279"/>
      <c r="F166" s="279"/>
      <c r="G166" s="279"/>
      <c r="H166" s="279"/>
      <c r="I166" s="279"/>
      <c r="J166" s="279"/>
      <c r="K166" s="279"/>
      <c r="L166" s="279"/>
      <c r="M166" s="279"/>
      <c r="N166" s="279"/>
      <c r="O166" s="279"/>
      <c r="P166" s="279"/>
      <c r="Q166" s="279"/>
      <c r="R166" s="279"/>
      <c r="S166" s="279"/>
      <c r="T166" s="279"/>
      <c r="U166" s="279"/>
      <c r="V166" s="330">
        <f>V113</f>
        <v>-191</v>
      </c>
      <c r="W166" s="310"/>
      <c r="X166" s="5"/>
    </row>
    <row r="167" spans="1:24" ht="15.6" x14ac:dyDescent="0.3">
      <c r="A167" s="278"/>
      <c r="B167" s="279" t="s">
        <v>56</v>
      </c>
      <c r="C167" s="279"/>
      <c r="D167" s="279"/>
      <c r="E167" s="279"/>
      <c r="F167" s="279"/>
      <c r="G167" s="279"/>
      <c r="H167" s="279"/>
      <c r="I167" s="279"/>
      <c r="J167" s="279"/>
      <c r="K167" s="279"/>
      <c r="L167" s="279"/>
      <c r="M167" s="279"/>
      <c r="N167" s="279"/>
      <c r="O167" s="279"/>
      <c r="P167" s="279"/>
      <c r="Q167" s="279"/>
      <c r="R167" s="279"/>
      <c r="S167" s="279"/>
      <c r="T167" s="279"/>
      <c r="U167" s="279"/>
      <c r="V167" s="330">
        <f>V165+V166</f>
        <v>0</v>
      </c>
      <c r="W167" s="310"/>
      <c r="X167" s="5"/>
    </row>
    <row r="168" spans="1:24" ht="15.6" x14ac:dyDescent="0.3">
      <c r="A168" s="278"/>
      <c r="B168" s="279" t="s">
        <v>282</v>
      </c>
      <c r="C168" s="279"/>
      <c r="D168" s="279"/>
      <c r="E168" s="279"/>
      <c r="F168" s="279"/>
      <c r="G168" s="279"/>
      <c r="H168" s="279"/>
      <c r="I168" s="279"/>
      <c r="J168" s="279"/>
      <c r="K168" s="279"/>
      <c r="L168" s="279"/>
      <c r="M168" s="279"/>
      <c r="N168" s="279"/>
      <c r="O168" s="279"/>
      <c r="P168" s="279"/>
      <c r="Q168" s="279"/>
      <c r="R168" s="279"/>
      <c r="S168" s="279"/>
      <c r="T168" s="279"/>
      <c r="U168" s="279"/>
      <c r="V168" s="330">
        <v>0</v>
      </c>
      <c r="W168" s="310"/>
      <c r="X168" s="5"/>
    </row>
    <row r="169" spans="1:24" ht="16.2" thickBot="1" x14ac:dyDescent="0.35">
      <c r="A169" s="177"/>
      <c r="B169" s="275"/>
      <c r="C169" s="275"/>
      <c r="D169" s="275"/>
      <c r="E169" s="275"/>
      <c r="F169" s="275"/>
      <c r="G169" s="275"/>
      <c r="H169" s="275"/>
      <c r="I169" s="275"/>
      <c r="J169" s="275"/>
      <c r="K169" s="275"/>
      <c r="L169" s="275"/>
      <c r="M169" s="275"/>
      <c r="N169" s="275"/>
      <c r="O169" s="275"/>
      <c r="P169" s="275"/>
      <c r="Q169" s="275"/>
      <c r="R169" s="275"/>
      <c r="S169" s="275"/>
      <c r="T169" s="275"/>
      <c r="U169" s="275"/>
      <c r="V169" s="338"/>
      <c r="W169" s="275"/>
      <c r="X169" s="5"/>
    </row>
    <row r="170" spans="1:24"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76"/>
      <c r="U170" s="176"/>
      <c r="V170" s="198"/>
      <c r="W170" s="176"/>
      <c r="X170" s="5"/>
    </row>
    <row r="171" spans="1:24" ht="15.6" x14ac:dyDescent="0.3">
      <c r="A171" s="177"/>
      <c r="B171" s="208" t="s">
        <v>57</v>
      </c>
      <c r="C171" s="179"/>
      <c r="D171" s="179"/>
      <c r="E171" s="179"/>
      <c r="F171" s="179"/>
      <c r="G171" s="179"/>
      <c r="H171" s="179"/>
      <c r="I171" s="179"/>
      <c r="J171" s="179"/>
      <c r="K171" s="179"/>
      <c r="L171" s="179"/>
      <c r="M171" s="179"/>
      <c r="N171" s="179"/>
      <c r="O171" s="179"/>
      <c r="P171" s="179"/>
      <c r="Q171" s="179"/>
      <c r="R171" s="179"/>
      <c r="S171" s="179"/>
      <c r="T171" s="179"/>
      <c r="U171" s="179"/>
      <c r="V171" s="199"/>
      <c r="W171" s="179"/>
      <c r="X171" s="5"/>
    </row>
    <row r="172" spans="1:24" ht="15.6" x14ac:dyDescent="0.3">
      <c r="A172" s="177"/>
      <c r="B172" s="186"/>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278"/>
      <c r="B173" s="279" t="s">
        <v>58</v>
      </c>
      <c r="C173" s="279"/>
      <c r="D173" s="279"/>
      <c r="E173" s="279"/>
      <c r="F173" s="279"/>
      <c r="G173" s="279"/>
      <c r="H173" s="279"/>
      <c r="I173" s="279"/>
      <c r="J173" s="279"/>
      <c r="K173" s="279"/>
      <c r="L173" s="279"/>
      <c r="M173" s="279"/>
      <c r="N173" s="279"/>
      <c r="O173" s="279"/>
      <c r="P173" s="279"/>
      <c r="Q173" s="279"/>
      <c r="R173" s="279"/>
      <c r="S173" s="279"/>
      <c r="T173" s="279"/>
      <c r="U173" s="279"/>
      <c r="V173" s="330">
        <f>V71</f>
        <v>1009088</v>
      </c>
      <c r="W173" s="282"/>
      <c r="X173" s="5"/>
    </row>
    <row r="174" spans="1:24" ht="15.6" x14ac:dyDescent="0.3">
      <c r="A174" s="278"/>
      <c r="B174" s="279" t="s">
        <v>59</v>
      </c>
      <c r="C174" s="279"/>
      <c r="D174" s="279"/>
      <c r="E174" s="279"/>
      <c r="F174" s="279"/>
      <c r="G174" s="279"/>
      <c r="H174" s="279"/>
      <c r="I174" s="279"/>
      <c r="J174" s="279"/>
      <c r="K174" s="279"/>
      <c r="L174" s="279"/>
      <c r="M174" s="279"/>
      <c r="N174" s="279"/>
      <c r="O174" s="279"/>
      <c r="P174" s="279"/>
      <c r="Q174" s="279"/>
      <c r="R174" s="279"/>
      <c r="S174" s="279"/>
      <c r="T174" s="279"/>
      <c r="U174" s="279"/>
      <c r="V174" s="330">
        <f>V84</f>
        <v>1009088</v>
      </c>
      <c r="W174" s="282"/>
      <c r="X174" s="5"/>
    </row>
    <row r="175" spans="1:24" ht="16.2" thickBot="1" x14ac:dyDescent="0.35">
      <c r="A175" s="177"/>
      <c r="B175" s="275"/>
      <c r="C175" s="275"/>
      <c r="D175" s="275"/>
      <c r="E175" s="275"/>
      <c r="F175" s="275"/>
      <c r="G175" s="275"/>
      <c r="H175" s="275"/>
      <c r="I175" s="275"/>
      <c r="J175" s="275"/>
      <c r="K175" s="275"/>
      <c r="L175" s="275"/>
      <c r="M175" s="275"/>
      <c r="N175" s="275"/>
      <c r="O175" s="275"/>
      <c r="P175" s="275"/>
      <c r="Q175" s="275"/>
      <c r="R175" s="275"/>
      <c r="S175" s="275"/>
      <c r="T175" s="275"/>
      <c r="U175" s="275"/>
      <c r="V175" s="338"/>
      <c r="W175" s="275"/>
      <c r="X175" s="5"/>
    </row>
    <row r="176" spans="1:24"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76"/>
      <c r="U176" s="176"/>
      <c r="V176" s="198"/>
      <c r="W176" s="176"/>
      <c r="X176" s="5"/>
    </row>
    <row r="177" spans="1:24" ht="15.6" x14ac:dyDescent="0.3">
      <c r="A177" s="177"/>
      <c r="B177" s="208" t="s">
        <v>60</v>
      </c>
      <c r="C177" s="203"/>
      <c r="D177" s="203"/>
      <c r="E177" s="203"/>
      <c r="F177" s="203"/>
      <c r="G177" s="203"/>
      <c r="H177" s="210"/>
      <c r="I177" s="210"/>
      <c r="J177" s="210"/>
      <c r="K177" s="210"/>
      <c r="L177" s="210"/>
      <c r="M177" s="210"/>
      <c r="N177" s="210"/>
      <c r="O177" s="210"/>
      <c r="P177" s="210"/>
      <c r="Q177" s="210"/>
      <c r="R177" s="210"/>
      <c r="S177" s="210" t="s">
        <v>103</v>
      </c>
      <c r="T177" s="210" t="s">
        <v>182</v>
      </c>
      <c r="U177" s="181"/>
      <c r="V177" s="211" t="s">
        <v>119</v>
      </c>
      <c r="W177" s="212"/>
      <c r="X177" s="5"/>
    </row>
    <row r="178" spans="1:24" ht="15.6" x14ac:dyDescent="0.3">
      <c r="A178" s="278"/>
      <c r="B178" s="279" t="s">
        <v>61</v>
      </c>
      <c r="C178" s="279"/>
      <c r="D178" s="279"/>
      <c r="E178" s="279"/>
      <c r="F178" s="279"/>
      <c r="G178" s="279"/>
      <c r="H178" s="279"/>
      <c r="I178" s="279"/>
      <c r="J178" s="279"/>
      <c r="K178" s="279"/>
      <c r="L178" s="279"/>
      <c r="M178" s="279"/>
      <c r="N178" s="279"/>
      <c r="O178" s="279"/>
      <c r="P178" s="279"/>
      <c r="Q178" s="279"/>
      <c r="R178" s="279"/>
      <c r="S178" s="330">
        <f>+V34*0.16</f>
        <v>240032.80000000002</v>
      </c>
      <c r="T178" s="317"/>
      <c r="U178" s="279"/>
      <c r="V178" s="330"/>
      <c r="W178" s="310"/>
      <c r="X178" s="5"/>
    </row>
    <row r="179" spans="1:24" ht="15.6" x14ac:dyDescent="0.3">
      <c r="A179" s="278"/>
      <c r="B179" s="279" t="s">
        <v>62</v>
      </c>
      <c r="C179" s="279"/>
      <c r="D179" s="279"/>
      <c r="E179" s="279"/>
      <c r="F179" s="279"/>
      <c r="G179" s="279"/>
      <c r="H179" s="279"/>
      <c r="I179" s="279"/>
      <c r="J179" s="279"/>
      <c r="K179" s="279"/>
      <c r="L179" s="279"/>
      <c r="M179" s="279"/>
      <c r="N179" s="279"/>
      <c r="O179" s="279"/>
      <c r="P179" s="279"/>
      <c r="Q179" s="279"/>
      <c r="R179" s="279"/>
      <c r="S179" s="330">
        <f>+'Jan 11'!S181</f>
        <v>47844</v>
      </c>
      <c r="T179" s="330">
        <f>+'Jan 11'!T181</f>
        <v>6288</v>
      </c>
      <c r="U179" s="279"/>
      <c r="V179" s="330">
        <f>S179+T179</f>
        <v>54132</v>
      </c>
      <c r="W179" s="310"/>
      <c r="X179" s="5"/>
    </row>
    <row r="180" spans="1:24" ht="15.6" x14ac:dyDescent="0.3">
      <c r="A180" s="278"/>
      <c r="B180" s="279" t="s">
        <v>63</v>
      </c>
      <c r="C180" s="279"/>
      <c r="D180" s="279"/>
      <c r="E180" s="279"/>
      <c r="F180" s="279"/>
      <c r="G180" s="279"/>
      <c r="H180" s="279"/>
      <c r="I180" s="279"/>
      <c r="J180" s="279"/>
      <c r="K180" s="279"/>
      <c r="L180" s="279"/>
      <c r="M180" s="279"/>
      <c r="N180" s="279"/>
      <c r="O180" s="279"/>
      <c r="P180" s="279"/>
      <c r="Q180" s="279"/>
      <c r="R180" s="279"/>
      <c r="S180" s="329">
        <v>428</v>
      </c>
      <c r="T180" s="329">
        <v>0</v>
      </c>
      <c r="U180" s="279"/>
      <c r="V180" s="330">
        <f>S180+T180</f>
        <v>428</v>
      </c>
      <c r="W180" s="310"/>
      <c r="X180" s="5"/>
    </row>
    <row r="181" spans="1:24" ht="15.6" x14ac:dyDescent="0.3">
      <c r="A181" s="278"/>
      <c r="B181" s="279" t="s">
        <v>64</v>
      </c>
      <c r="C181" s="279"/>
      <c r="D181" s="279"/>
      <c r="E181" s="279"/>
      <c r="F181" s="279"/>
      <c r="G181" s="279"/>
      <c r="H181" s="279"/>
      <c r="I181" s="279"/>
      <c r="J181" s="279"/>
      <c r="K181" s="279"/>
      <c r="L181" s="279"/>
      <c r="M181" s="279"/>
      <c r="N181" s="279"/>
      <c r="O181" s="279"/>
      <c r="P181" s="279"/>
      <c r="Q181" s="279"/>
      <c r="R181" s="279"/>
      <c r="S181" s="330">
        <f>S179+S180</f>
        <v>48272</v>
      </c>
      <c r="T181" s="330">
        <f>T180+T179</f>
        <v>6288</v>
      </c>
      <c r="U181" s="279"/>
      <c r="V181" s="330">
        <f>S181+T181</f>
        <v>54560</v>
      </c>
      <c r="W181" s="310"/>
      <c r="X181" s="5"/>
    </row>
    <row r="182" spans="1:24" ht="15.6" x14ac:dyDescent="0.3">
      <c r="A182" s="278"/>
      <c r="B182" s="279" t="s">
        <v>65</v>
      </c>
      <c r="C182" s="279"/>
      <c r="D182" s="279"/>
      <c r="E182" s="279"/>
      <c r="F182" s="279"/>
      <c r="G182" s="279"/>
      <c r="H182" s="279"/>
      <c r="I182" s="279"/>
      <c r="J182" s="279"/>
      <c r="K182" s="279"/>
      <c r="L182" s="279"/>
      <c r="M182" s="279"/>
      <c r="N182" s="279"/>
      <c r="O182" s="279"/>
      <c r="P182" s="279"/>
      <c r="Q182" s="279"/>
      <c r="R182" s="279"/>
      <c r="S182" s="330">
        <f>S178-S181-T181</f>
        <v>185472.80000000002</v>
      </c>
      <c r="T182" s="317"/>
      <c r="U182" s="279"/>
      <c r="V182" s="330"/>
      <c r="W182" s="310"/>
      <c r="X182" s="5"/>
    </row>
    <row r="183" spans="1:24" ht="16.2" thickBot="1" x14ac:dyDescent="0.35">
      <c r="A183" s="177"/>
      <c r="B183" s="275"/>
      <c r="C183" s="275"/>
      <c r="D183" s="275"/>
      <c r="E183" s="275"/>
      <c r="F183" s="275"/>
      <c r="G183" s="275"/>
      <c r="H183" s="275"/>
      <c r="I183" s="275"/>
      <c r="J183" s="275"/>
      <c r="K183" s="275"/>
      <c r="L183" s="275"/>
      <c r="M183" s="275"/>
      <c r="N183" s="275"/>
      <c r="O183" s="275"/>
      <c r="P183" s="275"/>
      <c r="Q183" s="275"/>
      <c r="R183" s="275"/>
      <c r="S183" s="275"/>
      <c r="T183" s="275"/>
      <c r="U183" s="275"/>
      <c r="V183" s="338"/>
      <c r="W183" s="275"/>
      <c r="X183" s="5"/>
    </row>
    <row r="184" spans="1:24"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76"/>
      <c r="U184" s="176"/>
      <c r="V184" s="198"/>
      <c r="W184" s="176"/>
      <c r="X184" s="5"/>
    </row>
    <row r="185" spans="1:24" ht="15.6" x14ac:dyDescent="0.3">
      <c r="A185" s="177"/>
      <c r="B185" s="208" t="s">
        <v>66</v>
      </c>
      <c r="C185" s="179"/>
      <c r="D185" s="179"/>
      <c r="E185" s="179"/>
      <c r="F185" s="179"/>
      <c r="G185" s="179"/>
      <c r="H185" s="179"/>
      <c r="I185" s="179"/>
      <c r="J185" s="179"/>
      <c r="K185" s="179"/>
      <c r="L185" s="179"/>
      <c r="M185" s="179"/>
      <c r="N185" s="179"/>
      <c r="O185" s="179"/>
      <c r="P185" s="179"/>
      <c r="Q185" s="179"/>
      <c r="R185" s="179"/>
      <c r="S185" s="179"/>
      <c r="T185" s="179"/>
      <c r="U185" s="179"/>
      <c r="V185" s="213"/>
      <c r="W185" s="179"/>
      <c r="X185" s="5"/>
    </row>
    <row r="186" spans="1:24" ht="15.6" x14ac:dyDescent="0.3">
      <c r="A186" s="278"/>
      <c r="B186" s="279" t="s">
        <v>67</v>
      </c>
      <c r="C186" s="279"/>
      <c r="D186" s="279"/>
      <c r="E186" s="279"/>
      <c r="F186" s="279"/>
      <c r="G186" s="279"/>
      <c r="H186" s="279"/>
      <c r="I186" s="279"/>
      <c r="J186" s="279"/>
      <c r="K186" s="279"/>
      <c r="L186" s="279"/>
      <c r="M186" s="279"/>
      <c r="N186" s="279"/>
      <c r="O186" s="279"/>
      <c r="P186" s="279"/>
      <c r="Q186" s="279"/>
      <c r="R186" s="279"/>
      <c r="S186" s="279"/>
      <c r="T186" s="279"/>
      <c r="U186" s="279"/>
      <c r="V186" s="339">
        <f>(V100+V102+V103+V104+V105)/-(V106+V107)</f>
        <v>3.1452900478978179</v>
      </c>
      <c r="W186" s="282" t="s">
        <v>120</v>
      </c>
      <c r="X186" s="5"/>
    </row>
    <row r="187" spans="1:24" ht="15.6" x14ac:dyDescent="0.3">
      <c r="A187" s="278"/>
      <c r="B187" s="279" t="s">
        <v>68</v>
      </c>
      <c r="C187" s="279"/>
      <c r="D187" s="279"/>
      <c r="E187" s="279"/>
      <c r="F187" s="279"/>
      <c r="G187" s="279"/>
      <c r="H187" s="279"/>
      <c r="I187" s="279"/>
      <c r="J187" s="279"/>
      <c r="K187" s="279"/>
      <c r="L187" s="279"/>
      <c r="M187" s="279"/>
      <c r="N187" s="279"/>
      <c r="O187" s="279"/>
      <c r="P187" s="279"/>
      <c r="Q187" s="279"/>
      <c r="R187" s="279"/>
      <c r="S187" s="279"/>
      <c r="T187" s="279"/>
      <c r="U187" s="279"/>
      <c r="V187" s="341">
        <v>1.54</v>
      </c>
      <c r="W187" s="282" t="s">
        <v>120</v>
      </c>
      <c r="X187" s="5"/>
    </row>
    <row r="188" spans="1:24" ht="15.6" x14ac:dyDescent="0.3">
      <c r="A188" s="278"/>
      <c r="B188" s="279" t="s">
        <v>69</v>
      </c>
      <c r="C188" s="279"/>
      <c r="D188" s="279"/>
      <c r="E188" s="279"/>
      <c r="F188" s="279"/>
      <c r="G188" s="279"/>
      <c r="H188" s="279"/>
      <c r="I188" s="279"/>
      <c r="J188" s="279"/>
      <c r="K188" s="279"/>
      <c r="L188" s="279"/>
      <c r="M188" s="279"/>
      <c r="N188" s="279"/>
      <c r="O188" s="279"/>
      <c r="P188" s="279"/>
      <c r="Q188" s="279"/>
      <c r="R188" s="279"/>
      <c r="S188" s="279"/>
      <c r="T188" s="279"/>
      <c r="U188" s="279"/>
      <c r="V188" s="339">
        <f>(V100+V102+V103+V104+V105+V106+V107)/-(V108+V109)</f>
        <v>13.9</v>
      </c>
      <c r="W188" s="282" t="s">
        <v>120</v>
      </c>
      <c r="X188" s="5"/>
    </row>
    <row r="189" spans="1:24" ht="15.6" x14ac:dyDescent="0.3">
      <c r="A189" s="278"/>
      <c r="B189" s="279" t="s">
        <v>70</v>
      </c>
      <c r="C189" s="279"/>
      <c r="D189" s="279"/>
      <c r="E189" s="279"/>
      <c r="F189" s="279"/>
      <c r="G189" s="279"/>
      <c r="H189" s="279"/>
      <c r="I189" s="279"/>
      <c r="J189" s="279"/>
      <c r="K189" s="279"/>
      <c r="L189" s="279"/>
      <c r="M189" s="279"/>
      <c r="N189" s="279"/>
      <c r="O189" s="279"/>
      <c r="P189" s="279"/>
      <c r="Q189" s="279"/>
      <c r="R189" s="279"/>
      <c r="S189" s="279"/>
      <c r="T189" s="279"/>
      <c r="U189" s="279"/>
      <c r="V189" s="341">
        <v>5.17</v>
      </c>
      <c r="W189" s="282" t="s">
        <v>120</v>
      </c>
      <c r="X189" s="5"/>
    </row>
    <row r="190" spans="1:24" ht="15.6" x14ac:dyDescent="0.3">
      <c r="A190" s="278"/>
      <c r="B190" s="279" t="s">
        <v>204</v>
      </c>
      <c r="C190" s="279"/>
      <c r="D190" s="279"/>
      <c r="E190" s="279"/>
      <c r="F190" s="279"/>
      <c r="G190" s="279"/>
      <c r="H190" s="279"/>
      <c r="I190" s="279"/>
      <c r="J190" s="279"/>
      <c r="K190" s="279"/>
      <c r="L190" s="279"/>
      <c r="M190" s="279"/>
      <c r="N190" s="279"/>
      <c r="O190" s="279"/>
      <c r="P190" s="279"/>
      <c r="Q190" s="279"/>
      <c r="R190" s="279"/>
      <c r="S190" s="279"/>
      <c r="T190" s="279"/>
      <c r="U190" s="279"/>
      <c r="V190" s="339">
        <f>(V100+V102+V103+V104+V105+V106+V107+V108+V109)/-(V110+V111)</f>
        <v>13.126315789473685</v>
      </c>
      <c r="W190" s="282" t="s">
        <v>120</v>
      </c>
      <c r="X190" s="5"/>
    </row>
    <row r="191" spans="1:24" ht="15.6" x14ac:dyDescent="0.3">
      <c r="A191" s="278"/>
      <c r="B191" s="279" t="s">
        <v>205</v>
      </c>
      <c r="C191" s="279"/>
      <c r="D191" s="279"/>
      <c r="E191" s="279"/>
      <c r="F191" s="279"/>
      <c r="G191" s="279"/>
      <c r="H191" s="279"/>
      <c r="I191" s="279"/>
      <c r="J191" s="279"/>
      <c r="K191" s="279"/>
      <c r="L191" s="279"/>
      <c r="M191" s="279"/>
      <c r="N191" s="279"/>
      <c r="O191" s="279"/>
      <c r="P191" s="279"/>
      <c r="Q191" s="279"/>
      <c r="R191" s="279"/>
      <c r="S191" s="279"/>
      <c r="T191" s="279"/>
      <c r="U191" s="279"/>
      <c r="V191" s="341">
        <v>4.8600000000000003</v>
      </c>
      <c r="W191" s="282" t="s">
        <v>120</v>
      </c>
      <c r="X191" s="5"/>
    </row>
    <row r="192" spans="1:24" ht="15.6" x14ac:dyDescent="0.3">
      <c r="A192" s="278"/>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82"/>
      <c r="X192" s="5"/>
    </row>
    <row r="193" spans="1:24" ht="15.6" x14ac:dyDescent="0.3">
      <c r="A193" s="177"/>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5"/>
    </row>
    <row r="194" spans="1:24" ht="15.6" x14ac:dyDescent="0.3">
      <c r="A194" s="177"/>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5"/>
    </row>
    <row r="195" spans="1:24" ht="18" thickBot="1" x14ac:dyDescent="0.35">
      <c r="A195" s="194"/>
      <c r="B195" s="264" t="str">
        <f>B135</f>
        <v>PM12 INVESTOR REPORT QUARTER ENDING APRIL 2011</v>
      </c>
      <c r="C195" s="265"/>
      <c r="D195" s="265"/>
      <c r="E195" s="265"/>
      <c r="F195" s="265"/>
      <c r="G195" s="265"/>
      <c r="H195" s="265"/>
      <c r="I195" s="265"/>
      <c r="J195" s="265"/>
      <c r="K195" s="265"/>
      <c r="L195" s="265"/>
      <c r="M195" s="265"/>
      <c r="N195" s="265"/>
      <c r="O195" s="265"/>
      <c r="P195" s="265"/>
      <c r="Q195" s="265"/>
      <c r="R195" s="265"/>
      <c r="S195" s="265"/>
      <c r="T195" s="265"/>
      <c r="U195" s="265"/>
      <c r="V195" s="265"/>
      <c r="W195" s="266"/>
      <c r="X195" s="5"/>
    </row>
    <row r="196" spans="1:24" ht="15.6" x14ac:dyDescent="0.3">
      <c r="A196" s="235"/>
      <c r="B196" s="392" t="s">
        <v>71</v>
      </c>
      <c r="C196" s="393"/>
      <c r="D196" s="393"/>
      <c r="E196" s="393"/>
      <c r="F196" s="393"/>
      <c r="G196" s="394"/>
      <c r="H196" s="394"/>
      <c r="I196" s="394"/>
      <c r="J196" s="394"/>
      <c r="K196" s="394"/>
      <c r="L196" s="394"/>
      <c r="M196" s="394"/>
      <c r="N196" s="394"/>
      <c r="O196" s="394"/>
      <c r="P196" s="394"/>
      <c r="Q196" s="394"/>
      <c r="R196" s="394"/>
      <c r="S196" s="394"/>
      <c r="T196" s="394">
        <v>40661</v>
      </c>
      <c r="U196" s="236"/>
      <c r="V196" s="236"/>
      <c r="W196" s="236"/>
      <c r="X196" s="5"/>
    </row>
    <row r="197" spans="1:24" ht="15.6" x14ac:dyDescent="0.3">
      <c r="A197" s="214"/>
      <c r="B197" s="215"/>
      <c r="C197" s="216"/>
      <c r="D197" s="216"/>
      <c r="E197" s="216"/>
      <c r="F197" s="216"/>
      <c r="G197" s="217"/>
      <c r="H197" s="217"/>
      <c r="I197" s="217"/>
      <c r="J197" s="217"/>
      <c r="K197" s="217"/>
      <c r="L197" s="217"/>
      <c r="M197" s="217"/>
      <c r="N197" s="217"/>
      <c r="O197" s="217"/>
      <c r="P197" s="217"/>
      <c r="Q197" s="217"/>
      <c r="R197" s="217"/>
      <c r="S197" s="217"/>
      <c r="T197" s="217"/>
      <c r="U197" s="179"/>
      <c r="V197" s="179"/>
      <c r="W197" s="179"/>
      <c r="X197" s="5"/>
    </row>
    <row r="198" spans="1:24" ht="15.6" x14ac:dyDescent="0.3">
      <c r="A198" s="344"/>
      <c r="B198" s="279" t="s">
        <v>72</v>
      </c>
      <c r="C198" s="395"/>
      <c r="D198" s="395"/>
      <c r="E198" s="395"/>
      <c r="F198" s="395"/>
      <c r="G198" s="386"/>
      <c r="H198" s="386"/>
      <c r="I198" s="386"/>
      <c r="J198" s="386"/>
      <c r="K198" s="386"/>
      <c r="L198" s="386"/>
      <c r="M198" s="386"/>
      <c r="N198" s="386"/>
      <c r="O198" s="386"/>
      <c r="P198" s="386"/>
      <c r="Q198" s="386"/>
      <c r="R198" s="386"/>
      <c r="S198" s="386"/>
      <c r="T198" s="313">
        <v>5.2060000000000002E-2</v>
      </c>
      <c r="U198" s="279"/>
      <c r="V198" s="279"/>
      <c r="W198" s="310"/>
      <c r="X198" s="5"/>
    </row>
    <row r="199" spans="1:24" ht="15.6" x14ac:dyDescent="0.3">
      <c r="A199" s="344"/>
      <c r="B199" s="279" t="s">
        <v>156</v>
      </c>
      <c r="C199" s="395"/>
      <c r="D199" s="395"/>
      <c r="E199" s="395"/>
      <c r="F199" s="395"/>
      <c r="G199" s="386"/>
      <c r="H199" s="386"/>
      <c r="I199" s="386"/>
      <c r="J199" s="386"/>
      <c r="K199" s="386"/>
      <c r="L199" s="386"/>
      <c r="M199" s="386"/>
      <c r="N199" s="386"/>
      <c r="O199" s="386"/>
      <c r="P199" s="386"/>
      <c r="Q199" s="386"/>
      <c r="R199" s="386"/>
      <c r="S199" s="386"/>
      <c r="T199" s="313">
        <f>'Oct 06'!T197</f>
        <v>4.8538814772447772E-2</v>
      </c>
      <c r="U199" s="279"/>
      <c r="V199" s="279"/>
      <c r="W199" s="310"/>
      <c r="X199" s="5"/>
    </row>
    <row r="200" spans="1:24" ht="15.6" x14ac:dyDescent="0.3">
      <c r="A200" s="344"/>
      <c r="B200" s="279" t="s">
        <v>73</v>
      </c>
      <c r="C200" s="395"/>
      <c r="D200" s="395"/>
      <c r="E200" s="395"/>
      <c r="F200" s="395"/>
      <c r="G200" s="386"/>
      <c r="H200" s="386"/>
      <c r="I200" s="386"/>
      <c r="J200" s="386"/>
      <c r="K200" s="386"/>
      <c r="L200" s="386"/>
      <c r="M200" s="386"/>
      <c r="N200" s="386"/>
      <c r="O200" s="386"/>
      <c r="P200" s="386"/>
      <c r="Q200" s="386"/>
      <c r="R200" s="386"/>
      <c r="S200" s="386"/>
      <c r="T200" s="313">
        <f>T198-T199</f>
        <v>3.5211852275522301E-3</v>
      </c>
      <c r="U200" s="279"/>
      <c r="V200" s="279"/>
      <c r="W200" s="310"/>
      <c r="X200" s="5"/>
    </row>
    <row r="201" spans="1:24" ht="15.6" x14ac:dyDescent="0.3">
      <c r="A201" s="344"/>
      <c r="B201" s="279" t="s">
        <v>74</v>
      </c>
      <c r="C201" s="395"/>
      <c r="D201" s="395"/>
      <c r="E201" s="395"/>
      <c r="F201" s="395"/>
      <c r="G201" s="386"/>
      <c r="H201" s="386"/>
      <c r="I201" s="386"/>
      <c r="J201" s="386"/>
      <c r="K201" s="386"/>
      <c r="L201" s="386"/>
      <c r="M201" s="386"/>
      <c r="N201" s="386"/>
      <c r="O201" s="386"/>
      <c r="P201" s="386"/>
      <c r="Q201" s="386"/>
      <c r="R201" s="386"/>
      <c r="S201" s="386"/>
      <c r="T201" s="313">
        <v>2.5780000000000001E-2</v>
      </c>
      <c r="U201" s="279"/>
      <c r="V201" s="279"/>
      <c r="W201" s="310"/>
      <c r="X201" s="5"/>
    </row>
    <row r="202" spans="1:24" ht="15.6" x14ac:dyDescent="0.3">
      <c r="A202" s="344"/>
      <c r="B202" s="279" t="s">
        <v>225</v>
      </c>
      <c r="C202" s="395"/>
      <c r="D202" s="395"/>
      <c r="E202" s="395"/>
      <c r="F202" s="395"/>
      <c r="G202" s="386"/>
      <c r="H202" s="386"/>
      <c r="I202" s="386"/>
      <c r="J202" s="386"/>
      <c r="K202" s="386"/>
      <c r="L202" s="386"/>
      <c r="M202" s="386"/>
      <c r="N202" s="386"/>
      <c r="O202" s="386"/>
      <c r="P202" s="386"/>
      <c r="Q202" s="386"/>
      <c r="R202" s="386"/>
      <c r="S202" s="386"/>
      <c r="T202" s="313">
        <f>V43</f>
        <v>9.8000869345925921E-3</v>
      </c>
      <c r="U202" s="279"/>
      <c r="V202" s="279"/>
      <c r="W202" s="310"/>
      <c r="X202" s="5"/>
    </row>
    <row r="203" spans="1:24" ht="15.6" x14ac:dyDescent="0.3">
      <c r="A203" s="344"/>
      <c r="B203" s="279" t="s">
        <v>75</v>
      </c>
      <c r="C203" s="395"/>
      <c r="D203" s="395"/>
      <c r="E203" s="395"/>
      <c r="F203" s="395"/>
      <c r="G203" s="386"/>
      <c r="H203" s="386"/>
      <c r="I203" s="386"/>
      <c r="J203" s="386"/>
      <c r="K203" s="386"/>
      <c r="L203" s="386"/>
      <c r="M203" s="386"/>
      <c r="N203" s="386"/>
      <c r="O203" s="386"/>
      <c r="P203" s="386"/>
      <c r="Q203" s="386"/>
      <c r="R203" s="386"/>
      <c r="S203" s="386"/>
      <c r="T203" s="313">
        <f>T201-T202</f>
        <v>1.5979913065407407E-2</v>
      </c>
      <c r="U203" s="279"/>
      <c r="V203" s="279"/>
      <c r="W203" s="310"/>
      <c r="X203" s="5"/>
    </row>
    <row r="204" spans="1:24" ht="15.6" x14ac:dyDescent="0.3">
      <c r="A204" s="344"/>
      <c r="B204" s="279" t="s">
        <v>271</v>
      </c>
      <c r="C204" s="395"/>
      <c r="D204" s="395"/>
      <c r="E204" s="395"/>
      <c r="F204" s="395"/>
      <c r="G204" s="386"/>
      <c r="H204" s="386"/>
      <c r="I204" s="386"/>
      <c r="J204" s="386"/>
      <c r="K204" s="386"/>
      <c r="L204" s="386"/>
      <c r="M204" s="386"/>
      <c r="N204" s="386"/>
      <c r="O204" s="386"/>
      <c r="P204" s="386"/>
      <c r="Q204" s="386"/>
      <c r="R204" s="386"/>
      <c r="S204" s="386"/>
      <c r="T204" s="313">
        <f>+V100/N71</f>
        <v>6.7592119373354881E-3</v>
      </c>
      <c r="U204" s="279"/>
      <c r="V204" s="279"/>
      <c r="W204" s="310"/>
      <c r="X204" s="5"/>
    </row>
    <row r="205" spans="1:24" ht="15.6" x14ac:dyDescent="0.3">
      <c r="A205" s="344"/>
      <c r="B205" s="279" t="s">
        <v>214</v>
      </c>
      <c r="C205" s="395"/>
      <c r="D205" s="395"/>
      <c r="E205" s="395"/>
      <c r="F205" s="395"/>
      <c r="G205" s="386"/>
      <c r="H205" s="386"/>
      <c r="I205" s="386"/>
      <c r="J205" s="386"/>
      <c r="K205" s="386"/>
      <c r="L205" s="386"/>
      <c r="M205" s="386"/>
      <c r="N205" s="386"/>
      <c r="O205" s="386"/>
      <c r="P205" s="386"/>
      <c r="Q205" s="386"/>
      <c r="R205" s="386"/>
      <c r="S205" s="386"/>
      <c r="T205" s="346">
        <v>50710</v>
      </c>
      <c r="U205" s="279"/>
      <c r="V205" s="279"/>
      <c r="W205" s="310"/>
      <c r="X205" s="5"/>
    </row>
    <row r="206" spans="1:24" ht="15.6" x14ac:dyDescent="0.3">
      <c r="A206" s="344"/>
      <c r="B206" s="279" t="s">
        <v>215</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216</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76</v>
      </c>
      <c r="C208" s="395"/>
      <c r="D208" s="395"/>
      <c r="E208" s="395"/>
      <c r="F208" s="395"/>
      <c r="G208" s="386"/>
      <c r="H208" s="386"/>
      <c r="I208" s="386"/>
      <c r="J208" s="386"/>
      <c r="K208" s="386"/>
      <c r="L208" s="386"/>
      <c r="M208" s="386"/>
      <c r="N208" s="386"/>
      <c r="O208" s="386"/>
      <c r="P208" s="386"/>
      <c r="Q208" s="386"/>
      <c r="R208" s="386"/>
      <c r="S208" s="386"/>
      <c r="T208" s="319">
        <v>21.06</v>
      </c>
      <c r="U208" s="279" t="s">
        <v>115</v>
      </c>
      <c r="V208" s="279"/>
      <c r="W208" s="310"/>
      <c r="X208" s="5"/>
    </row>
    <row r="209" spans="1:24" ht="15.6" x14ac:dyDescent="0.3">
      <c r="A209" s="344"/>
      <c r="B209" s="279" t="s">
        <v>77</v>
      </c>
      <c r="C209" s="395"/>
      <c r="D209" s="395"/>
      <c r="E209" s="395"/>
      <c r="F209" s="395"/>
      <c r="G209" s="386"/>
      <c r="H209" s="386"/>
      <c r="I209" s="386"/>
      <c r="J209" s="386"/>
      <c r="K209" s="386"/>
      <c r="L209" s="386"/>
      <c r="M209" s="386"/>
      <c r="N209" s="386"/>
      <c r="O209" s="386"/>
      <c r="P209" s="386"/>
      <c r="Q209" s="386"/>
      <c r="R209" s="386"/>
      <c r="S209" s="386"/>
      <c r="T209" s="319">
        <v>16.37</v>
      </c>
      <c r="U209" s="279" t="s">
        <v>115</v>
      </c>
      <c r="V209" s="279"/>
      <c r="W209" s="310"/>
      <c r="X209" s="5"/>
    </row>
    <row r="210" spans="1:24" ht="15.6" x14ac:dyDescent="0.3">
      <c r="A210" s="344"/>
      <c r="B210" s="279" t="s">
        <v>78</v>
      </c>
      <c r="C210" s="395"/>
      <c r="D210" s="395"/>
      <c r="E210" s="395"/>
      <c r="F210" s="395"/>
      <c r="G210" s="386"/>
      <c r="H210" s="386"/>
      <c r="I210" s="386"/>
      <c r="J210" s="386"/>
      <c r="K210" s="386"/>
      <c r="L210" s="386"/>
      <c r="M210" s="386"/>
      <c r="N210" s="386"/>
      <c r="O210" s="386"/>
      <c r="P210" s="386"/>
      <c r="Q210" s="386"/>
      <c r="R210" s="386"/>
      <c r="S210" s="386"/>
      <c r="T210" s="313">
        <f>P68/N68</f>
        <v>6.8084486210282001E-3</v>
      </c>
      <c r="U210" s="279"/>
      <c r="V210" s="279"/>
      <c r="W210" s="310"/>
      <c r="X210" s="5"/>
    </row>
    <row r="211" spans="1:24" ht="15.6" x14ac:dyDescent="0.3">
      <c r="A211" s="344"/>
      <c r="B211" s="279" t="s">
        <v>79</v>
      </c>
      <c r="C211" s="395"/>
      <c r="D211" s="395"/>
      <c r="E211" s="395"/>
      <c r="F211" s="395"/>
      <c r="G211" s="386"/>
      <c r="H211" s="386"/>
      <c r="I211" s="386"/>
      <c r="J211" s="386"/>
      <c r="K211" s="386"/>
      <c r="L211" s="386"/>
      <c r="M211" s="386"/>
      <c r="N211" s="386"/>
      <c r="O211" s="386"/>
      <c r="P211" s="386"/>
      <c r="Q211" s="386"/>
      <c r="R211" s="386"/>
      <c r="S211" s="386"/>
      <c r="T211" s="313">
        <v>8.7499999999999994E-2</v>
      </c>
      <c r="U211" s="279"/>
      <c r="V211" s="279"/>
      <c r="W211" s="310"/>
      <c r="X211" s="5"/>
    </row>
    <row r="212" spans="1:24" ht="15.6" x14ac:dyDescent="0.3">
      <c r="A212" s="214"/>
      <c r="B212" s="342"/>
      <c r="C212" s="342"/>
      <c r="D212" s="342"/>
      <c r="E212" s="342"/>
      <c r="F212" s="342"/>
      <c r="G212" s="275"/>
      <c r="H212" s="275"/>
      <c r="I212" s="275"/>
      <c r="J212" s="275"/>
      <c r="K212" s="275"/>
      <c r="L212" s="275"/>
      <c r="M212" s="275"/>
      <c r="N212" s="275"/>
      <c r="O212" s="275"/>
      <c r="P212" s="275"/>
      <c r="Q212" s="275"/>
      <c r="R212" s="275"/>
      <c r="S212" s="275"/>
      <c r="T212" s="338"/>
      <c r="U212" s="275"/>
      <c r="V212" s="343"/>
      <c r="W212" s="275"/>
      <c r="X212" s="5"/>
    </row>
    <row r="213" spans="1:24" ht="15.6" x14ac:dyDescent="0.3">
      <c r="A213" s="241"/>
      <c r="B213" s="388" t="s">
        <v>80</v>
      </c>
      <c r="C213" s="389"/>
      <c r="D213" s="389"/>
      <c r="E213" s="389"/>
      <c r="F213" s="396"/>
      <c r="G213" s="389"/>
      <c r="H213" s="389"/>
      <c r="I213" s="389"/>
      <c r="J213" s="389"/>
      <c r="K213" s="389"/>
      <c r="L213" s="389"/>
      <c r="M213" s="389"/>
      <c r="N213" s="389"/>
      <c r="O213" s="389"/>
      <c r="P213" s="389"/>
      <c r="Q213" s="389"/>
      <c r="R213" s="389"/>
      <c r="S213" s="389" t="s">
        <v>104</v>
      </c>
      <c r="T213" s="396" t="s">
        <v>111</v>
      </c>
      <c r="U213" s="224"/>
      <c r="V213" s="224"/>
      <c r="W213" s="224"/>
      <c r="X213" s="5"/>
    </row>
    <row r="214" spans="1:24" ht="15.6" x14ac:dyDescent="0.3">
      <c r="A214" s="219"/>
      <c r="B214" s="248" t="s">
        <v>81</v>
      </c>
      <c r="C214" s="204"/>
      <c r="D214" s="204"/>
      <c r="E214" s="204"/>
      <c r="F214" s="190"/>
      <c r="G214" s="190"/>
      <c r="H214" s="191"/>
      <c r="I214" s="191"/>
      <c r="J214" s="191"/>
      <c r="K214" s="191"/>
      <c r="L214" s="191"/>
      <c r="M214" s="191"/>
      <c r="N214" s="191"/>
      <c r="O214" s="191"/>
      <c r="P214" s="191"/>
      <c r="Q214" s="191"/>
      <c r="R214" s="191"/>
      <c r="S214" s="262">
        <v>1</v>
      </c>
      <c r="T214" s="263">
        <v>787</v>
      </c>
      <c r="U214" s="190"/>
      <c r="V214" s="218"/>
      <c r="W214" s="220"/>
      <c r="X214" s="5"/>
    </row>
    <row r="215" spans="1:24" ht="15.6" x14ac:dyDescent="0.3">
      <c r="A215" s="352"/>
      <c r="B215" s="279" t="s">
        <v>150</v>
      </c>
      <c r="C215" s="353"/>
      <c r="D215" s="353"/>
      <c r="E215" s="353"/>
      <c r="F215" s="305"/>
      <c r="G215" s="305"/>
      <c r="H215" s="308"/>
      <c r="I215" s="308"/>
      <c r="J215" s="308"/>
      <c r="K215" s="308"/>
      <c r="L215" s="308"/>
      <c r="M215" s="308"/>
      <c r="N215" s="308"/>
      <c r="O215" s="308"/>
      <c r="P215" s="308"/>
      <c r="Q215" s="308"/>
      <c r="R215" s="308"/>
      <c r="S215" s="354">
        <f>+R267</f>
        <v>138</v>
      </c>
      <c r="T215" s="355">
        <f>+T267</f>
        <v>22787</v>
      </c>
      <c r="U215" s="305"/>
      <c r="V215" s="356"/>
      <c r="W215" s="357"/>
      <c r="X215" s="5"/>
    </row>
    <row r="216" spans="1:24" ht="15.6" x14ac:dyDescent="0.3">
      <c r="A216" s="352"/>
      <c r="B216" s="279" t="s">
        <v>82</v>
      </c>
      <c r="C216" s="353"/>
      <c r="D216" s="353"/>
      <c r="E216" s="353"/>
      <c r="F216" s="305"/>
      <c r="G216" s="305"/>
      <c r="H216" s="308"/>
      <c r="I216" s="308"/>
      <c r="J216" s="308"/>
      <c r="K216" s="308"/>
      <c r="L216" s="308"/>
      <c r="M216" s="308"/>
      <c r="N216" s="308"/>
      <c r="O216" s="308"/>
      <c r="P216" s="308"/>
      <c r="Q216" s="308"/>
      <c r="R216" s="308"/>
      <c r="S216" s="354">
        <f>+R279</f>
        <v>0</v>
      </c>
      <c r="T216" s="355">
        <f>+T279</f>
        <v>0</v>
      </c>
      <c r="U216" s="305"/>
      <c r="V216" s="356"/>
      <c r="W216" s="357"/>
      <c r="X216" s="5"/>
    </row>
    <row r="217" spans="1:24" ht="15.6" x14ac:dyDescent="0.3">
      <c r="A217" s="352"/>
      <c r="B217" s="304" t="s">
        <v>83</v>
      </c>
      <c r="C217" s="353"/>
      <c r="D217" s="353"/>
      <c r="E217" s="353"/>
      <c r="F217" s="305"/>
      <c r="G217" s="305"/>
      <c r="H217" s="305"/>
      <c r="I217" s="305"/>
      <c r="J217" s="305"/>
      <c r="K217" s="305"/>
      <c r="L217" s="305"/>
      <c r="M217" s="305"/>
      <c r="N217" s="305"/>
      <c r="O217" s="305"/>
      <c r="P217" s="305"/>
      <c r="Q217" s="305"/>
      <c r="R217" s="305"/>
      <c r="S217" s="279"/>
      <c r="T217" s="355">
        <v>0</v>
      </c>
      <c r="U217" s="305"/>
      <c r="V217" s="356"/>
      <c r="W217" s="357"/>
      <c r="X217" s="5"/>
    </row>
    <row r="218" spans="1:24" ht="15.6" x14ac:dyDescent="0.3">
      <c r="A218" s="352"/>
      <c r="B218" s="304" t="s">
        <v>84</v>
      </c>
      <c r="C218" s="353"/>
      <c r="D218" s="353"/>
      <c r="E218" s="353"/>
      <c r="F218" s="305"/>
      <c r="G218" s="305"/>
      <c r="H218" s="305"/>
      <c r="I218" s="305"/>
      <c r="J218" s="305"/>
      <c r="K218" s="305"/>
      <c r="L218" s="305"/>
      <c r="M218" s="305"/>
      <c r="N218" s="305"/>
      <c r="O218" s="305"/>
      <c r="P218" s="305"/>
      <c r="Q218" s="305"/>
      <c r="R218" s="305"/>
      <c r="S218" s="279"/>
      <c r="T218" s="358" t="s">
        <v>112</v>
      </c>
      <c r="U218" s="305"/>
      <c r="V218" s="356"/>
      <c r="W218" s="357"/>
      <c r="X218" s="5"/>
    </row>
    <row r="219" spans="1:24" ht="15.6" x14ac:dyDescent="0.3">
      <c r="A219" s="359"/>
      <c r="B219" s="304" t="s">
        <v>85</v>
      </c>
      <c r="C219" s="360"/>
      <c r="D219" s="360"/>
      <c r="E219" s="360"/>
      <c r="F219" s="360"/>
      <c r="G219" s="305"/>
      <c r="H219" s="305"/>
      <c r="I219" s="305"/>
      <c r="J219" s="305"/>
      <c r="K219" s="305"/>
      <c r="L219" s="305"/>
      <c r="M219" s="305"/>
      <c r="N219" s="305"/>
      <c r="O219" s="305"/>
      <c r="P219" s="305"/>
      <c r="Q219" s="305"/>
      <c r="R219" s="305"/>
      <c r="S219" s="279"/>
      <c r="T219" s="355"/>
      <c r="U219" s="305"/>
      <c r="V219" s="356"/>
      <c r="W219" s="361"/>
      <c r="X219" s="5"/>
    </row>
    <row r="220" spans="1:24" ht="15.6" x14ac:dyDescent="0.3">
      <c r="A220" s="359"/>
      <c r="B220" s="279" t="s">
        <v>86</v>
      </c>
      <c r="C220" s="360"/>
      <c r="D220" s="360"/>
      <c r="E220" s="360"/>
      <c r="F220" s="360"/>
      <c r="G220" s="305"/>
      <c r="H220" s="305"/>
      <c r="I220" s="305"/>
      <c r="J220" s="305"/>
      <c r="K220" s="305"/>
      <c r="L220" s="305"/>
      <c r="M220" s="305"/>
      <c r="N220" s="305"/>
      <c r="O220" s="305"/>
      <c r="P220" s="305"/>
      <c r="Q220" s="305"/>
      <c r="R220" s="305"/>
      <c r="S220" s="287"/>
      <c r="T220" s="355">
        <f>+V164</f>
        <v>191</v>
      </c>
      <c r="U220" s="305"/>
      <c r="V220" s="356"/>
      <c r="W220" s="361"/>
      <c r="X220" s="5"/>
    </row>
    <row r="221" spans="1:24" ht="15.6" x14ac:dyDescent="0.3">
      <c r="A221" s="352"/>
      <c r="B221" s="279" t="s">
        <v>87</v>
      </c>
      <c r="C221" s="353"/>
      <c r="D221" s="353"/>
      <c r="E221" s="353"/>
      <c r="F221" s="353"/>
      <c r="G221" s="305"/>
      <c r="H221" s="305"/>
      <c r="I221" s="305"/>
      <c r="J221" s="305"/>
      <c r="K221" s="305"/>
      <c r="L221" s="305"/>
      <c r="M221" s="305"/>
      <c r="N221" s="305"/>
      <c r="O221" s="305"/>
      <c r="P221" s="305"/>
      <c r="Q221" s="305"/>
      <c r="R221" s="305"/>
      <c r="S221" s="287"/>
      <c r="T221" s="355">
        <f>'Jan 11'!T221+'April 11'!T220</f>
        <v>3022</v>
      </c>
      <c r="U221" s="305"/>
      <c r="V221" s="356"/>
      <c r="W221" s="361"/>
      <c r="X221" s="5"/>
    </row>
    <row r="222" spans="1:24" ht="15.6" x14ac:dyDescent="0.3">
      <c r="A222" s="359"/>
      <c r="B222" s="304" t="s">
        <v>292</v>
      </c>
      <c r="C222" s="360"/>
      <c r="D222" s="360"/>
      <c r="E222" s="360"/>
      <c r="F222" s="360"/>
      <c r="G222" s="305"/>
      <c r="H222" s="305"/>
      <c r="I222" s="305"/>
      <c r="J222" s="305"/>
      <c r="K222" s="305"/>
      <c r="L222" s="305"/>
      <c r="M222" s="305"/>
      <c r="N222" s="305"/>
      <c r="O222" s="305"/>
      <c r="P222" s="305"/>
      <c r="Q222" s="305"/>
      <c r="R222" s="305"/>
      <c r="S222" s="287"/>
      <c r="T222" s="355"/>
      <c r="U222" s="305"/>
      <c r="V222" s="356"/>
      <c r="W222" s="361"/>
      <c r="X222" s="5"/>
    </row>
    <row r="223" spans="1:24" ht="15.6" x14ac:dyDescent="0.3">
      <c r="A223" s="359"/>
      <c r="B223" s="279" t="s">
        <v>290</v>
      </c>
      <c r="C223" s="360"/>
      <c r="D223" s="360"/>
      <c r="E223" s="360"/>
      <c r="F223" s="360"/>
      <c r="G223" s="305"/>
      <c r="H223" s="305"/>
      <c r="I223" s="305"/>
      <c r="J223" s="305"/>
      <c r="K223" s="305"/>
      <c r="L223" s="305"/>
      <c r="M223" s="305"/>
      <c r="N223" s="305"/>
      <c r="O223" s="305"/>
      <c r="P223" s="305"/>
      <c r="Q223" s="305"/>
      <c r="R223" s="305"/>
      <c r="S223" s="287">
        <v>0</v>
      </c>
      <c r="T223" s="355">
        <v>0</v>
      </c>
      <c r="U223" s="305"/>
      <c r="V223" s="356"/>
      <c r="W223" s="361"/>
      <c r="X223" s="5"/>
    </row>
    <row r="224" spans="1:24" ht="15.6" x14ac:dyDescent="0.3">
      <c r="A224" s="352"/>
      <c r="B224" s="279" t="s">
        <v>88</v>
      </c>
      <c r="C224" s="362"/>
      <c r="D224" s="362"/>
      <c r="E224" s="362"/>
      <c r="F224" s="363"/>
      <c r="G224" s="305"/>
      <c r="H224" s="305"/>
      <c r="I224" s="305"/>
      <c r="J224" s="305"/>
      <c r="K224" s="305"/>
      <c r="L224" s="305"/>
      <c r="M224" s="305"/>
      <c r="N224" s="305"/>
      <c r="O224" s="305"/>
      <c r="P224" s="305"/>
      <c r="Q224" s="305"/>
      <c r="R224" s="305"/>
      <c r="S224" s="279"/>
      <c r="T224" s="358">
        <v>0</v>
      </c>
      <c r="U224" s="305"/>
      <c r="V224" s="356"/>
      <c r="W224" s="361"/>
      <c r="X224" s="5"/>
    </row>
    <row r="225" spans="1:25" ht="15.6" x14ac:dyDescent="0.3">
      <c r="A225" s="352"/>
      <c r="B225" s="279" t="s">
        <v>89</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304" t="s">
        <v>223</v>
      </c>
      <c r="C226" s="362"/>
      <c r="D226" s="362"/>
      <c r="E226" s="362"/>
      <c r="F226" s="363"/>
      <c r="G226" s="305"/>
      <c r="H226" s="305"/>
      <c r="I226" s="305"/>
      <c r="J226" s="305"/>
      <c r="K226" s="305"/>
      <c r="L226" s="305"/>
      <c r="M226" s="305"/>
      <c r="N226" s="305"/>
      <c r="O226" s="305"/>
      <c r="P226" s="305"/>
      <c r="Q226" s="305"/>
      <c r="R226" s="305"/>
      <c r="S226" s="279"/>
      <c r="T226" s="364"/>
      <c r="U226" s="305"/>
      <c r="V226" s="356"/>
      <c r="W226" s="361"/>
      <c r="X226" s="5"/>
    </row>
    <row r="227" spans="1:25" ht="15.6" x14ac:dyDescent="0.3">
      <c r="A227" s="352"/>
      <c r="B227" s="279" t="s">
        <v>290</v>
      </c>
      <c r="C227" s="362"/>
      <c r="D227" s="362"/>
      <c r="E227" s="362"/>
      <c r="F227" s="363"/>
      <c r="G227" s="305"/>
      <c r="H227" s="305"/>
      <c r="I227" s="305"/>
      <c r="J227" s="305"/>
      <c r="K227" s="305"/>
      <c r="L227" s="305"/>
      <c r="M227" s="305"/>
      <c r="N227" s="305"/>
      <c r="O227" s="305"/>
      <c r="P227" s="305"/>
      <c r="Q227" s="305"/>
      <c r="R227" s="305"/>
      <c r="S227" s="287">
        <v>2</v>
      </c>
      <c r="T227" s="355">
        <v>482</v>
      </c>
      <c r="U227" s="305"/>
      <c r="V227" s="356"/>
      <c r="W227" s="361"/>
      <c r="X227" s="5"/>
    </row>
    <row r="228" spans="1:25" ht="15.6" x14ac:dyDescent="0.3">
      <c r="A228" s="352"/>
      <c r="B228" s="279" t="s">
        <v>224</v>
      </c>
      <c r="C228" s="362"/>
      <c r="D228" s="362"/>
      <c r="E228" s="362"/>
      <c r="F228" s="363"/>
      <c r="G228" s="305"/>
      <c r="H228" s="305"/>
      <c r="I228" s="305"/>
      <c r="J228" s="305"/>
      <c r="K228" s="305"/>
      <c r="L228" s="305"/>
      <c r="M228" s="305"/>
      <c r="N228" s="305"/>
      <c r="O228" s="305"/>
      <c r="P228" s="305"/>
      <c r="Q228" s="305"/>
      <c r="R228" s="305"/>
      <c r="S228" s="279"/>
      <c r="T228" s="358">
        <v>16.88</v>
      </c>
      <c r="U228" s="305"/>
      <c r="V228" s="356"/>
      <c r="W228" s="361"/>
      <c r="X228" s="5"/>
    </row>
    <row r="229" spans="1:25" ht="15.6" x14ac:dyDescent="0.3">
      <c r="A229" s="352"/>
      <c r="B229" s="360"/>
      <c r="C229" s="362"/>
      <c r="D229" s="362"/>
      <c r="E229" s="362"/>
      <c r="F229" s="363"/>
      <c r="G229" s="305"/>
      <c r="H229" s="305"/>
      <c r="I229" s="305"/>
      <c r="J229" s="305"/>
      <c r="K229" s="305"/>
      <c r="L229" s="305"/>
      <c r="M229" s="305"/>
      <c r="N229" s="305"/>
      <c r="O229" s="305"/>
      <c r="P229" s="305"/>
      <c r="Q229" s="305"/>
      <c r="R229" s="305"/>
      <c r="S229" s="279"/>
      <c r="T229" s="364"/>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305"/>
      <c r="T230" s="365"/>
      <c r="U230" s="305"/>
      <c r="V230" s="356"/>
      <c r="W230" s="361"/>
      <c r="X230" s="5"/>
    </row>
    <row r="231" spans="1:25" ht="17.399999999999999" x14ac:dyDescent="0.3">
      <c r="A231" s="352"/>
      <c r="B231" s="366" t="s">
        <v>174</v>
      </c>
      <c r="C231" s="362"/>
      <c r="D231" s="362"/>
      <c r="E231" s="362"/>
      <c r="F231" s="363"/>
      <c r="G231" s="305"/>
      <c r="H231" s="305"/>
      <c r="I231" s="305"/>
      <c r="J231" s="305"/>
      <c r="K231" s="305"/>
      <c r="L231" s="305"/>
      <c r="M231" s="305"/>
      <c r="N231" s="305"/>
      <c r="O231" s="305"/>
      <c r="P231" s="367" t="s">
        <v>173</v>
      </c>
      <c r="Q231" s="305"/>
      <c r="R231" s="305"/>
      <c r="S231" s="305"/>
      <c r="T231" s="365"/>
      <c r="U231" s="305"/>
      <c r="V231" s="356"/>
      <c r="W231" s="361"/>
      <c r="X231" s="5"/>
    </row>
    <row r="232" spans="1:25" ht="15.6" x14ac:dyDescent="0.3">
      <c r="A232" s="347"/>
      <c r="B232" s="342"/>
      <c r="C232" s="348"/>
      <c r="D232" s="348"/>
      <c r="E232" s="348"/>
      <c r="F232" s="349"/>
      <c r="G232" s="275"/>
      <c r="H232" s="275"/>
      <c r="I232" s="275"/>
      <c r="J232" s="275"/>
      <c r="K232" s="275"/>
      <c r="L232" s="275"/>
      <c r="M232" s="275"/>
      <c r="N232" s="275"/>
      <c r="O232" s="275"/>
      <c r="P232" s="275"/>
      <c r="Q232" s="275"/>
      <c r="R232" s="275"/>
      <c r="S232" s="275"/>
      <c r="T232" s="350"/>
      <c r="U232" s="275"/>
      <c r="V232" s="343"/>
      <c r="W232" s="351"/>
      <c r="X232" s="5"/>
    </row>
    <row r="233" spans="1:25" ht="15.6" x14ac:dyDescent="0.3">
      <c r="A233" s="223"/>
      <c r="B233" s="388" t="s">
        <v>304</v>
      </c>
      <c r="C233" s="389"/>
      <c r="D233" s="389"/>
      <c r="E233" s="389"/>
      <c r="F233" s="396"/>
      <c r="G233" s="389"/>
      <c r="H233" s="389"/>
      <c r="I233" s="389"/>
      <c r="J233" s="389"/>
      <c r="K233" s="389"/>
      <c r="L233" s="389"/>
      <c r="M233" s="389"/>
      <c r="N233" s="389"/>
      <c r="O233" s="389"/>
      <c r="P233" s="389"/>
      <c r="Q233" s="389"/>
      <c r="R233" s="396" t="s">
        <v>104</v>
      </c>
      <c r="S233" s="389" t="s">
        <v>105</v>
      </c>
      <c r="T233" s="396" t="s">
        <v>113</v>
      </c>
      <c r="U233" s="389" t="s">
        <v>105</v>
      </c>
      <c r="V233" s="224"/>
      <c r="W233" s="388"/>
      <c r="X233" s="5"/>
    </row>
    <row r="234" spans="1:25" ht="15.6" x14ac:dyDescent="0.3">
      <c r="A234" s="189"/>
      <c r="B234" s="247" t="s">
        <v>90</v>
      </c>
      <c r="C234" s="261"/>
      <c r="D234" s="261"/>
      <c r="E234" s="261"/>
      <c r="F234" s="248"/>
      <c r="G234" s="261"/>
      <c r="H234" s="261"/>
      <c r="I234" s="261"/>
      <c r="J234" s="261"/>
      <c r="K234" s="261"/>
      <c r="L234" s="261"/>
      <c r="M234" s="261"/>
      <c r="N234" s="261"/>
      <c r="O234" s="261"/>
      <c r="P234" s="261"/>
      <c r="Q234" s="261"/>
      <c r="R234" s="329">
        <f t="shared" ref="R234:R241" si="1">+R246+R258+R270</f>
        <v>7445</v>
      </c>
      <c r="S234" s="372">
        <f t="shared" ref="S234:S241" si="2">R234/$R$243</f>
        <v>0.99002659574468088</v>
      </c>
      <c r="T234" s="330">
        <f t="shared" ref="T234:T241" si="3">+T246+T258+T270</f>
        <v>997744</v>
      </c>
      <c r="U234" s="372">
        <f t="shared" ref="U234:U241" si="4">T234/$T$243</f>
        <v>0.98875816578930675</v>
      </c>
      <c r="V234" s="218"/>
      <c r="W234" s="221"/>
      <c r="X234" s="5"/>
    </row>
    <row r="235" spans="1:25" ht="15.6" x14ac:dyDescent="0.3">
      <c r="A235" s="278"/>
      <c r="B235" s="329" t="s">
        <v>91</v>
      </c>
      <c r="C235" s="371"/>
      <c r="D235" s="371"/>
      <c r="E235" s="371"/>
      <c r="F235" s="279"/>
      <c r="G235" s="372"/>
      <c r="H235" s="371"/>
      <c r="I235" s="371"/>
      <c r="J235" s="371"/>
      <c r="K235" s="371"/>
      <c r="L235" s="371"/>
      <c r="M235" s="371"/>
      <c r="N235" s="371"/>
      <c r="O235" s="371"/>
      <c r="P235" s="371"/>
      <c r="Q235" s="371"/>
      <c r="R235" s="329">
        <f t="shared" si="1"/>
        <v>37</v>
      </c>
      <c r="S235" s="372">
        <f t="shared" si="2"/>
        <v>4.920212765957447E-3</v>
      </c>
      <c r="T235" s="330">
        <f t="shared" si="3"/>
        <v>5197</v>
      </c>
      <c r="U235" s="372">
        <f t="shared" si="4"/>
        <v>5.1501950275892683E-3</v>
      </c>
      <c r="V235" s="356"/>
      <c r="W235" s="361"/>
      <c r="X235" s="5"/>
      <c r="Y235" s="109"/>
    </row>
    <row r="236" spans="1:25" ht="15.6" x14ac:dyDescent="0.3">
      <c r="A236" s="278"/>
      <c r="B236" s="329" t="s">
        <v>92</v>
      </c>
      <c r="C236" s="371"/>
      <c r="D236" s="371"/>
      <c r="E236" s="371"/>
      <c r="F236" s="279"/>
      <c r="G236" s="372"/>
      <c r="H236" s="371"/>
      <c r="I236" s="371"/>
      <c r="J236" s="371"/>
      <c r="K236" s="371"/>
      <c r="L236" s="371"/>
      <c r="M236" s="371"/>
      <c r="N236" s="371"/>
      <c r="O236" s="371"/>
      <c r="P236" s="371"/>
      <c r="Q236" s="371"/>
      <c r="R236" s="329">
        <f t="shared" si="1"/>
        <v>10</v>
      </c>
      <c r="S236" s="372">
        <f t="shared" si="2"/>
        <v>1.3297872340425532E-3</v>
      </c>
      <c r="T236" s="330">
        <f t="shared" si="3"/>
        <v>1431</v>
      </c>
      <c r="U236" s="372">
        <f t="shared" si="4"/>
        <v>1.4181121963594849E-3</v>
      </c>
      <c r="V236" s="356"/>
      <c r="W236" s="361"/>
      <c r="X236" s="5"/>
    </row>
    <row r="237" spans="1:25" ht="15.6" x14ac:dyDescent="0.3">
      <c r="A237" s="278"/>
      <c r="B237" s="329" t="s">
        <v>161</v>
      </c>
      <c r="C237" s="371"/>
      <c r="D237" s="371"/>
      <c r="E237" s="371"/>
      <c r="F237" s="279"/>
      <c r="G237" s="372"/>
      <c r="H237" s="371"/>
      <c r="I237" s="371"/>
      <c r="J237" s="371"/>
      <c r="K237" s="371"/>
      <c r="L237" s="371"/>
      <c r="M237" s="371"/>
      <c r="N237" s="371"/>
      <c r="O237" s="371"/>
      <c r="P237" s="371"/>
      <c r="Q237" s="371"/>
      <c r="R237" s="329">
        <f t="shared" si="1"/>
        <v>4</v>
      </c>
      <c r="S237" s="372">
        <f t="shared" si="2"/>
        <v>5.3191489361702129E-4</v>
      </c>
      <c r="T237" s="330">
        <f t="shared" si="3"/>
        <v>409</v>
      </c>
      <c r="U237" s="372">
        <f t="shared" si="4"/>
        <v>4.0531648379526862E-4</v>
      </c>
      <c r="V237" s="356"/>
      <c r="W237" s="361"/>
      <c r="X237" s="5"/>
      <c r="Y237" s="109"/>
    </row>
    <row r="238" spans="1:25" ht="15.6" x14ac:dyDescent="0.3">
      <c r="A238" s="278"/>
      <c r="B238" s="329" t="s">
        <v>162</v>
      </c>
      <c r="C238" s="371"/>
      <c r="D238" s="371"/>
      <c r="E238" s="371"/>
      <c r="F238" s="279"/>
      <c r="G238" s="372"/>
      <c r="H238" s="371"/>
      <c r="I238" s="371"/>
      <c r="J238" s="371"/>
      <c r="K238" s="371"/>
      <c r="L238" s="371"/>
      <c r="M238" s="371"/>
      <c r="N238" s="371"/>
      <c r="O238" s="371"/>
      <c r="P238" s="371"/>
      <c r="Q238" s="371"/>
      <c r="R238" s="329">
        <f t="shared" si="1"/>
        <v>2</v>
      </c>
      <c r="S238" s="372">
        <f t="shared" si="2"/>
        <v>2.6595744680851064E-4</v>
      </c>
      <c r="T238" s="330">
        <f t="shared" si="3"/>
        <v>360</v>
      </c>
      <c r="U238" s="372">
        <f t="shared" si="4"/>
        <v>3.5675778524766916E-4</v>
      </c>
      <c r="V238" s="356"/>
      <c r="W238" s="361"/>
      <c r="X238" s="5"/>
    </row>
    <row r="239" spans="1:25" ht="15.6" x14ac:dyDescent="0.3">
      <c r="A239" s="278"/>
      <c r="B239" s="329" t="s">
        <v>163</v>
      </c>
      <c r="C239" s="371"/>
      <c r="D239" s="371"/>
      <c r="E239" s="371"/>
      <c r="F239" s="279"/>
      <c r="G239" s="372"/>
      <c r="H239" s="371"/>
      <c r="I239" s="371"/>
      <c r="J239" s="371"/>
      <c r="K239" s="371"/>
      <c r="L239" s="371"/>
      <c r="M239" s="371"/>
      <c r="N239" s="371"/>
      <c r="O239" s="371"/>
      <c r="P239" s="371"/>
      <c r="Q239" s="371"/>
      <c r="R239" s="329">
        <f t="shared" si="1"/>
        <v>1</v>
      </c>
      <c r="S239" s="372">
        <f t="shared" si="2"/>
        <v>1.3297872340425532E-4</v>
      </c>
      <c r="T239" s="330">
        <f t="shared" si="3"/>
        <v>74</v>
      </c>
      <c r="U239" s="372">
        <f t="shared" si="4"/>
        <v>7.3333544745354223E-5</v>
      </c>
      <c r="V239" s="356"/>
      <c r="W239" s="361"/>
      <c r="X239" s="5"/>
      <c r="Y239" s="109"/>
    </row>
    <row r="240" spans="1:25" ht="15.6" x14ac:dyDescent="0.3">
      <c r="A240" s="278"/>
      <c r="B240" s="329" t="s">
        <v>164</v>
      </c>
      <c r="C240" s="371"/>
      <c r="D240" s="371"/>
      <c r="E240" s="371"/>
      <c r="F240" s="279"/>
      <c r="G240" s="372"/>
      <c r="H240" s="371"/>
      <c r="I240" s="371"/>
      <c r="J240" s="371"/>
      <c r="K240" s="371"/>
      <c r="L240" s="371"/>
      <c r="M240" s="371"/>
      <c r="N240" s="371"/>
      <c r="O240" s="371"/>
      <c r="P240" s="371"/>
      <c r="Q240" s="371"/>
      <c r="R240" s="329">
        <f t="shared" si="1"/>
        <v>6</v>
      </c>
      <c r="S240" s="372">
        <f t="shared" si="2"/>
        <v>7.9787234042553187E-4</v>
      </c>
      <c r="T240" s="330">
        <f t="shared" si="3"/>
        <v>933</v>
      </c>
      <c r="U240" s="372">
        <f t="shared" si="4"/>
        <v>9.2459726010020926E-4</v>
      </c>
      <c r="V240" s="356"/>
      <c r="W240" s="361"/>
      <c r="X240" s="5"/>
    </row>
    <row r="241" spans="1:25" ht="15.6" x14ac:dyDescent="0.3">
      <c r="A241" s="278"/>
      <c r="B241" s="329" t="s">
        <v>165</v>
      </c>
      <c r="C241" s="371"/>
      <c r="D241" s="371"/>
      <c r="E241" s="371"/>
      <c r="F241" s="279"/>
      <c r="G241" s="372"/>
      <c r="H241" s="371"/>
      <c r="I241" s="371"/>
      <c r="J241" s="371"/>
      <c r="K241" s="371"/>
      <c r="L241" s="371"/>
      <c r="M241" s="371"/>
      <c r="N241" s="371"/>
      <c r="O241" s="371"/>
      <c r="P241" s="371"/>
      <c r="Q241" s="371"/>
      <c r="R241" s="329">
        <f t="shared" si="1"/>
        <v>15</v>
      </c>
      <c r="S241" s="372">
        <f t="shared" si="2"/>
        <v>1.9946808510638296E-3</v>
      </c>
      <c r="T241" s="330">
        <f t="shared" si="3"/>
        <v>2940</v>
      </c>
      <c r="U241" s="372">
        <f t="shared" si="4"/>
        <v>2.9135219128559649E-3</v>
      </c>
      <c r="V241" s="356"/>
      <c r="W241" s="361"/>
      <c r="X241" s="5"/>
      <c r="Y241" s="109"/>
    </row>
    <row r="242" spans="1:25" ht="15.6" x14ac:dyDescent="0.3">
      <c r="A242" s="278"/>
      <c r="B242" s="329"/>
      <c r="C242" s="371"/>
      <c r="D242" s="371"/>
      <c r="E242" s="371"/>
      <c r="F242" s="279"/>
      <c r="G242" s="372"/>
      <c r="H242" s="371"/>
      <c r="I242" s="371"/>
      <c r="J242" s="371"/>
      <c r="K242" s="371"/>
      <c r="L242" s="371"/>
      <c r="M242" s="371"/>
      <c r="N242" s="371"/>
      <c r="O242" s="371"/>
      <c r="P242" s="371"/>
      <c r="Q242" s="371"/>
      <c r="R242" s="329"/>
      <c r="S242" s="372"/>
      <c r="T242" s="330"/>
      <c r="U242" s="372"/>
      <c r="V242" s="356"/>
      <c r="W242" s="361"/>
      <c r="X242" s="5"/>
    </row>
    <row r="243" spans="1:25" ht="15.6" x14ac:dyDescent="0.3">
      <c r="A243" s="278"/>
      <c r="B243" s="279" t="s">
        <v>119</v>
      </c>
      <c r="C243" s="279"/>
      <c r="D243" s="279"/>
      <c r="E243" s="279"/>
      <c r="F243" s="279"/>
      <c r="G243" s="279"/>
      <c r="H243" s="373"/>
      <c r="I243" s="373"/>
      <c r="J243" s="373"/>
      <c r="K243" s="373"/>
      <c r="L243" s="373"/>
      <c r="M243" s="373"/>
      <c r="N243" s="373"/>
      <c r="O243" s="373"/>
      <c r="P243" s="373"/>
      <c r="Q243" s="373"/>
      <c r="R243" s="329">
        <f>SUM(R234:R242)</f>
        <v>7520</v>
      </c>
      <c r="S243" s="372">
        <f>SUM(S234:S242)</f>
        <v>0.99999999999999989</v>
      </c>
      <c r="T243" s="330">
        <f>SUM(T234:T242)</f>
        <v>1009088</v>
      </c>
      <c r="U243" s="372">
        <f>SUM(U234:U242)</f>
        <v>1</v>
      </c>
      <c r="V243" s="305"/>
      <c r="W243" s="310"/>
      <c r="X243" s="5"/>
    </row>
    <row r="244" spans="1:25" ht="15.6" x14ac:dyDescent="0.3">
      <c r="A244" s="347"/>
      <c r="B244" s="342"/>
      <c r="C244" s="348"/>
      <c r="D244" s="348"/>
      <c r="E244" s="348"/>
      <c r="F244" s="349"/>
      <c r="G244" s="275"/>
      <c r="H244" s="275"/>
      <c r="I244" s="275"/>
      <c r="J244" s="275"/>
      <c r="K244" s="275"/>
      <c r="L244" s="275"/>
      <c r="M244" s="275"/>
      <c r="N244" s="275"/>
      <c r="O244" s="275"/>
      <c r="P244" s="275"/>
      <c r="Q244" s="275"/>
      <c r="R244" s="275"/>
      <c r="S244" s="275"/>
      <c r="T244" s="350"/>
      <c r="U244" s="275"/>
      <c r="V244" s="343"/>
      <c r="W244" s="351"/>
      <c r="X244" s="5"/>
    </row>
    <row r="245" spans="1:25" ht="15.6" x14ac:dyDescent="0.3">
      <c r="A245" s="223"/>
      <c r="B245" s="388" t="s">
        <v>167</v>
      </c>
      <c r="C245" s="389"/>
      <c r="D245" s="389"/>
      <c r="E245" s="389"/>
      <c r="F245" s="396"/>
      <c r="G245" s="389"/>
      <c r="H245" s="389"/>
      <c r="I245" s="389"/>
      <c r="J245" s="389"/>
      <c r="K245" s="389"/>
      <c r="L245" s="389"/>
      <c r="M245" s="389"/>
      <c r="N245" s="389"/>
      <c r="O245" s="389"/>
      <c r="P245" s="389"/>
      <c r="Q245" s="389"/>
      <c r="R245" s="396" t="s">
        <v>104</v>
      </c>
      <c r="S245" s="389" t="s">
        <v>105</v>
      </c>
      <c r="T245" s="396" t="s">
        <v>113</v>
      </c>
      <c r="U245" s="389" t="s">
        <v>105</v>
      </c>
      <c r="V245" s="224"/>
      <c r="W245" s="388"/>
      <c r="X245" s="5"/>
    </row>
    <row r="246" spans="1:25" ht="15.6" x14ac:dyDescent="0.3">
      <c r="A246" s="189"/>
      <c r="B246" s="247" t="s">
        <v>90</v>
      </c>
      <c r="C246" s="261"/>
      <c r="D246" s="261"/>
      <c r="E246" s="261"/>
      <c r="F246" s="248"/>
      <c r="G246" s="261"/>
      <c r="H246" s="261"/>
      <c r="I246" s="261"/>
      <c r="J246" s="261"/>
      <c r="K246" s="261"/>
      <c r="L246" s="261"/>
      <c r="M246" s="261"/>
      <c r="N246" s="261"/>
      <c r="O246" s="261"/>
      <c r="P246" s="261"/>
      <c r="Q246" s="261"/>
      <c r="R246" s="247">
        <v>7338</v>
      </c>
      <c r="S246" s="250">
        <f t="shared" ref="S246:S253" si="5">R246/$R$255</f>
        <v>0.99403955567596858</v>
      </c>
      <c r="T246" s="251">
        <v>980025</v>
      </c>
      <c r="U246" s="250">
        <f t="shared" ref="U246:U253" si="6">T246/$T$255</f>
        <v>0.99363683094714494</v>
      </c>
      <c r="V246" s="218"/>
      <c r="W246" s="221"/>
      <c r="X246" s="5"/>
    </row>
    <row r="247" spans="1:25" ht="15.6" x14ac:dyDescent="0.3">
      <c r="A247" s="278"/>
      <c r="B247" s="329" t="s">
        <v>91</v>
      </c>
      <c r="C247" s="371"/>
      <c r="D247" s="371"/>
      <c r="E247" s="371"/>
      <c r="F247" s="279"/>
      <c r="G247" s="372"/>
      <c r="H247" s="371"/>
      <c r="I247" s="371"/>
      <c r="J247" s="371"/>
      <c r="K247" s="371"/>
      <c r="L247" s="371"/>
      <c r="M247" s="371"/>
      <c r="N247" s="371"/>
      <c r="O247" s="371"/>
      <c r="P247" s="371"/>
      <c r="Q247" s="371"/>
      <c r="R247" s="329">
        <v>33</v>
      </c>
      <c r="S247" s="372">
        <f t="shared" si="5"/>
        <v>4.4703332430235708E-3</v>
      </c>
      <c r="T247" s="330">
        <v>4708</v>
      </c>
      <c r="U247" s="372">
        <f t="shared" si="6"/>
        <v>4.7733906789103938E-3</v>
      </c>
      <c r="V247" s="356"/>
      <c r="W247" s="361"/>
      <c r="X247" s="5"/>
      <c r="Y247" s="109"/>
    </row>
    <row r="248" spans="1:25" ht="15.6" x14ac:dyDescent="0.3">
      <c r="A248" s="278"/>
      <c r="B248" s="329" t="s">
        <v>92</v>
      </c>
      <c r="C248" s="371"/>
      <c r="D248" s="371"/>
      <c r="E248" s="371"/>
      <c r="F248" s="279"/>
      <c r="G248" s="372"/>
      <c r="H248" s="371"/>
      <c r="I248" s="371"/>
      <c r="J248" s="371"/>
      <c r="K248" s="371"/>
      <c r="L248" s="371"/>
      <c r="M248" s="371"/>
      <c r="N248" s="371"/>
      <c r="O248" s="371"/>
      <c r="P248" s="371"/>
      <c r="Q248" s="371"/>
      <c r="R248" s="329">
        <v>7</v>
      </c>
      <c r="S248" s="372">
        <f t="shared" si="5"/>
        <v>9.4825250609590901E-4</v>
      </c>
      <c r="T248" s="330">
        <v>1081</v>
      </c>
      <c r="U248" s="372">
        <f t="shared" si="6"/>
        <v>1.0960142998942513E-3</v>
      </c>
      <c r="V248" s="356"/>
      <c r="W248" s="361"/>
      <c r="X248" s="5"/>
    </row>
    <row r="249" spans="1:25" ht="15.6" x14ac:dyDescent="0.3">
      <c r="A249" s="278"/>
      <c r="B249" s="329" t="s">
        <v>161</v>
      </c>
      <c r="C249" s="371"/>
      <c r="D249" s="371"/>
      <c r="E249" s="371"/>
      <c r="F249" s="279"/>
      <c r="G249" s="372"/>
      <c r="H249" s="371"/>
      <c r="I249" s="371"/>
      <c r="J249" s="371"/>
      <c r="K249" s="371"/>
      <c r="L249" s="371"/>
      <c r="M249" s="371"/>
      <c r="N249" s="371"/>
      <c r="O249" s="371"/>
      <c r="P249" s="371"/>
      <c r="Q249" s="371"/>
      <c r="R249" s="329">
        <v>3</v>
      </c>
      <c r="S249" s="372">
        <f t="shared" si="5"/>
        <v>4.06393931183961E-4</v>
      </c>
      <c r="T249" s="330">
        <v>323</v>
      </c>
      <c r="U249" s="372">
        <f t="shared" si="6"/>
        <v>3.2748623391844884E-4</v>
      </c>
      <c r="V249" s="356"/>
      <c r="W249" s="361"/>
      <c r="X249" s="5"/>
      <c r="Y249" s="109"/>
    </row>
    <row r="250" spans="1:25" ht="15.6" x14ac:dyDescent="0.3">
      <c r="A250" s="278"/>
      <c r="B250" s="329" t="s">
        <v>162</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row>
    <row r="251" spans="1:25" ht="15.6" x14ac:dyDescent="0.3">
      <c r="A251" s="278"/>
      <c r="B251" s="329" t="s">
        <v>163</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c r="Y251" s="109"/>
    </row>
    <row r="252" spans="1:25" ht="15.6" x14ac:dyDescent="0.3">
      <c r="A252" s="278"/>
      <c r="B252" s="329" t="s">
        <v>164</v>
      </c>
      <c r="C252" s="371"/>
      <c r="D252" s="371"/>
      <c r="E252" s="371"/>
      <c r="F252" s="279"/>
      <c r="G252" s="372"/>
      <c r="H252" s="371"/>
      <c r="I252" s="371"/>
      <c r="J252" s="371"/>
      <c r="K252" s="371"/>
      <c r="L252" s="371"/>
      <c r="M252" s="371"/>
      <c r="N252" s="371"/>
      <c r="O252" s="371"/>
      <c r="P252" s="371"/>
      <c r="Q252" s="371"/>
      <c r="R252" s="329">
        <v>1</v>
      </c>
      <c r="S252" s="372">
        <f t="shared" si="5"/>
        <v>1.35464643727987E-4</v>
      </c>
      <c r="T252" s="330">
        <v>164</v>
      </c>
      <c r="U252" s="372">
        <f t="shared" si="6"/>
        <v>1.6627784013196784E-4</v>
      </c>
      <c r="V252" s="356"/>
      <c r="W252" s="361"/>
      <c r="X252" s="5"/>
    </row>
    <row r="253" spans="1:25" ht="15.6" x14ac:dyDescent="0.3">
      <c r="A253" s="278"/>
      <c r="B253" s="329" t="s">
        <v>165</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c r="Y253" s="109"/>
    </row>
    <row r="254" spans="1:25" ht="15.6" x14ac:dyDescent="0.3">
      <c r="A254" s="278"/>
      <c r="B254" s="329"/>
      <c r="C254" s="371"/>
      <c r="D254" s="371"/>
      <c r="E254" s="371"/>
      <c r="F254" s="279"/>
      <c r="G254" s="372"/>
      <c r="H254" s="371"/>
      <c r="I254" s="371"/>
      <c r="J254" s="371"/>
      <c r="K254" s="371"/>
      <c r="L254" s="371"/>
      <c r="M254" s="371"/>
      <c r="N254" s="371"/>
      <c r="O254" s="371"/>
      <c r="P254" s="371"/>
      <c r="Q254" s="371"/>
      <c r="R254" s="329"/>
      <c r="S254" s="372"/>
      <c r="T254" s="330"/>
      <c r="U254" s="372"/>
      <c r="V254" s="356"/>
      <c r="W254" s="361"/>
      <c r="X254" s="5"/>
    </row>
    <row r="255" spans="1:25" ht="15.6" x14ac:dyDescent="0.3">
      <c r="A255" s="278"/>
      <c r="B255" s="279" t="s">
        <v>119</v>
      </c>
      <c r="C255" s="279"/>
      <c r="D255" s="279"/>
      <c r="E255" s="279"/>
      <c r="F255" s="279"/>
      <c r="G255" s="279"/>
      <c r="H255" s="373"/>
      <c r="I255" s="373"/>
      <c r="J255" s="373"/>
      <c r="K255" s="373"/>
      <c r="L255" s="373"/>
      <c r="M255" s="373"/>
      <c r="N255" s="373"/>
      <c r="O255" s="373"/>
      <c r="P255" s="373"/>
      <c r="Q255" s="373"/>
      <c r="R255" s="329">
        <f>SUM(R246:R254)</f>
        <v>7382</v>
      </c>
      <c r="S255" s="372">
        <f>SUM(S246:S254)</f>
        <v>0.99999999999999989</v>
      </c>
      <c r="T255" s="330">
        <f>SUM(T246:T254)</f>
        <v>986301</v>
      </c>
      <c r="U255" s="372">
        <f>SUM(U246:U254)</f>
        <v>1</v>
      </c>
      <c r="V255" s="305"/>
      <c r="W255" s="310"/>
      <c r="X255" s="5"/>
    </row>
    <row r="256" spans="1:25" ht="15.6" x14ac:dyDescent="0.3">
      <c r="A256" s="177"/>
      <c r="B256" s="275"/>
      <c r="C256" s="275"/>
      <c r="D256" s="275"/>
      <c r="E256" s="275"/>
      <c r="F256" s="275"/>
      <c r="G256" s="275"/>
      <c r="H256" s="368"/>
      <c r="I256" s="368"/>
      <c r="J256" s="368"/>
      <c r="K256" s="368"/>
      <c r="L256" s="368"/>
      <c r="M256" s="368"/>
      <c r="N256" s="368"/>
      <c r="O256" s="368"/>
      <c r="P256" s="368"/>
      <c r="Q256" s="368"/>
      <c r="R256" s="327"/>
      <c r="S256" s="369"/>
      <c r="T256" s="370"/>
      <c r="U256" s="369"/>
      <c r="V256" s="275"/>
      <c r="W256" s="275"/>
      <c r="X256" s="5"/>
    </row>
    <row r="257" spans="1:24" ht="15.6" x14ac:dyDescent="0.3">
      <c r="A257" s="243"/>
      <c r="B257" s="388" t="s">
        <v>283</v>
      </c>
      <c r="C257" s="389"/>
      <c r="D257" s="389"/>
      <c r="E257" s="389"/>
      <c r="F257" s="396"/>
      <c r="G257" s="389"/>
      <c r="H257" s="389"/>
      <c r="I257" s="389"/>
      <c r="J257" s="389"/>
      <c r="K257" s="389"/>
      <c r="L257" s="389"/>
      <c r="M257" s="389"/>
      <c r="N257" s="389"/>
      <c r="O257" s="389"/>
      <c r="P257" s="389"/>
      <c r="Q257" s="389"/>
      <c r="R257" s="396" t="s">
        <v>104</v>
      </c>
      <c r="S257" s="389" t="s">
        <v>105</v>
      </c>
      <c r="T257" s="396" t="s">
        <v>113</v>
      </c>
      <c r="U257" s="389" t="s">
        <v>105</v>
      </c>
      <c r="V257" s="244"/>
      <c r="W257" s="245"/>
      <c r="X257" s="5"/>
    </row>
    <row r="258" spans="1:24" ht="15.6" x14ac:dyDescent="0.3">
      <c r="A258" s="189"/>
      <c r="B258" s="247" t="s">
        <v>90</v>
      </c>
      <c r="C258" s="261"/>
      <c r="D258" s="261"/>
      <c r="E258" s="261"/>
      <c r="F258" s="248"/>
      <c r="G258" s="261"/>
      <c r="H258" s="261"/>
      <c r="I258" s="261"/>
      <c r="J258" s="261"/>
      <c r="K258" s="261"/>
      <c r="L258" s="261"/>
      <c r="M258" s="261"/>
      <c r="N258" s="261"/>
      <c r="O258" s="261"/>
      <c r="P258" s="261"/>
      <c r="Q258" s="261"/>
      <c r="R258" s="247">
        <v>107</v>
      </c>
      <c r="S258" s="250">
        <f t="shared" ref="S258:S265" si="7">R258/$R$267</f>
        <v>0.77536231884057971</v>
      </c>
      <c r="T258" s="251">
        <v>17719</v>
      </c>
      <c r="U258" s="250">
        <f t="shared" ref="U258:U265" si="8">T258/$T$267</f>
        <v>0.77759248694431038</v>
      </c>
      <c r="V258" s="190"/>
      <c r="W258" s="190"/>
      <c r="X258" s="5"/>
    </row>
    <row r="259" spans="1:24" ht="15.6" x14ac:dyDescent="0.3">
      <c r="A259" s="278"/>
      <c r="B259" s="329" t="s">
        <v>91</v>
      </c>
      <c r="C259" s="371"/>
      <c r="D259" s="371"/>
      <c r="E259" s="371"/>
      <c r="F259" s="279"/>
      <c r="G259" s="372"/>
      <c r="H259" s="371"/>
      <c r="I259" s="371"/>
      <c r="J259" s="371"/>
      <c r="K259" s="371"/>
      <c r="L259" s="371"/>
      <c r="M259" s="371"/>
      <c r="N259" s="371"/>
      <c r="O259" s="371"/>
      <c r="P259" s="371"/>
      <c r="Q259" s="371"/>
      <c r="R259" s="329">
        <v>4</v>
      </c>
      <c r="S259" s="372">
        <f t="shared" si="7"/>
        <v>2.8985507246376812E-2</v>
      </c>
      <c r="T259" s="330">
        <v>489</v>
      </c>
      <c r="U259" s="372">
        <f t="shared" si="8"/>
        <v>2.1459604160266817E-2</v>
      </c>
      <c r="V259" s="305"/>
      <c r="W259" s="310"/>
      <c r="X259" s="5"/>
    </row>
    <row r="260" spans="1:24" ht="15.6" x14ac:dyDescent="0.3">
      <c r="A260" s="278"/>
      <c r="B260" s="329" t="s">
        <v>92</v>
      </c>
      <c r="C260" s="371"/>
      <c r="D260" s="371"/>
      <c r="E260" s="371"/>
      <c r="F260" s="279"/>
      <c r="G260" s="372"/>
      <c r="H260" s="371"/>
      <c r="I260" s="371"/>
      <c r="J260" s="371"/>
      <c r="K260" s="371"/>
      <c r="L260" s="371"/>
      <c r="M260" s="371"/>
      <c r="N260" s="371"/>
      <c r="O260" s="371"/>
      <c r="P260" s="371"/>
      <c r="Q260" s="371"/>
      <c r="R260" s="329">
        <v>3</v>
      </c>
      <c r="S260" s="372">
        <f t="shared" si="7"/>
        <v>2.1739130434782608E-2</v>
      </c>
      <c r="T260" s="330">
        <v>350</v>
      </c>
      <c r="U260" s="372">
        <f t="shared" si="8"/>
        <v>1.5359634879536578E-2</v>
      </c>
      <c r="V260" s="305"/>
      <c r="W260" s="310"/>
      <c r="X260" s="5"/>
    </row>
    <row r="261" spans="1:24" ht="15.6" x14ac:dyDescent="0.3">
      <c r="A261" s="278"/>
      <c r="B261" s="329" t="s">
        <v>161</v>
      </c>
      <c r="C261" s="371"/>
      <c r="D261" s="371"/>
      <c r="E261" s="371"/>
      <c r="F261" s="279"/>
      <c r="G261" s="372"/>
      <c r="H261" s="371"/>
      <c r="I261" s="371"/>
      <c r="J261" s="371"/>
      <c r="K261" s="371"/>
      <c r="L261" s="371"/>
      <c r="M261" s="371"/>
      <c r="N261" s="371"/>
      <c r="O261" s="371"/>
      <c r="P261" s="371"/>
      <c r="Q261" s="371"/>
      <c r="R261" s="329">
        <v>1</v>
      </c>
      <c r="S261" s="372">
        <f t="shared" si="7"/>
        <v>7.246376811594203E-3</v>
      </c>
      <c r="T261" s="330">
        <v>86</v>
      </c>
      <c r="U261" s="372">
        <f t="shared" si="8"/>
        <v>3.7740817132575592E-3</v>
      </c>
      <c r="V261" s="305"/>
      <c r="W261" s="310"/>
      <c r="X261" s="5"/>
    </row>
    <row r="262" spans="1:24" ht="15.6" x14ac:dyDescent="0.3">
      <c r="A262" s="278"/>
      <c r="B262" s="329" t="s">
        <v>162</v>
      </c>
      <c r="C262" s="371"/>
      <c r="D262" s="371"/>
      <c r="E262" s="371"/>
      <c r="F262" s="279"/>
      <c r="G262" s="372"/>
      <c r="H262" s="371"/>
      <c r="I262" s="371"/>
      <c r="J262" s="371"/>
      <c r="K262" s="371"/>
      <c r="L262" s="371"/>
      <c r="M262" s="371"/>
      <c r="N262" s="371"/>
      <c r="O262" s="371"/>
      <c r="P262" s="371"/>
      <c r="Q262" s="371"/>
      <c r="R262" s="329">
        <v>2</v>
      </c>
      <c r="S262" s="372">
        <f t="shared" si="7"/>
        <v>1.4492753623188406E-2</v>
      </c>
      <c r="T262" s="330">
        <v>360</v>
      </c>
      <c r="U262" s="372">
        <f t="shared" si="8"/>
        <v>1.579848159038048E-2</v>
      </c>
      <c r="V262" s="305"/>
      <c r="W262" s="310"/>
      <c r="X262" s="5"/>
    </row>
    <row r="263" spans="1:24" ht="15.6" x14ac:dyDescent="0.3">
      <c r="A263" s="278"/>
      <c r="B263" s="329" t="s">
        <v>163</v>
      </c>
      <c r="C263" s="371"/>
      <c r="D263" s="371"/>
      <c r="E263" s="371"/>
      <c r="F263" s="279"/>
      <c r="G263" s="372"/>
      <c r="H263" s="371"/>
      <c r="I263" s="371"/>
      <c r="J263" s="371"/>
      <c r="K263" s="371"/>
      <c r="L263" s="371"/>
      <c r="M263" s="371"/>
      <c r="N263" s="371"/>
      <c r="O263" s="371"/>
      <c r="P263" s="371"/>
      <c r="Q263" s="371"/>
      <c r="R263" s="329">
        <v>1</v>
      </c>
      <c r="S263" s="372">
        <f t="shared" si="7"/>
        <v>7.246376811594203E-3</v>
      </c>
      <c r="T263" s="330">
        <v>74</v>
      </c>
      <c r="U263" s="372">
        <f t="shared" si="8"/>
        <v>3.2474656602448763E-3</v>
      </c>
      <c r="V263" s="305"/>
      <c r="W263" s="310"/>
      <c r="X263" s="5"/>
    </row>
    <row r="264" spans="1:24" ht="15.6" x14ac:dyDescent="0.3">
      <c r="A264" s="278"/>
      <c r="B264" s="329" t="s">
        <v>164</v>
      </c>
      <c r="C264" s="371"/>
      <c r="D264" s="371"/>
      <c r="E264" s="371"/>
      <c r="F264" s="279"/>
      <c r="G264" s="372"/>
      <c r="H264" s="371"/>
      <c r="I264" s="371"/>
      <c r="J264" s="371"/>
      <c r="K264" s="371"/>
      <c r="L264" s="371"/>
      <c r="M264" s="371"/>
      <c r="N264" s="371"/>
      <c r="O264" s="371"/>
      <c r="P264" s="371"/>
      <c r="Q264" s="371"/>
      <c r="R264" s="329">
        <v>5</v>
      </c>
      <c r="S264" s="372">
        <f t="shared" si="7"/>
        <v>3.6231884057971016E-2</v>
      </c>
      <c r="T264" s="330">
        <v>769</v>
      </c>
      <c r="U264" s="372">
        <f t="shared" si="8"/>
        <v>3.3747312063896084E-2</v>
      </c>
      <c r="V264" s="305"/>
      <c r="W264" s="310"/>
      <c r="X264" s="5"/>
    </row>
    <row r="265" spans="1:24" ht="15.6" x14ac:dyDescent="0.3">
      <c r="A265" s="278"/>
      <c r="B265" s="329" t="s">
        <v>165</v>
      </c>
      <c r="C265" s="371"/>
      <c r="D265" s="371"/>
      <c r="E265" s="371"/>
      <c r="F265" s="279"/>
      <c r="G265" s="372"/>
      <c r="H265" s="371"/>
      <c r="I265" s="371"/>
      <c r="J265" s="371"/>
      <c r="K265" s="371"/>
      <c r="L265" s="371"/>
      <c r="M265" s="371"/>
      <c r="N265" s="371"/>
      <c r="O265" s="371"/>
      <c r="P265" s="371"/>
      <c r="Q265" s="371"/>
      <c r="R265" s="329">
        <v>15</v>
      </c>
      <c r="S265" s="372">
        <f t="shared" si="7"/>
        <v>0.10869565217391304</v>
      </c>
      <c r="T265" s="330">
        <v>2940</v>
      </c>
      <c r="U265" s="372">
        <f t="shared" si="8"/>
        <v>0.12902093298810727</v>
      </c>
      <c r="V265" s="305"/>
      <c r="W265" s="310"/>
      <c r="X265" s="5"/>
    </row>
    <row r="266" spans="1:24" ht="15.6" x14ac:dyDescent="0.3">
      <c r="A266" s="278"/>
      <c r="B266" s="329"/>
      <c r="C266" s="371"/>
      <c r="D266" s="371"/>
      <c r="E266" s="371"/>
      <c r="F266" s="279"/>
      <c r="G266" s="372"/>
      <c r="H266" s="371"/>
      <c r="I266" s="371"/>
      <c r="J266" s="371"/>
      <c r="K266" s="371"/>
      <c r="L266" s="371"/>
      <c r="M266" s="371"/>
      <c r="N266" s="371"/>
      <c r="O266" s="371"/>
      <c r="P266" s="371"/>
      <c r="Q266" s="371"/>
      <c r="R266" s="329"/>
      <c r="S266" s="372"/>
      <c r="T266" s="330"/>
      <c r="U266" s="372"/>
      <c r="V266" s="305"/>
      <c r="W266" s="310"/>
      <c r="X266" s="5"/>
    </row>
    <row r="267" spans="1:24" ht="15.6" x14ac:dyDescent="0.3">
      <c r="A267" s="278"/>
      <c r="B267" s="279" t="s">
        <v>119</v>
      </c>
      <c r="C267" s="279"/>
      <c r="D267" s="279"/>
      <c r="E267" s="279"/>
      <c r="F267" s="279"/>
      <c r="G267" s="279"/>
      <c r="H267" s="373"/>
      <c r="I267" s="373"/>
      <c r="J267" s="373"/>
      <c r="K267" s="373"/>
      <c r="L267" s="373"/>
      <c r="M267" s="373"/>
      <c r="N267" s="373"/>
      <c r="O267" s="373"/>
      <c r="P267" s="373"/>
      <c r="Q267" s="373"/>
      <c r="R267" s="329">
        <f>SUM(R258:R266)</f>
        <v>138</v>
      </c>
      <c r="S267" s="372">
        <f>SUM(S258:S266)</f>
        <v>1</v>
      </c>
      <c r="T267" s="330">
        <f>SUM(T258:T266)</f>
        <v>22787</v>
      </c>
      <c r="U267" s="372">
        <f>SUM(U258:U266)</f>
        <v>1.0000000000000002</v>
      </c>
      <c r="V267" s="305"/>
      <c r="W267" s="310"/>
      <c r="X267" s="5"/>
    </row>
    <row r="268" spans="1:24" ht="15.6" x14ac:dyDescent="0.3">
      <c r="A268" s="177"/>
      <c r="B268" s="275"/>
      <c r="C268" s="275"/>
      <c r="D268" s="275"/>
      <c r="E268" s="275"/>
      <c r="F268" s="275"/>
      <c r="G268" s="275"/>
      <c r="H268" s="368"/>
      <c r="I268" s="368"/>
      <c r="J268" s="368"/>
      <c r="K268" s="368"/>
      <c r="L268" s="368"/>
      <c r="M268" s="368"/>
      <c r="N268" s="368"/>
      <c r="O268" s="368"/>
      <c r="P268" s="368"/>
      <c r="Q268" s="368"/>
      <c r="R268" s="327"/>
      <c r="S268" s="369"/>
      <c r="T268" s="370"/>
      <c r="U268" s="369"/>
      <c r="V268" s="275"/>
      <c r="W268" s="275"/>
      <c r="X268" s="5"/>
    </row>
    <row r="269" spans="1:24" ht="15.6" x14ac:dyDescent="0.3">
      <c r="A269" s="243"/>
      <c r="B269" s="388" t="s">
        <v>169</v>
      </c>
      <c r="C269" s="244"/>
      <c r="D269" s="244"/>
      <c r="E269" s="244"/>
      <c r="F269" s="244"/>
      <c r="G269" s="244"/>
      <c r="H269" s="246"/>
      <c r="I269" s="246"/>
      <c r="J269" s="246"/>
      <c r="K269" s="246"/>
      <c r="L269" s="246"/>
      <c r="M269" s="246"/>
      <c r="N269" s="246"/>
      <c r="O269" s="246"/>
      <c r="P269" s="246"/>
      <c r="Q269" s="246"/>
      <c r="R269" s="396" t="s">
        <v>104</v>
      </c>
      <c r="S269" s="389" t="s">
        <v>105</v>
      </c>
      <c r="T269" s="396" t="s">
        <v>113</v>
      </c>
      <c r="U269" s="389" t="s">
        <v>105</v>
      </c>
      <c r="V269" s="244"/>
      <c r="W269" s="245"/>
      <c r="X269" s="5"/>
    </row>
    <row r="270" spans="1:24" ht="15.6" x14ac:dyDescent="0.3">
      <c r="A270" s="189"/>
      <c r="B270" s="247" t="s">
        <v>90</v>
      </c>
      <c r="C270" s="248"/>
      <c r="D270" s="248"/>
      <c r="E270" s="248"/>
      <c r="F270" s="248"/>
      <c r="G270" s="248"/>
      <c r="H270" s="249"/>
      <c r="I270" s="249"/>
      <c r="J270" s="249"/>
      <c r="K270" s="249"/>
      <c r="L270" s="249"/>
      <c r="M270" s="249"/>
      <c r="N270" s="249"/>
      <c r="O270" s="249"/>
      <c r="P270" s="249"/>
      <c r="Q270" s="249"/>
      <c r="R270" s="247">
        <v>0</v>
      </c>
      <c r="S270" s="250">
        <v>0</v>
      </c>
      <c r="T270" s="251">
        <v>0</v>
      </c>
      <c r="U270" s="250">
        <v>0</v>
      </c>
      <c r="V270" s="248"/>
      <c r="W270" s="190"/>
      <c r="X270" s="5"/>
    </row>
    <row r="271" spans="1:24" ht="15.6" x14ac:dyDescent="0.3">
      <c r="A271" s="278"/>
      <c r="B271" s="329" t="s">
        <v>91</v>
      </c>
      <c r="C271" s="279"/>
      <c r="D271" s="279"/>
      <c r="E271" s="279"/>
      <c r="F271" s="279"/>
      <c r="G271" s="279"/>
      <c r="H271" s="373"/>
      <c r="I271" s="373"/>
      <c r="J271" s="373"/>
      <c r="K271" s="373"/>
      <c r="L271" s="373"/>
      <c r="M271" s="373"/>
      <c r="N271" s="373"/>
      <c r="O271" s="373"/>
      <c r="P271" s="373"/>
      <c r="Q271" s="373"/>
      <c r="R271" s="329">
        <v>0</v>
      </c>
      <c r="S271" s="372">
        <v>0</v>
      </c>
      <c r="T271" s="330">
        <v>0</v>
      </c>
      <c r="U271" s="372">
        <v>0</v>
      </c>
      <c r="V271" s="279"/>
      <c r="W271" s="310"/>
      <c r="X271" s="5"/>
    </row>
    <row r="272" spans="1:24" ht="15.6" x14ac:dyDescent="0.3">
      <c r="A272" s="278"/>
      <c r="B272" s="329" t="s">
        <v>92</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161</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162</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163</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164</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165</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c r="C278" s="279"/>
      <c r="D278" s="279"/>
      <c r="E278" s="279"/>
      <c r="F278" s="279"/>
      <c r="G278" s="279"/>
      <c r="H278" s="373"/>
      <c r="I278" s="373"/>
      <c r="J278" s="373"/>
      <c r="K278" s="373"/>
      <c r="L278" s="373"/>
      <c r="M278" s="373"/>
      <c r="N278" s="373"/>
      <c r="O278" s="373"/>
      <c r="P278" s="373"/>
      <c r="Q278" s="373"/>
      <c r="R278" s="329"/>
      <c r="S278" s="372"/>
      <c r="T278" s="330"/>
      <c r="U278" s="372"/>
      <c r="V278" s="279"/>
      <c r="W278" s="310"/>
      <c r="X278" s="5"/>
    </row>
    <row r="279" spans="1:24" ht="15.6" x14ac:dyDescent="0.3">
      <c r="A279" s="278"/>
      <c r="B279" s="279" t="s">
        <v>119</v>
      </c>
      <c r="C279" s="279"/>
      <c r="D279" s="279"/>
      <c r="E279" s="279"/>
      <c r="F279" s="279"/>
      <c r="G279" s="279"/>
      <c r="H279" s="373"/>
      <c r="I279" s="373"/>
      <c r="J279" s="373"/>
      <c r="K279" s="373"/>
      <c r="L279" s="373"/>
      <c r="M279" s="373"/>
      <c r="N279" s="373"/>
      <c r="O279" s="373"/>
      <c r="P279" s="373"/>
      <c r="Q279" s="373"/>
      <c r="R279" s="329">
        <f>SUM(R270:R277)</f>
        <v>0</v>
      </c>
      <c r="S279" s="372">
        <f>SUM(S270:S278)</f>
        <v>0</v>
      </c>
      <c r="T279" s="330">
        <f>SUM(T270:T277)</f>
        <v>0</v>
      </c>
      <c r="U279" s="372">
        <f>SUM(U270:U278)</f>
        <v>0</v>
      </c>
      <c r="V279" s="279"/>
      <c r="W279" s="310"/>
      <c r="X279" s="5"/>
    </row>
    <row r="280" spans="1:24" ht="15.6" x14ac:dyDescent="0.3">
      <c r="A280" s="278"/>
      <c r="B280" s="279"/>
      <c r="C280" s="279"/>
      <c r="D280" s="279"/>
      <c r="E280" s="279"/>
      <c r="F280" s="279"/>
      <c r="G280" s="279"/>
      <c r="H280" s="373"/>
      <c r="I280" s="373"/>
      <c r="J280" s="373"/>
      <c r="K280" s="373"/>
      <c r="L280" s="373"/>
      <c r="M280" s="373"/>
      <c r="N280" s="373"/>
      <c r="O280" s="373"/>
      <c r="P280" s="373"/>
      <c r="Q280" s="373"/>
      <c r="R280" s="329"/>
      <c r="S280" s="372"/>
      <c r="T280" s="330"/>
      <c r="U280" s="372"/>
      <c r="V280" s="279"/>
      <c r="W280" s="310"/>
      <c r="X280" s="5"/>
    </row>
    <row r="281" spans="1:24" ht="15.6" x14ac:dyDescent="0.3">
      <c r="A281" s="278"/>
      <c r="B281" s="288" t="s">
        <v>170</v>
      </c>
      <c r="C281" s="279"/>
      <c r="D281" s="279"/>
      <c r="E281" s="279"/>
      <c r="F281" s="279"/>
      <c r="G281" s="279"/>
      <c r="H281" s="373"/>
      <c r="I281" s="373"/>
      <c r="J281" s="373"/>
      <c r="K281" s="373"/>
      <c r="L281" s="373"/>
      <c r="M281" s="373"/>
      <c r="N281" s="373"/>
      <c r="O281" s="373"/>
      <c r="P281" s="373"/>
      <c r="Q281" s="373"/>
      <c r="R281" s="376">
        <f>R279+R267+R255</f>
        <v>7520</v>
      </c>
      <c r="S281" s="372"/>
      <c r="T281" s="397">
        <f>+T279+T267+T255</f>
        <v>1009088</v>
      </c>
      <c r="U281" s="372"/>
      <c r="V281" s="279"/>
      <c r="W281" s="310"/>
      <c r="X281" s="5"/>
    </row>
    <row r="282" spans="1:24" ht="15.6" x14ac:dyDescent="0.3">
      <c r="A282" s="177"/>
      <c r="B282" s="340"/>
      <c r="C282" s="340"/>
      <c r="D282" s="340"/>
      <c r="E282" s="340"/>
      <c r="F282" s="340"/>
      <c r="G282" s="340"/>
      <c r="H282" s="374"/>
      <c r="I282" s="374"/>
      <c r="J282" s="374"/>
      <c r="K282" s="374"/>
      <c r="L282" s="374"/>
      <c r="M282" s="374"/>
      <c r="N282" s="374"/>
      <c r="O282" s="374"/>
      <c r="P282" s="374"/>
      <c r="Q282" s="374"/>
      <c r="R282" s="374"/>
      <c r="S282" s="374"/>
      <c r="T282" s="375"/>
      <c r="U282" s="374"/>
      <c r="V282" s="340"/>
      <c r="W282" s="275"/>
      <c r="X282" s="5"/>
    </row>
    <row r="283" spans="1:24" ht="15.6" x14ac:dyDescent="0.3">
      <c r="A283" s="177"/>
      <c r="B283" s="252"/>
      <c r="C283" s="252"/>
      <c r="D283" s="252"/>
      <c r="E283" s="252"/>
      <c r="F283" s="252"/>
      <c r="G283" s="252"/>
      <c r="H283" s="253"/>
      <c r="I283" s="253"/>
      <c r="J283" s="253"/>
      <c r="K283" s="253"/>
      <c r="L283" s="253"/>
      <c r="M283" s="253"/>
      <c r="N283" s="253"/>
      <c r="O283" s="253"/>
      <c r="P283" s="253"/>
      <c r="Q283" s="253"/>
      <c r="R283" s="253"/>
      <c r="S283" s="253"/>
      <c r="T283" s="254"/>
      <c r="U283" s="253"/>
      <c r="V283" s="252"/>
      <c r="W283" s="179"/>
      <c r="X283" s="5"/>
    </row>
    <row r="284" spans="1:24" ht="15.6" x14ac:dyDescent="0.3">
      <c r="A284" s="222"/>
      <c r="B284" s="378" t="s">
        <v>93</v>
      </c>
      <c r="C284" s="252"/>
      <c r="D284" s="252"/>
      <c r="E284" s="252"/>
      <c r="F284" s="381" t="s">
        <v>99</v>
      </c>
      <c r="G284" s="252"/>
      <c r="H284" s="378" t="s">
        <v>101</v>
      </c>
      <c r="I284" s="257"/>
      <c r="J284" s="257"/>
      <c r="K284" s="257"/>
      <c r="L284" s="257"/>
      <c r="M284" s="257"/>
      <c r="N284" s="257"/>
      <c r="O284" s="257"/>
      <c r="P284" s="257"/>
      <c r="Q284" s="257"/>
      <c r="R284" s="257"/>
      <c r="S284" s="257"/>
      <c r="T284" s="257"/>
      <c r="U284" s="257"/>
      <c r="V284" s="257"/>
      <c r="W284" s="187"/>
      <c r="X284" s="5"/>
    </row>
    <row r="285" spans="1:24" ht="15.6" x14ac:dyDescent="0.3">
      <c r="A285" s="222"/>
      <c r="B285" s="257"/>
      <c r="C285" s="252"/>
      <c r="D285" s="252"/>
      <c r="E285" s="252"/>
      <c r="F285" s="252"/>
      <c r="G285" s="252"/>
      <c r="H285" s="252"/>
      <c r="I285" s="257"/>
      <c r="J285" s="257"/>
      <c r="K285" s="257"/>
      <c r="L285" s="257"/>
      <c r="M285" s="257"/>
      <c r="N285" s="257"/>
      <c r="O285" s="257"/>
      <c r="P285" s="257"/>
      <c r="Q285" s="257"/>
      <c r="R285" s="257"/>
      <c r="S285" s="257"/>
      <c r="T285" s="257"/>
      <c r="U285" s="257"/>
      <c r="V285" s="257"/>
      <c r="W285" s="187"/>
      <c r="X285" s="5"/>
    </row>
    <row r="286" spans="1:24" ht="15.6" x14ac:dyDescent="0.3">
      <c r="A286" s="222"/>
      <c r="B286" s="378" t="s">
        <v>94</v>
      </c>
      <c r="C286" s="378"/>
      <c r="D286" s="378"/>
      <c r="E286" s="378"/>
      <c r="F286" s="398" t="s">
        <v>153</v>
      </c>
      <c r="G286" s="378"/>
      <c r="H286" s="378" t="s">
        <v>157</v>
      </c>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277</v>
      </c>
      <c r="C287" s="378"/>
      <c r="D287" s="378"/>
      <c r="E287" s="378"/>
      <c r="F287" s="398" t="s">
        <v>278</v>
      </c>
      <c r="G287" s="378"/>
      <c r="H287" s="378" t="s">
        <v>279</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95</v>
      </c>
      <c r="C288" s="378"/>
      <c r="D288" s="378"/>
      <c r="E288" s="378"/>
      <c r="F288" s="398" t="s">
        <v>152</v>
      </c>
      <c r="G288" s="378"/>
      <c r="H288" s="378" t="s">
        <v>158</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c r="C289" s="378"/>
      <c r="D289" s="378"/>
      <c r="E289" s="378"/>
      <c r="F289" s="378"/>
      <c r="G289" s="259"/>
      <c r="H289" s="257"/>
      <c r="I289" s="257"/>
      <c r="J289" s="257"/>
      <c r="K289" s="257"/>
      <c r="L289" s="257"/>
      <c r="M289" s="257"/>
      <c r="N289" s="257"/>
      <c r="O289" s="257"/>
      <c r="P289" s="257"/>
      <c r="Q289" s="257"/>
      <c r="R289" s="257"/>
      <c r="S289" s="257"/>
      <c r="T289" s="257"/>
      <c r="U289" s="257"/>
      <c r="V289" s="257"/>
      <c r="W289" s="187"/>
      <c r="X289" s="5"/>
    </row>
    <row r="290" spans="1:24" ht="18" thickBot="1" x14ac:dyDescent="0.35">
      <c r="A290" s="222"/>
      <c r="B290" s="260" t="str">
        <f>B195</f>
        <v>PM12 INVESTOR REPORT QUARTER ENDING APRIL 2011</v>
      </c>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x14ac:dyDescent="0.2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row>
  </sheetData>
  <phoneticPr fontId="0" type="noConversion"/>
  <hyperlinks>
    <hyperlink ref="P231" r:id="rId1" xr:uid="{00000000-0004-0000-1200-000000000000}"/>
    <hyperlink ref="I9" r:id="rId2" xr:uid="{00000000-0004-0000-12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195" max="14"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D2926"/>
  </sheetPr>
  <dimension ref="A1:Y278"/>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0.59209999999999996</v>
      </c>
      <c r="T16" s="17" t="s">
        <v>145</v>
      </c>
      <c r="U16" s="137">
        <v>0.40789999999999998</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39136</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4"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4"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4"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4"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4"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4"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4"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4"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4"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4" ht="15.6" x14ac:dyDescent="0.3">
      <c r="A32" s="24"/>
      <c r="B32" s="25" t="s">
        <v>137</v>
      </c>
      <c r="C32" s="32"/>
      <c r="D32" s="146">
        <f>D31*D38</f>
        <v>1471110</v>
      </c>
      <c r="E32" s="32"/>
      <c r="F32" s="31">
        <f>F31*F38</f>
        <v>142207.29999999999</v>
      </c>
      <c r="G32" s="31"/>
      <c r="H32" s="124">
        <f>H31*H38</f>
        <v>240281.3</v>
      </c>
      <c r="I32" s="124"/>
      <c r="J32" s="146">
        <f>J31*J38</f>
        <v>305010.13999999996</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1444368</v>
      </c>
      <c r="E33" s="36"/>
      <c r="F33" s="35">
        <f>F37*F31</f>
        <v>139622.24</v>
      </c>
      <c r="G33" s="35"/>
      <c r="H33" s="125">
        <f>H31*H37</f>
        <v>235913.44</v>
      </c>
      <c r="I33" s="125"/>
      <c r="J33" s="151">
        <f>J37*J31</f>
        <v>299465.63199999998</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799515.92057999992</v>
      </c>
      <c r="E35" s="32"/>
      <c r="F35" s="31">
        <f>F34*F38</f>
        <v>142207.29999999999</v>
      </c>
      <c r="G35" s="31"/>
      <c r="H35" s="31">
        <f>H34*H38</f>
        <v>165711.71484</v>
      </c>
      <c r="I35" s="31"/>
      <c r="J35" s="31">
        <f>J34*J38</f>
        <v>165766.63627999998</v>
      </c>
      <c r="K35" s="31"/>
      <c r="L35" s="31">
        <f>+L34</f>
        <v>25000</v>
      </c>
      <c r="M35" s="31"/>
      <c r="N35" s="31">
        <f>+N34</f>
        <v>86897</v>
      </c>
      <c r="O35" s="31"/>
      <c r="P35" s="31">
        <f>+P34</f>
        <v>17000</v>
      </c>
      <c r="Q35" s="31"/>
      <c r="R35" s="31">
        <f>+R34</f>
        <v>73103</v>
      </c>
      <c r="S35" s="31"/>
      <c r="T35" s="31"/>
      <c r="U35" s="164"/>
      <c r="V35" s="154">
        <f>SUM(C35:R35)</f>
        <v>1475201.5717</v>
      </c>
      <c r="W35" s="34"/>
      <c r="X35" s="5"/>
    </row>
    <row r="36" spans="1:24" ht="15.6" x14ac:dyDescent="0.3">
      <c r="A36" s="28"/>
      <c r="B36" s="29" t="s">
        <v>295</v>
      </c>
      <c r="C36" s="126"/>
      <c r="D36" s="35">
        <f>D34*D37</f>
        <v>784982.23190400004</v>
      </c>
      <c r="E36" s="36"/>
      <c r="F36" s="35">
        <f>F34*F37</f>
        <v>139622.24</v>
      </c>
      <c r="G36" s="35"/>
      <c r="H36" s="35">
        <f>H34*H37</f>
        <v>162699.38899199999</v>
      </c>
      <c r="I36" s="35"/>
      <c r="J36" s="35">
        <f>J34*J37</f>
        <v>162753.312064</v>
      </c>
      <c r="K36" s="35"/>
      <c r="L36" s="35">
        <f>+L34</f>
        <v>25000</v>
      </c>
      <c r="M36" s="35"/>
      <c r="N36" s="35">
        <f>+N34</f>
        <v>86897</v>
      </c>
      <c r="O36" s="35"/>
      <c r="P36" s="35">
        <f>+P34</f>
        <v>17000</v>
      </c>
      <c r="Q36" s="35"/>
      <c r="R36" s="35">
        <f>+R34</f>
        <v>73103</v>
      </c>
      <c r="S36" s="128"/>
      <c r="T36" s="128"/>
      <c r="U36" s="164"/>
      <c r="V36" s="155">
        <f>SUM(C36:R36) -1</f>
        <v>1452056.1729599999</v>
      </c>
      <c r="W36" s="34"/>
      <c r="X36" s="5"/>
    </row>
    <row r="37" spans="1:24" ht="15.6" x14ac:dyDescent="0.3">
      <c r="A37" s="24"/>
      <c r="B37" s="122" t="s">
        <v>135</v>
      </c>
      <c r="C37" s="25"/>
      <c r="D37" s="135">
        <v>0.96291199999999999</v>
      </c>
      <c r="E37" s="136"/>
      <c r="F37" s="135">
        <v>0.96291199999999999</v>
      </c>
      <c r="G37" s="135"/>
      <c r="H37" s="135">
        <v>0.96291199999999999</v>
      </c>
      <c r="I37" s="135"/>
      <c r="J37" s="135">
        <v>0.96291199999999999</v>
      </c>
      <c r="K37" s="135"/>
      <c r="L37" s="135">
        <v>1</v>
      </c>
      <c r="M37" s="135"/>
      <c r="N37" s="135">
        <v>1</v>
      </c>
      <c r="O37" s="135"/>
      <c r="P37" s="135">
        <v>1</v>
      </c>
      <c r="Q37" s="135"/>
      <c r="R37" s="135">
        <v>1</v>
      </c>
      <c r="S37" s="30"/>
      <c r="T37" s="30"/>
      <c r="U37" s="163"/>
      <c r="V37" s="163"/>
      <c r="W37" s="25"/>
      <c r="X37" s="5"/>
    </row>
    <row r="38" spans="1:24" ht="15.6" x14ac:dyDescent="0.3">
      <c r="A38" s="24"/>
      <c r="B38" s="122" t="s">
        <v>136</v>
      </c>
      <c r="C38" s="25"/>
      <c r="D38" s="135">
        <v>0.98073999999999995</v>
      </c>
      <c r="E38" s="136"/>
      <c r="F38" s="135">
        <v>0.98073999999999995</v>
      </c>
      <c r="G38" s="135"/>
      <c r="H38" s="135">
        <v>0.98073999999999995</v>
      </c>
      <c r="I38" s="135"/>
      <c r="J38" s="135">
        <v>0.98073999999999995</v>
      </c>
      <c r="K38" s="135"/>
      <c r="L38" s="135">
        <v>1</v>
      </c>
      <c r="M38" s="135"/>
      <c r="N38" s="135">
        <v>1</v>
      </c>
      <c r="O38" s="135"/>
      <c r="P38" s="135">
        <v>1</v>
      </c>
      <c r="Q38" s="135"/>
      <c r="R38" s="135">
        <v>1</v>
      </c>
      <c r="S38" s="39"/>
      <c r="T38" s="38"/>
      <c r="U38" s="163"/>
      <c r="V38" s="39"/>
      <c r="W38" s="25"/>
      <c r="X38" s="5"/>
    </row>
    <row r="39" spans="1:24" ht="15.6" x14ac:dyDescent="0.3">
      <c r="A39" s="24"/>
      <c r="B39" s="25" t="s">
        <v>11</v>
      </c>
      <c r="C39" s="25"/>
      <c r="D39" s="30" t="s">
        <v>234</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5.2999999999999999E-2</v>
      </c>
      <c r="E40" s="25"/>
      <c r="F40" s="38">
        <v>5.3475000000000002E-2</v>
      </c>
      <c r="G40" s="39"/>
      <c r="H40" s="38">
        <v>3.7069999999999999E-2</v>
      </c>
      <c r="I40" s="38"/>
      <c r="J40" s="38">
        <v>5.4837499999999997E-2</v>
      </c>
      <c r="K40" s="39"/>
      <c r="L40" s="38">
        <v>5.4675000000000001E-2</v>
      </c>
      <c r="M40" s="39"/>
      <c r="N40" s="38">
        <v>3.8269999999999998E-2</v>
      </c>
      <c r="O40" s="39"/>
      <c r="P40" s="38">
        <v>5.6875000000000002E-2</v>
      </c>
      <c r="Q40" s="39"/>
      <c r="R40" s="38">
        <v>4.0469999999999999E-2</v>
      </c>
      <c r="S40" s="39"/>
      <c r="T40" s="38"/>
      <c r="U40" s="163"/>
      <c r="V40" s="30"/>
      <c r="W40" s="25"/>
      <c r="X40" s="5"/>
    </row>
    <row r="41" spans="1:24" ht="15.6" x14ac:dyDescent="0.3">
      <c r="A41" s="24"/>
      <c r="B41" s="25" t="s">
        <v>13</v>
      </c>
      <c r="C41" s="25"/>
      <c r="D41" s="38">
        <v>5.3199999999999997E-2</v>
      </c>
      <c r="E41" s="25"/>
      <c r="F41" s="38">
        <v>4.8880100000000003E-2</v>
      </c>
      <c r="G41" s="39"/>
      <c r="H41" s="38">
        <v>3.2759999999999997E-2</v>
      </c>
      <c r="I41" s="38"/>
      <c r="J41" s="38">
        <v>5.62835E-2</v>
      </c>
      <c r="K41" s="39"/>
      <c r="L41" s="38">
        <v>5.0080100000000002E-2</v>
      </c>
      <c r="M41" s="39"/>
      <c r="N41" s="38">
        <v>3.3959999999999997E-2</v>
      </c>
      <c r="O41" s="39"/>
      <c r="P41" s="38">
        <v>5.2280100000000003E-2</v>
      </c>
      <c r="Q41" s="39"/>
      <c r="R41" s="38">
        <v>3.6159999999999998E-2</v>
      </c>
      <c r="S41" s="39"/>
      <c r="T41" s="38"/>
      <c r="U41" s="163"/>
      <c r="V41" s="39" t="s">
        <v>199</v>
      </c>
      <c r="W41" s="25"/>
      <c r="X41" s="5"/>
    </row>
    <row r="42" spans="1:24" ht="15.6" x14ac:dyDescent="0.3">
      <c r="A42" s="24"/>
      <c r="B42" s="25" t="s">
        <v>296</v>
      </c>
      <c r="C42" s="25"/>
      <c r="D42" s="30" t="s">
        <v>268</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5.2265600000000002E-2</v>
      </c>
      <c r="E43" s="38"/>
      <c r="F43" s="38">
        <f>+F40</f>
        <v>5.3475000000000002E-2</v>
      </c>
      <c r="G43" s="38"/>
      <c r="H43" s="38">
        <v>5.3435999999999997E-2</v>
      </c>
      <c r="I43" s="38"/>
      <c r="J43" s="38">
        <v>5.3557E-2</v>
      </c>
      <c r="K43" s="38"/>
      <c r="L43" s="38">
        <f>+L40</f>
        <v>5.4675000000000001E-2</v>
      </c>
      <c r="M43" s="38"/>
      <c r="N43" s="38">
        <v>5.4775999999999998E-2</v>
      </c>
      <c r="O43" s="38"/>
      <c r="P43" s="38">
        <f>+P40</f>
        <v>5.6875000000000002E-2</v>
      </c>
      <c r="Q43" s="39"/>
      <c r="R43" s="38">
        <v>5.7111000000000002E-2</v>
      </c>
      <c r="S43" s="30"/>
      <c r="T43" s="30"/>
      <c r="U43" s="163"/>
      <c r="V43" s="39">
        <f>SUMPRODUCT(D43:R43,D35:R35)/V35</f>
        <v>5.3140707418217463E-2</v>
      </c>
      <c r="W43" s="25"/>
      <c r="X43" s="5"/>
    </row>
    <row r="44" spans="1:24" ht="15.6" x14ac:dyDescent="0.3">
      <c r="A44" s="24"/>
      <c r="B44" s="25" t="s">
        <v>298</v>
      </c>
      <c r="C44" s="110"/>
      <c r="D44" s="38">
        <v>4.7670700000000003E-2</v>
      </c>
      <c r="E44" s="38"/>
      <c r="F44" s="38">
        <f>+F41</f>
        <v>4.8880100000000003E-2</v>
      </c>
      <c r="G44" s="38"/>
      <c r="H44" s="38">
        <v>4.8841099999999998E-2</v>
      </c>
      <c r="I44" s="38"/>
      <c r="J44" s="38">
        <v>4.8962100000000001E-2</v>
      </c>
      <c r="K44" s="38"/>
      <c r="L44" s="38">
        <f>+L41</f>
        <v>5.0080100000000002E-2</v>
      </c>
      <c r="M44" s="38"/>
      <c r="N44" s="38">
        <v>5.0181099999999999E-2</v>
      </c>
      <c r="O44" s="38"/>
      <c r="P44" s="38">
        <f>+P41</f>
        <v>5.2280100000000003E-2</v>
      </c>
      <c r="Q44" s="39"/>
      <c r="R44" s="38">
        <v>5.2516100000000003E-2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0.16159260901778269</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39128</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118</v>
      </c>
      <c r="S57" s="25"/>
      <c r="T57" s="45">
        <v>38918</v>
      </c>
      <c r="U57" s="46"/>
      <c r="V57" s="45">
        <v>39035</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92</v>
      </c>
      <c r="S58" s="25"/>
      <c r="T58" s="45">
        <v>39036</v>
      </c>
      <c r="U58" s="46"/>
      <c r="V58" s="45">
        <v>39127</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39114</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272</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1475202</v>
      </c>
      <c r="O69" s="34"/>
      <c r="P69" s="34">
        <f>23145+6938+719</f>
        <v>30802</v>
      </c>
      <c r="Q69" s="34"/>
      <c r="R69" s="34">
        <f>6938+719-1</f>
        <v>7656</v>
      </c>
      <c r="S69" s="34"/>
      <c r="T69" s="34">
        <v>0</v>
      </c>
      <c r="U69" s="34"/>
      <c r="V69" s="53">
        <f>+N69-P69+R69-T69</f>
        <v>1452056</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1475202</v>
      </c>
      <c r="O72" s="34"/>
      <c r="P72" s="34">
        <f>SUM(P69:P71)</f>
        <v>30802</v>
      </c>
      <c r="Q72" s="34"/>
      <c r="R72" s="34">
        <f>SUM(R69:R71)</f>
        <v>7656</v>
      </c>
      <c r="S72" s="34"/>
      <c r="T72" s="34">
        <f>SUM(T69:T71)</f>
        <v>0</v>
      </c>
      <c r="U72" s="34"/>
      <c r="V72" s="54">
        <f>SUM(V69:V71)</f>
        <v>1452056</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v>0</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1475202</v>
      </c>
      <c r="O85" s="34"/>
      <c r="P85" s="34"/>
      <c r="Q85" s="34"/>
      <c r="R85" s="34"/>
      <c r="S85" s="34"/>
      <c r="T85" s="54"/>
      <c r="U85" s="34"/>
      <c r="V85" s="54">
        <f>SUM(V72:V84)</f>
        <v>1452056</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+T195</f>
        <v>39113</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P69</f>
        <v>30802</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12681+7297+17-790-263</f>
        <v>18942</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253+157</f>
        <v>410</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977</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v>683</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4019</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30802</v>
      </c>
      <c r="U97" s="25"/>
      <c r="V97" s="54">
        <f>SUM(V89:V96)</f>
        <v>25031</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-112</v>
      </c>
      <c r="U98" s="25"/>
      <c r="V98" s="54">
        <v>112</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32</v>
      </c>
      <c r="C100" s="25"/>
      <c r="D100" s="25"/>
      <c r="E100" s="25"/>
      <c r="F100" s="25"/>
      <c r="G100" s="25"/>
      <c r="H100" s="25"/>
      <c r="I100" s="25"/>
      <c r="J100" s="25"/>
      <c r="K100" s="25"/>
      <c r="L100" s="25"/>
      <c r="M100" s="25"/>
      <c r="N100" s="25"/>
      <c r="O100" s="25"/>
      <c r="P100" s="25"/>
      <c r="Q100" s="25"/>
      <c r="R100" s="25"/>
      <c r="S100" s="25"/>
      <c r="T100" s="34">
        <f>T97+T99+T98</f>
        <v>30690</v>
      </c>
      <c r="U100" s="25"/>
      <c r="V100" s="54">
        <f>V97+V99+V98</f>
        <v>25143</v>
      </c>
      <c r="W100" s="25"/>
      <c r="X100" s="5"/>
    </row>
    <row r="101" spans="1:25" ht="15.6" x14ac:dyDescent="0.3">
      <c r="A101" s="24"/>
      <c r="B101" s="118" t="s">
        <v>33</v>
      </c>
      <c r="C101" s="25"/>
      <c r="D101" s="25"/>
      <c r="E101" s="25"/>
      <c r="F101" s="25"/>
      <c r="G101" s="25"/>
      <c r="H101" s="25"/>
      <c r="I101" s="25"/>
      <c r="J101" s="25"/>
      <c r="K101" s="25"/>
      <c r="L101" s="25"/>
      <c r="M101" s="25"/>
      <c r="N101" s="25"/>
      <c r="O101" s="25"/>
      <c r="P101" s="25"/>
      <c r="Q101" s="25"/>
      <c r="R101" s="25"/>
      <c r="S101" s="25"/>
      <c r="T101" s="34"/>
      <c r="U101" s="25"/>
      <c r="V101" s="53"/>
      <c r="W101" s="25"/>
      <c r="X101" s="5"/>
    </row>
    <row r="102" spans="1:25" ht="15.6" x14ac:dyDescent="0.3">
      <c r="A102" s="24">
        <v>1</v>
      </c>
      <c r="B102" s="25" t="s">
        <v>34</v>
      </c>
      <c r="C102" s="25"/>
      <c r="D102" s="25"/>
      <c r="E102" s="25"/>
      <c r="F102" s="25"/>
      <c r="G102" s="25"/>
      <c r="H102" s="25"/>
      <c r="I102" s="25"/>
      <c r="J102" s="25"/>
      <c r="K102" s="25"/>
      <c r="L102" s="25"/>
      <c r="M102" s="25"/>
      <c r="N102" s="25"/>
      <c r="O102" s="25"/>
      <c r="P102" s="25"/>
      <c r="Q102" s="25"/>
      <c r="R102" s="25"/>
      <c r="S102" s="25"/>
      <c r="T102" s="25"/>
      <c r="U102" s="25"/>
      <c r="V102" s="53">
        <v>0</v>
      </c>
      <c r="W102" s="25"/>
      <c r="X102" s="5"/>
    </row>
    <row r="103" spans="1:25" ht="15.6" x14ac:dyDescent="0.3">
      <c r="A103" s="24">
        <f>+A102+1</f>
        <v>2</v>
      </c>
      <c r="B103" s="25" t="s">
        <v>259</v>
      </c>
      <c r="C103" s="25"/>
      <c r="D103" s="25"/>
      <c r="E103" s="25"/>
      <c r="F103" s="25"/>
      <c r="G103" s="25"/>
      <c r="H103" s="25"/>
      <c r="I103" s="25"/>
      <c r="J103" s="25"/>
      <c r="K103" s="25"/>
      <c r="L103" s="25"/>
      <c r="M103" s="25"/>
      <c r="N103" s="25"/>
      <c r="O103" s="25"/>
      <c r="P103" s="25"/>
      <c r="Q103" s="25"/>
      <c r="R103" s="25"/>
      <c r="S103" s="25"/>
      <c r="T103" s="25"/>
      <c r="U103" s="25"/>
      <c r="V103" s="53">
        <v>-2</v>
      </c>
      <c r="W103" s="25"/>
      <c r="X103" s="5"/>
    </row>
    <row r="104" spans="1:25" ht="15.6" x14ac:dyDescent="0.3">
      <c r="A104" s="24">
        <f>+A103+1</f>
        <v>3</v>
      </c>
      <c r="B104" s="25" t="s">
        <v>210</v>
      </c>
      <c r="C104" s="25"/>
      <c r="D104" s="25"/>
      <c r="E104" s="25"/>
      <c r="F104" s="25"/>
      <c r="G104" s="25"/>
      <c r="H104" s="25"/>
      <c r="I104" s="25"/>
      <c r="J104" s="25"/>
      <c r="K104" s="25"/>
      <c r="L104" s="25"/>
      <c r="M104" s="25"/>
      <c r="N104" s="25"/>
      <c r="O104" s="25"/>
      <c r="P104" s="25"/>
      <c r="Q104" s="25"/>
      <c r="R104" s="25"/>
      <c r="S104" s="25"/>
      <c r="T104" s="25"/>
      <c r="U104" s="25"/>
      <c r="V104" s="53">
        <f>-558-5-17</f>
        <v>-580</v>
      </c>
      <c r="W104" s="25"/>
      <c r="X104" s="5"/>
    </row>
    <row r="105" spans="1:25" ht="15.6" x14ac:dyDescent="0.3">
      <c r="A105" s="24" t="s">
        <v>132</v>
      </c>
      <c r="B105" s="25" t="s">
        <v>121</v>
      </c>
      <c r="C105" s="25"/>
      <c r="D105" s="25"/>
      <c r="E105" s="25"/>
      <c r="F105" s="25"/>
      <c r="G105" s="25"/>
      <c r="H105" s="25"/>
      <c r="I105" s="25"/>
      <c r="J105" s="25"/>
      <c r="K105" s="25"/>
      <c r="L105" s="25"/>
      <c r="M105" s="25"/>
      <c r="N105" s="25"/>
      <c r="O105" s="25"/>
      <c r="P105" s="25"/>
      <c r="Q105" s="25"/>
      <c r="R105" s="25"/>
      <c r="S105" s="25"/>
      <c r="T105" s="25"/>
      <c r="U105" s="25"/>
      <c r="V105" s="53">
        <v>0</v>
      </c>
      <c r="W105" s="25"/>
      <c r="X105" s="5"/>
    </row>
    <row r="106" spans="1:25" ht="15.6" x14ac:dyDescent="0.3">
      <c r="A106" s="24" t="s">
        <v>133</v>
      </c>
      <c r="B106" s="25" t="s">
        <v>256</v>
      </c>
      <c r="C106" s="25"/>
      <c r="D106" s="25"/>
      <c r="E106" s="25"/>
      <c r="F106" s="25"/>
      <c r="G106" s="25"/>
      <c r="H106" s="25"/>
      <c r="I106" s="25"/>
      <c r="J106" s="25"/>
      <c r="K106" s="25"/>
      <c r="L106" s="25"/>
      <c r="M106" s="25"/>
      <c r="N106" s="25"/>
      <c r="O106" s="25"/>
      <c r="P106" s="25"/>
      <c r="Q106" s="25"/>
      <c r="R106" s="25"/>
      <c r="S106" s="25"/>
      <c r="T106" s="25"/>
      <c r="U106" s="25"/>
      <c r="V106" s="53">
        <f>-10534-2233-2235</f>
        <v>-15002</v>
      </c>
      <c r="W106" s="25"/>
      <c r="X106" s="5"/>
      <c r="Y106" s="109"/>
    </row>
    <row r="107" spans="1:25" ht="15.6" x14ac:dyDescent="0.3">
      <c r="A107" s="24" t="s">
        <v>155</v>
      </c>
      <c r="B107" s="25" t="s">
        <v>190</v>
      </c>
      <c r="C107" s="25"/>
      <c r="D107" s="25"/>
      <c r="E107" s="25"/>
      <c r="F107" s="25"/>
      <c r="G107" s="25"/>
      <c r="H107" s="25"/>
      <c r="I107" s="25"/>
      <c r="J107" s="25"/>
      <c r="K107" s="25"/>
      <c r="L107" s="25"/>
      <c r="M107" s="25"/>
      <c r="N107" s="25"/>
      <c r="O107" s="25"/>
      <c r="P107" s="25"/>
      <c r="Q107" s="25"/>
      <c r="R107" s="25"/>
      <c r="S107" s="25"/>
      <c r="T107" s="25"/>
      <c r="U107" s="25"/>
      <c r="V107" s="53">
        <v>-1917</v>
      </c>
      <c r="W107" s="25"/>
      <c r="X107" s="5"/>
    </row>
    <row r="108" spans="1:25" ht="15.6" x14ac:dyDescent="0.3">
      <c r="A108" s="24" t="s">
        <v>211</v>
      </c>
      <c r="B108" s="25" t="s">
        <v>191</v>
      </c>
      <c r="C108" s="25"/>
      <c r="D108" s="25"/>
      <c r="E108" s="25"/>
      <c r="F108" s="25"/>
      <c r="G108" s="25"/>
      <c r="H108" s="25"/>
      <c r="I108" s="25"/>
      <c r="J108" s="25"/>
      <c r="K108" s="25"/>
      <c r="L108" s="25"/>
      <c r="M108" s="25"/>
      <c r="N108" s="25"/>
      <c r="O108" s="25"/>
      <c r="P108" s="25"/>
      <c r="Q108" s="25"/>
      <c r="R108" s="25"/>
      <c r="S108" s="25"/>
      <c r="T108" s="25"/>
      <c r="U108" s="25"/>
      <c r="V108" s="53">
        <v>-1199</v>
      </c>
      <c r="W108" s="25"/>
      <c r="X108" s="5"/>
      <c r="Y108" s="109"/>
    </row>
    <row r="109" spans="1:25" ht="15.6" x14ac:dyDescent="0.3">
      <c r="A109" s="24" t="s">
        <v>212</v>
      </c>
      <c r="B109" s="25" t="s">
        <v>192</v>
      </c>
      <c r="C109" s="25"/>
      <c r="D109" s="25"/>
      <c r="E109" s="25"/>
      <c r="F109" s="25"/>
      <c r="G109" s="25"/>
      <c r="H109" s="25"/>
      <c r="I109" s="25"/>
      <c r="J109" s="25"/>
      <c r="K109" s="25"/>
      <c r="L109" s="25"/>
      <c r="M109" s="25"/>
      <c r="N109" s="25"/>
      <c r="O109" s="25"/>
      <c r="P109" s="25"/>
      <c r="Q109" s="25"/>
      <c r="R109" s="25"/>
      <c r="S109" s="25"/>
      <c r="T109" s="25"/>
      <c r="U109" s="25"/>
      <c r="V109" s="53">
        <v>-345</v>
      </c>
      <c r="W109" s="25"/>
      <c r="X109" s="5"/>
      <c r="Y109" s="109"/>
    </row>
    <row r="110" spans="1:25" ht="15.6" x14ac:dyDescent="0.3">
      <c r="A110" s="24" t="s">
        <v>213</v>
      </c>
      <c r="B110" s="25" t="s">
        <v>202</v>
      </c>
      <c r="C110" s="25"/>
      <c r="D110" s="25"/>
      <c r="E110" s="25"/>
      <c r="F110" s="25"/>
      <c r="G110" s="25"/>
      <c r="H110" s="25"/>
      <c r="I110" s="25"/>
      <c r="J110" s="25"/>
      <c r="K110" s="25"/>
      <c r="L110" s="25"/>
      <c r="M110" s="25"/>
      <c r="N110" s="25"/>
      <c r="O110" s="25"/>
      <c r="P110" s="25"/>
      <c r="Q110" s="25"/>
      <c r="R110" s="25"/>
      <c r="S110" s="25"/>
      <c r="T110" s="25"/>
      <c r="U110" s="25"/>
      <c r="V110" s="53">
        <v>-1052</v>
      </c>
      <c r="W110" s="25"/>
      <c r="X110" s="5"/>
      <c r="Y110" s="109"/>
    </row>
    <row r="111" spans="1:25" ht="15.6" x14ac:dyDescent="0.3">
      <c r="A111" s="24" t="s">
        <v>258</v>
      </c>
      <c r="B111" s="25" t="s">
        <v>257</v>
      </c>
      <c r="C111" s="25"/>
      <c r="D111" s="25"/>
      <c r="E111" s="25"/>
      <c r="F111" s="25"/>
      <c r="G111" s="25"/>
      <c r="H111" s="25"/>
      <c r="I111" s="25"/>
      <c r="J111" s="25"/>
      <c r="K111" s="25"/>
      <c r="L111" s="25"/>
      <c r="M111" s="25"/>
      <c r="N111" s="25"/>
      <c r="O111" s="25"/>
      <c r="P111" s="25"/>
      <c r="Q111" s="25"/>
      <c r="R111" s="25"/>
      <c r="S111" s="25"/>
      <c r="T111" s="25"/>
      <c r="U111" s="25"/>
      <c r="V111" s="53">
        <v>-244</v>
      </c>
      <c r="W111" s="25"/>
      <c r="X111" s="5"/>
      <c r="Y111" s="109"/>
    </row>
    <row r="112" spans="1:25" ht="15.6" x14ac:dyDescent="0.3">
      <c r="A112" s="24">
        <v>7</v>
      </c>
      <c r="B112" s="25" t="s">
        <v>35</v>
      </c>
      <c r="C112" s="25"/>
      <c r="D112" s="25"/>
      <c r="E112" s="25"/>
      <c r="F112" s="25"/>
      <c r="G112" s="25"/>
      <c r="H112" s="25"/>
      <c r="I112" s="25"/>
      <c r="J112" s="25"/>
      <c r="K112" s="25"/>
      <c r="L112" s="25"/>
      <c r="M112" s="25"/>
      <c r="N112" s="25"/>
      <c r="O112" s="25"/>
      <c r="P112" s="25"/>
      <c r="Q112" s="25"/>
      <c r="R112" s="25"/>
      <c r="S112" s="25"/>
      <c r="T112" s="25"/>
      <c r="U112" s="25"/>
      <c r="V112" s="53">
        <v>-10</v>
      </c>
      <c r="W112" s="25"/>
      <c r="X112" s="5"/>
    </row>
    <row r="113" spans="1:24" ht="15.6" x14ac:dyDescent="0.3">
      <c r="A113" s="24">
        <f t="shared" ref="A113:A118" si="0">+A112+1</f>
        <v>8</v>
      </c>
      <c r="B113" s="25" t="s">
        <v>46</v>
      </c>
      <c r="C113" s="25"/>
      <c r="D113" s="25"/>
      <c r="E113" s="25"/>
      <c r="F113" s="25"/>
      <c r="G113" s="25"/>
      <c r="H113" s="25"/>
      <c r="I113" s="25"/>
      <c r="J113" s="25"/>
      <c r="K113" s="25"/>
      <c r="L113" s="25"/>
      <c r="M113" s="25"/>
      <c r="N113" s="25"/>
      <c r="O113" s="25"/>
      <c r="P113" s="25"/>
      <c r="Q113" s="25"/>
      <c r="R113" s="25"/>
      <c r="S113" s="25"/>
      <c r="T113" s="25"/>
      <c r="U113" s="25"/>
      <c r="V113" s="53">
        <v>0</v>
      </c>
      <c r="W113" s="25"/>
      <c r="X113" s="5"/>
    </row>
    <row r="114" spans="1:24" ht="15.6" x14ac:dyDescent="0.3">
      <c r="A114" s="24">
        <f t="shared" si="0"/>
        <v>9</v>
      </c>
      <c r="B114" s="25" t="s">
        <v>130</v>
      </c>
      <c r="C114" s="25"/>
      <c r="D114" s="25"/>
      <c r="E114" s="25"/>
      <c r="F114" s="25"/>
      <c r="G114" s="25"/>
      <c r="H114" s="25"/>
      <c r="I114" s="25"/>
      <c r="J114" s="25"/>
      <c r="K114" s="25"/>
      <c r="L114" s="25"/>
      <c r="M114" s="25"/>
      <c r="N114" s="25"/>
      <c r="O114" s="25"/>
      <c r="P114" s="25"/>
      <c r="Q114" s="25"/>
      <c r="R114" s="25"/>
      <c r="S114" s="25"/>
      <c r="T114" s="25"/>
      <c r="U114" s="25"/>
      <c r="V114" s="53">
        <v>0</v>
      </c>
      <c r="W114" s="25"/>
      <c r="X114" s="5"/>
    </row>
    <row r="115" spans="1:24" ht="15.6" x14ac:dyDescent="0.3">
      <c r="A115" s="24">
        <f t="shared" si="0"/>
        <v>10</v>
      </c>
      <c r="B115" s="25" t="s">
        <v>36</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11</v>
      </c>
      <c r="B116" s="25" t="s">
        <v>37</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12</v>
      </c>
      <c r="B117" s="25" t="s">
        <v>154</v>
      </c>
      <c r="C117" s="25"/>
      <c r="D117" s="25"/>
      <c r="E117" s="25"/>
      <c r="F117" s="25"/>
      <c r="G117" s="25"/>
      <c r="H117" s="25"/>
      <c r="I117" s="25"/>
      <c r="J117" s="25"/>
      <c r="K117" s="25"/>
      <c r="L117" s="25"/>
      <c r="M117" s="25"/>
      <c r="N117" s="25"/>
      <c r="O117" s="25"/>
      <c r="P117" s="25"/>
      <c r="Q117" s="25"/>
      <c r="R117" s="25"/>
      <c r="S117" s="25"/>
      <c r="T117" s="25"/>
      <c r="U117" s="25"/>
      <c r="V117" s="53">
        <v>-557</v>
      </c>
      <c r="W117" s="25"/>
      <c r="X117" s="5"/>
    </row>
    <row r="118" spans="1:24" ht="15.6" x14ac:dyDescent="0.3">
      <c r="A118" s="24">
        <f t="shared" si="0"/>
        <v>13</v>
      </c>
      <c r="B118" s="25" t="s">
        <v>131</v>
      </c>
      <c r="C118" s="25"/>
      <c r="D118" s="25"/>
      <c r="E118" s="25"/>
      <c r="F118" s="25"/>
      <c r="G118" s="25"/>
      <c r="H118" s="25"/>
      <c r="I118" s="25"/>
      <c r="J118" s="25"/>
      <c r="K118" s="25"/>
      <c r="L118" s="25"/>
      <c r="M118" s="25"/>
      <c r="N118" s="25"/>
      <c r="O118" s="25"/>
      <c r="P118" s="25"/>
      <c r="Q118" s="25"/>
      <c r="R118" s="25"/>
      <c r="S118" s="25"/>
      <c r="T118" s="25"/>
      <c r="U118" s="25"/>
      <c r="V118" s="53">
        <f>-V100-SUM(V102:V117)</f>
        <v>-4235</v>
      </c>
      <c r="W118" s="25"/>
      <c r="X118" s="5"/>
    </row>
    <row r="119" spans="1:24" ht="15.6" x14ac:dyDescent="0.3">
      <c r="A119" s="24"/>
      <c r="B119" s="118" t="s">
        <v>38</v>
      </c>
      <c r="C119" s="25"/>
      <c r="D119" s="25"/>
      <c r="E119" s="25"/>
      <c r="F119" s="25"/>
      <c r="G119" s="25"/>
      <c r="H119" s="25"/>
      <c r="I119" s="25"/>
      <c r="J119" s="25"/>
      <c r="K119" s="25"/>
      <c r="L119" s="25"/>
      <c r="M119" s="25"/>
      <c r="N119" s="25"/>
      <c r="O119" s="25"/>
      <c r="P119" s="25"/>
      <c r="Q119" s="25"/>
      <c r="R119" s="25"/>
      <c r="S119" s="25"/>
      <c r="T119" s="25"/>
      <c r="U119" s="25"/>
      <c r="V119" s="59"/>
      <c r="W119" s="25"/>
      <c r="X119" s="5"/>
    </row>
    <row r="120" spans="1:24" ht="15.6" x14ac:dyDescent="0.3">
      <c r="A120" s="24"/>
      <c r="B120" s="25" t="s">
        <v>179</v>
      </c>
      <c r="C120" s="25"/>
      <c r="D120" s="25"/>
      <c r="E120" s="25"/>
      <c r="F120" s="25"/>
      <c r="G120" s="25"/>
      <c r="H120" s="25"/>
      <c r="I120" s="25"/>
      <c r="J120" s="25"/>
      <c r="K120" s="25"/>
      <c r="L120" s="25"/>
      <c r="M120" s="25"/>
      <c r="N120" s="25"/>
      <c r="O120" s="25"/>
      <c r="P120" s="25"/>
      <c r="Q120" s="25"/>
      <c r="R120" s="25"/>
      <c r="S120" s="25"/>
      <c r="T120" s="34">
        <f>-T179</f>
        <v>-1099</v>
      </c>
      <c r="U120" s="34"/>
      <c r="V120" s="53"/>
      <c r="W120" s="25"/>
      <c r="X120" s="5"/>
    </row>
    <row r="121" spans="1:24" ht="15.6" x14ac:dyDescent="0.3">
      <c r="A121" s="24"/>
      <c r="B121" s="25" t="s">
        <v>180</v>
      </c>
      <c r="C121" s="25"/>
      <c r="D121" s="25"/>
      <c r="E121" s="25"/>
      <c r="F121" s="25"/>
      <c r="G121" s="25"/>
      <c r="H121" s="25"/>
      <c r="I121" s="25"/>
      <c r="J121" s="25"/>
      <c r="K121" s="25"/>
      <c r="L121" s="25"/>
      <c r="M121" s="25"/>
      <c r="N121" s="25"/>
      <c r="O121" s="25"/>
      <c r="P121" s="25"/>
      <c r="Q121" s="25"/>
      <c r="R121" s="25"/>
      <c r="S121" s="25"/>
      <c r="T121" s="34">
        <v>-71</v>
      </c>
      <c r="U121" s="34"/>
      <c r="V121" s="53"/>
      <c r="W121" s="25"/>
      <c r="X121" s="5"/>
    </row>
    <row r="122" spans="1:24" ht="15.6" x14ac:dyDescent="0.3">
      <c r="A122" s="24"/>
      <c r="B122" s="25" t="s">
        <v>39</v>
      </c>
      <c r="C122" s="25"/>
      <c r="D122" s="25"/>
      <c r="E122" s="25"/>
      <c r="F122" s="25"/>
      <c r="G122" s="25"/>
      <c r="H122" s="25"/>
      <c r="I122" s="25"/>
      <c r="J122" s="25"/>
      <c r="K122" s="25"/>
      <c r="L122" s="25"/>
      <c r="M122" s="25"/>
      <c r="N122" s="25"/>
      <c r="O122" s="25"/>
      <c r="P122" s="25"/>
      <c r="Q122" s="25"/>
      <c r="R122" s="25"/>
      <c r="S122" s="25"/>
      <c r="T122" s="34">
        <f>-S179</f>
        <v>-6375</v>
      </c>
      <c r="U122" s="34"/>
      <c r="V122" s="53"/>
      <c r="W122" s="25"/>
      <c r="X122" s="5"/>
    </row>
    <row r="123" spans="1:24" ht="15.6" x14ac:dyDescent="0.3">
      <c r="A123" s="24"/>
      <c r="B123" s="25" t="s">
        <v>203</v>
      </c>
      <c r="C123" s="25"/>
      <c r="D123" s="25"/>
      <c r="E123" s="25"/>
      <c r="F123" s="25"/>
      <c r="G123" s="25"/>
      <c r="H123" s="25"/>
      <c r="I123" s="25"/>
      <c r="J123" s="25"/>
      <c r="K123" s="25"/>
      <c r="L123" s="25"/>
      <c r="M123" s="25"/>
      <c r="N123" s="25"/>
      <c r="O123" s="25"/>
      <c r="P123" s="25"/>
      <c r="Q123" s="25"/>
      <c r="R123" s="25"/>
      <c r="S123" s="25"/>
      <c r="T123" s="34">
        <v>-14534</v>
      </c>
      <c r="U123" s="34"/>
      <c r="V123" s="53"/>
      <c r="W123" s="25"/>
      <c r="X123" s="5"/>
    </row>
    <row r="124" spans="1:24" ht="15.6" x14ac:dyDescent="0.3">
      <c r="A124" s="24"/>
      <c r="B124" s="25" t="s">
        <v>201</v>
      </c>
      <c r="C124" s="25"/>
      <c r="D124" s="25"/>
      <c r="E124" s="25"/>
      <c r="F124" s="25"/>
      <c r="G124" s="25"/>
      <c r="H124" s="25"/>
      <c r="I124" s="25"/>
      <c r="J124" s="25"/>
      <c r="K124" s="25"/>
      <c r="L124" s="25"/>
      <c r="M124" s="25"/>
      <c r="N124" s="25"/>
      <c r="O124" s="25"/>
      <c r="P124" s="25"/>
      <c r="Q124" s="25"/>
      <c r="R124" s="25"/>
      <c r="S124" s="25"/>
      <c r="T124" s="34">
        <v>-2585</v>
      </c>
      <c r="U124" s="34"/>
      <c r="V124" s="53"/>
      <c r="W124" s="25"/>
      <c r="X124" s="5"/>
    </row>
    <row r="125" spans="1:24" ht="15.6" x14ac:dyDescent="0.3">
      <c r="A125" s="24"/>
      <c r="B125" s="25" t="s">
        <v>200</v>
      </c>
      <c r="C125" s="25"/>
      <c r="D125" s="25"/>
      <c r="E125" s="25"/>
      <c r="F125" s="25"/>
      <c r="G125" s="25"/>
      <c r="H125" s="25"/>
      <c r="I125" s="25"/>
      <c r="J125" s="25"/>
      <c r="K125" s="25"/>
      <c r="L125" s="25"/>
      <c r="M125" s="25"/>
      <c r="N125" s="25"/>
      <c r="O125" s="25"/>
      <c r="P125" s="25"/>
      <c r="Q125" s="25"/>
      <c r="R125" s="25"/>
      <c r="S125" s="25"/>
      <c r="T125" s="34">
        <v>-3012</v>
      </c>
      <c r="U125" s="34"/>
      <c r="V125" s="53"/>
      <c r="W125" s="25"/>
      <c r="X125" s="5"/>
    </row>
    <row r="126" spans="1:24" ht="15.6" x14ac:dyDescent="0.3">
      <c r="A126" s="24"/>
      <c r="B126" s="25" t="s">
        <v>260</v>
      </c>
      <c r="C126" s="25"/>
      <c r="D126" s="25"/>
      <c r="E126" s="25"/>
      <c r="F126" s="25"/>
      <c r="G126" s="25"/>
      <c r="H126" s="25"/>
      <c r="I126" s="25"/>
      <c r="J126" s="25"/>
      <c r="K126" s="25"/>
      <c r="L126" s="25"/>
      <c r="M126" s="25"/>
      <c r="N126" s="25"/>
      <c r="O126" s="25"/>
      <c r="P126" s="25"/>
      <c r="Q126" s="25"/>
      <c r="R126" s="25"/>
      <c r="S126" s="25"/>
      <c r="T126" s="34">
        <v>-3014</v>
      </c>
      <c r="U126" s="34"/>
      <c r="V126" s="53"/>
      <c r="W126" s="25"/>
      <c r="X126" s="5"/>
    </row>
    <row r="127" spans="1:24" ht="15.6" x14ac:dyDescent="0.3">
      <c r="A127" s="24"/>
      <c r="B127" s="25" t="s">
        <v>195</v>
      </c>
      <c r="C127" s="25"/>
      <c r="D127" s="25"/>
      <c r="E127" s="25"/>
      <c r="F127" s="25"/>
      <c r="G127" s="25"/>
      <c r="H127" s="25"/>
      <c r="I127" s="25"/>
      <c r="J127" s="25"/>
      <c r="K127" s="25"/>
      <c r="L127" s="25"/>
      <c r="M127" s="25"/>
      <c r="N127" s="25"/>
      <c r="O127" s="25"/>
      <c r="P127" s="25"/>
      <c r="Q127" s="25"/>
      <c r="R127" s="25"/>
      <c r="S127" s="25"/>
      <c r="T127" s="34">
        <v>0</v>
      </c>
      <c r="U127" s="34"/>
      <c r="V127" s="53"/>
      <c r="W127" s="25"/>
      <c r="X127" s="5"/>
    </row>
    <row r="128" spans="1:24" ht="15.6" x14ac:dyDescent="0.3">
      <c r="A128" s="24"/>
      <c r="B128" s="25" t="s">
        <v>194</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261</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193</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40</v>
      </c>
      <c r="C131" s="25"/>
      <c r="D131" s="25"/>
      <c r="E131" s="25"/>
      <c r="F131" s="25"/>
      <c r="G131" s="25"/>
      <c r="H131" s="25"/>
      <c r="I131" s="25"/>
      <c r="J131" s="25"/>
      <c r="K131" s="25"/>
      <c r="L131" s="25"/>
      <c r="M131" s="25"/>
      <c r="N131" s="25"/>
      <c r="O131" s="25"/>
      <c r="P131" s="25"/>
      <c r="Q131" s="25"/>
      <c r="R131" s="25"/>
      <c r="S131" s="25"/>
      <c r="T131" s="34">
        <f>SUM(T120:T130)</f>
        <v>-30690</v>
      </c>
      <c r="U131" s="34"/>
      <c r="V131" s="34">
        <f>SUM(V101:V128)</f>
        <v>-25143</v>
      </c>
      <c r="W131" s="25"/>
      <c r="X131" s="5"/>
    </row>
    <row r="132" spans="1:24" ht="15.6" x14ac:dyDescent="0.3">
      <c r="A132" s="24"/>
      <c r="B132" s="25" t="s">
        <v>41</v>
      </c>
      <c r="C132" s="25"/>
      <c r="D132" s="25"/>
      <c r="E132" s="25"/>
      <c r="F132" s="25"/>
      <c r="G132" s="25"/>
      <c r="H132" s="25"/>
      <c r="I132" s="25"/>
      <c r="J132" s="25"/>
      <c r="K132" s="25"/>
      <c r="L132" s="25"/>
      <c r="M132" s="25"/>
      <c r="N132" s="25"/>
      <c r="O132" s="25"/>
      <c r="P132" s="25"/>
      <c r="Q132" s="25"/>
      <c r="R132" s="25"/>
      <c r="S132" s="25"/>
      <c r="T132" s="34">
        <f>T100+T131</f>
        <v>0</v>
      </c>
      <c r="U132" s="34"/>
      <c r="V132" s="34">
        <f>V100+V131</f>
        <v>0</v>
      </c>
      <c r="W132" s="25"/>
      <c r="X132" s="5"/>
    </row>
    <row r="133" spans="1:24" ht="15.6" x14ac:dyDescent="0.3">
      <c r="A133" s="24"/>
      <c r="B133" s="25"/>
      <c r="C133" s="25"/>
      <c r="D133" s="25"/>
      <c r="E133" s="25"/>
      <c r="F133" s="25"/>
      <c r="G133" s="25"/>
      <c r="H133" s="25"/>
      <c r="I133" s="25"/>
      <c r="J133" s="25"/>
      <c r="K133" s="25"/>
      <c r="L133" s="25"/>
      <c r="M133" s="25"/>
      <c r="N133" s="25"/>
      <c r="O133" s="25"/>
      <c r="P133" s="25"/>
      <c r="Q133" s="25"/>
      <c r="R133" s="25"/>
      <c r="S133" s="25"/>
      <c r="T133" s="34"/>
      <c r="U133" s="34"/>
      <c r="V133" s="34"/>
      <c r="W133" s="25"/>
      <c r="X133" s="5"/>
    </row>
    <row r="134" spans="1:24" ht="15.6" x14ac:dyDescent="0.3">
      <c r="A134" s="6"/>
      <c r="B134" s="8"/>
      <c r="C134" s="8"/>
      <c r="D134" s="8"/>
      <c r="E134" s="8"/>
      <c r="F134" s="8"/>
      <c r="G134" s="8"/>
      <c r="H134" s="8"/>
      <c r="I134" s="8"/>
      <c r="J134" s="8"/>
      <c r="K134" s="8"/>
      <c r="L134" s="8"/>
      <c r="M134" s="8"/>
      <c r="N134" s="8"/>
      <c r="O134" s="8"/>
      <c r="P134" s="8"/>
      <c r="Q134" s="8"/>
      <c r="R134" s="8"/>
      <c r="S134" s="8"/>
      <c r="T134" s="8"/>
      <c r="U134" s="8"/>
      <c r="V134" s="52"/>
      <c r="W134" s="8"/>
      <c r="X134" s="5"/>
    </row>
    <row r="135" spans="1:24" ht="18" thickBot="1" x14ac:dyDescent="0.35">
      <c r="A135" s="101"/>
      <c r="B135" s="102" t="str">
        <f>B64</f>
        <v>PM12 INVESTOR REPORT QUARTER ENDING JANUARY 2007</v>
      </c>
      <c r="C135" s="103"/>
      <c r="D135" s="103"/>
      <c r="E135" s="103"/>
      <c r="F135" s="103"/>
      <c r="G135" s="103"/>
      <c r="H135" s="103"/>
      <c r="I135" s="103"/>
      <c r="J135" s="103"/>
      <c r="K135" s="103"/>
      <c r="L135" s="103"/>
      <c r="M135" s="103"/>
      <c r="N135" s="103"/>
      <c r="O135" s="103"/>
      <c r="P135" s="103"/>
      <c r="Q135" s="103"/>
      <c r="R135" s="103"/>
      <c r="S135" s="103"/>
      <c r="T135" s="103"/>
      <c r="U135" s="103"/>
      <c r="V135" s="106"/>
      <c r="W135" s="105"/>
      <c r="X135" s="5"/>
    </row>
    <row r="136" spans="1:24" ht="15.6" x14ac:dyDescent="0.3">
      <c r="A136" s="2"/>
      <c r="B136" s="60" t="s">
        <v>42</v>
      </c>
      <c r="C136" s="4"/>
      <c r="D136" s="4"/>
      <c r="E136" s="4"/>
      <c r="F136" s="4"/>
      <c r="G136" s="4"/>
      <c r="H136" s="4"/>
      <c r="I136" s="4"/>
      <c r="J136" s="4"/>
      <c r="K136" s="4"/>
      <c r="L136" s="4"/>
      <c r="M136" s="4"/>
      <c r="N136" s="4"/>
      <c r="O136" s="4"/>
      <c r="P136" s="4"/>
      <c r="Q136" s="4"/>
      <c r="R136" s="4"/>
      <c r="S136" s="4"/>
      <c r="T136" s="4"/>
      <c r="U136" s="4"/>
      <c r="V136" s="50"/>
      <c r="W136" s="4"/>
      <c r="X136" s="5"/>
    </row>
    <row r="137" spans="1:24" ht="15.6" x14ac:dyDescent="0.3">
      <c r="A137" s="6"/>
      <c r="B137" s="21"/>
      <c r="C137" s="8"/>
      <c r="D137" s="8"/>
      <c r="E137" s="8"/>
      <c r="F137" s="8"/>
      <c r="G137" s="8"/>
      <c r="H137" s="8"/>
      <c r="I137" s="8"/>
      <c r="J137" s="8"/>
      <c r="K137" s="8"/>
      <c r="L137" s="8"/>
      <c r="M137" s="8"/>
      <c r="N137" s="8"/>
      <c r="O137" s="8"/>
      <c r="P137" s="8"/>
      <c r="Q137" s="8"/>
      <c r="R137" s="8"/>
      <c r="S137" s="8"/>
      <c r="T137" s="8"/>
      <c r="U137" s="8"/>
      <c r="V137" s="52"/>
      <c r="W137" s="8"/>
      <c r="X137" s="5"/>
    </row>
    <row r="138" spans="1:24" ht="15.6" x14ac:dyDescent="0.3">
      <c r="A138" s="6"/>
      <c r="B138" s="119" t="s">
        <v>43</v>
      </c>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24"/>
      <c r="B139" s="25" t="s">
        <v>44</v>
      </c>
      <c r="C139" s="25"/>
      <c r="D139" s="25"/>
      <c r="E139" s="25"/>
      <c r="F139" s="25"/>
      <c r="G139" s="25"/>
      <c r="H139" s="25"/>
      <c r="I139" s="25"/>
      <c r="J139" s="25"/>
      <c r="K139" s="25"/>
      <c r="L139" s="25"/>
      <c r="M139" s="25"/>
      <c r="N139" s="25"/>
      <c r="O139" s="25"/>
      <c r="P139" s="25"/>
      <c r="Q139" s="25"/>
      <c r="R139" s="25"/>
      <c r="S139" s="25"/>
      <c r="T139" s="25"/>
      <c r="U139" s="25"/>
      <c r="V139" s="53">
        <f>+V34*0.019</f>
        <v>28503.895</v>
      </c>
      <c r="W139" s="25"/>
      <c r="X139" s="5"/>
    </row>
    <row r="140" spans="1:24" ht="15.6" x14ac:dyDescent="0.3">
      <c r="A140" s="24"/>
      <c r="B140" s="25" t="s">
        <v>45</v>
      </c>
      <c r="C140" s="25"/>
      <c r="D140" s="25"/>
      <c r="E140" s="25"/>
      <c r="F140" s="25"/>
      <c r="G140" s="25"/>
      <c r="H140" s="25"/>
      <c r="I140" s="25"/>
      <c r="J140" s="25"/>
      <c r="K140" s="25"/>
      <c r="L140" s="25"/>
      <c r="M140" s="25"/>
      <c r="N140" s="25"/>
      <c r="O140" s="25"/>
      <c r="P140" s="25"/>
      <c r="Q140" s="25"/>
      <c r="R140" s="25"/>
      <c r="S140" s="25"/>
      <c r="T140" s="25"/>
      <c r="U140" s="25"/>
      <c r="V140" s="53">
        <v>28504</v>
      </c>
      <c r="W140" s="25"/>
      <c r="X140" s="5"/>
    </row>
    <row r="141" spans="1:24" ht="15.6" x14ac:dyDescent="0.3">
      <c r="A141" s="24"/>
      <c r="B141" s="25" t="s">
        <v>141</v>
      </c>
      <c r="C141" s="25"/>
      <c r="D141" s="25"/>
      <c r="E141" s="25"/>
      <c r="F141" s="25"/>
      <c r="G141" s="25"/>
      <c r="H141" s="25"/>
      <c r="I141" s="25"/>
      <c r="J141" s="25"/>
      <c r="K141" s="25"/>
      <c r="L141" s="25"/>
      <c r="M141" s="25"/>
      <c r="N141" s="25"/>
      <c r="O141" s="25"/>
      <c r="P141" s="25"/>
      <c r="Q141" s="25"/>
      <c r="R141" s="25"/>
      <c r="S141" s="25"/>
      <c r="T141" s="25"/>
      <c r="U141" s="25"/>
      <c r="V141" s="53">
        <v>0</v>
      </c>
      <c r="W141" s="25"/>
      <c r="X141" s="5"/>
    </row>
    <row r="142" spans="1:24" ht="15.6" x14ac:dyDescent="0.3">
      <c r="A142" s="24"/>
      <c r="B142" s="25" t="s">
        <v>128</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129</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181</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46</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134</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230</v>
      </c>
      <c r="C147" s="25"/>
      <c r="D147" s="25"/>
      <c r="E147" s="25"/>
      <c r="F147" s="25"/>
      <c r="G147" s="25"/>
      <c r="H147" s="25"/>
      <c r="I147" s="25"/>
      <c r="J147" s="25"/>
      <c r="K147" s="25"/>
      <c r="L147" s="25"/>
      <c r="M147" s="25"/>
      <c r="N147" s="25"/>
      <c r="O147" s="25"/>
      <c r="P147" s="25"/>
      <c r="Q147" s="25"/>
      <c r="R147" s="25"/>
      <c r="S147" s="25"/>
      <c r="T147" s="25"/>
      <c r="U147" s="25"/>
      <c r="V147" s="53">
        <v>0</v>
      </c>
      <c r="W147" s="25"/>
      <c r="X147" s="5"/>
      <c r="Y147" s="109"/>
    </row>
    <row r="148" spans="1:25" ht="15.6" x14ac:dyDescent="0.3">
      <c r="A148" s="24"/>
      <c r="B148" s="25" t="s">
        <v>47</v>
      </c>
      <c r="C148" s="25"/>
      <c r="D148" s="25"/>
      <c r="E148" s="25"/>
      <c r="F148" s="25"/>
      <c r="G148" s="25"/>
      <c r="H148" s="25"/>
      <c r="I148" s="25"/>
      <c r="J148" s="25"/>
      <c r="K148" s="25"/>
      <c r="L148" s="25"/>
      <c r="M148" s="25"/>
      <c r="N148" s="25"/>
      <c r="O148" s="25"/>
      <c r="P148" s="25"/>
      <c r="Q148" s="25"/>
      <c r="R148" s="25"/>
      <c r="S148" s="25"/>
      <c r="T148" s="25"/>
      <c r="U148" s="25"/>
      <c r="V148" s="53">
        <f>SUM(V140:V147)</f>
        <v>28504</v>
      </c>
      <c r="W148" s="25"/>
      <c r="X148" s="5"/>
    </row>
    <row r="149" spans="1:25" ht="15.6" x14ac:dyDescent="0.3">
      <c r="A149" s="24"/>
      <c r="B149" s="25"/>
      <c r="C149" s="25"/>
      <c r="D149" s="25"/>
      <c r="E149" s="25"/>
      <c r="F149" s="25"/>
      <c r="G149" s="25"/>
      <c r="H149" s="25"/>
      <c r="I149" s="25"/>
      <c r="J149" s="25"/>
      <c r="K149" s="25"/>
      <c r="L149" s="25"/>
      <c r="M149" s="25"/>
      <c r="N149" s="25"/>
      <c r="O149" s="25"/>
      <c r="P149" s="25"/>
      <c r="Q149" s="25"/>
      <c r="R149" s="25"/>
      <c r="S149" s="25"/>
      <c r="T149" s="25"/>
      <c r="U149" s="25"/>
      <c r="V149" s="53"/>
      <c r="W149" s="25"/>
      <c r="X149" s="5"/>
    </row>
    <row r="150" spans="1:25" ht="15.6" x14ac:dyDescent="0.3">
      <c r="A150" s="24"/>
      <c r="B150" s="138" t="s">
        <v>269</v>
      </c>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25" t="s">
        <v>160</v>
      </c>
      <c r="C151" s="25"/>
      <c r="D151" s="25"/>
      <c r="E151" s="25"/>
      <c r="F151" s="25"/>
      <c r="G151" s="25"/>
      <c r="H151" s="25"/>
      <c r="I151" s="25"/>
      <c r="J151" s="25"/>
      <c r="K151" s="25"/>
      <c r="L151" s="25"/>
      <c r="M151" s="25"/>
      <c r="N151" s="25"/>
      <c r="O151" s="25"/>
      <c r="P151" s="25"/>
      <c r="Q151" s="25"/>
      <c r="R151" s="25"/>
      <c r="S151" s="25"/>
      <c r="T151" s="25"/>
      <c r="U151" s="25"/>
      <c r="V151" s="53">
        <v>0</v>
      </c>
      <c r="W151" s="25"/>
      <c r="X151" s="5"/>
    </row>
    <row r="152" spans="1:25" ht="15.6" x14ac:dyDescent="0.3">
      <c r="A152" s="24"/>
      <c r="B152" s="25" t="s">
        <v>178</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270</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61"/>
      <c r="W155" s="25"/>
      <c r="X155" s="5"/>
    </row>
    <row r="156" spans="1:25" ht="15.6" x14ac:dyDescent="0.3">
      <c r="A156" s="6"/>
      <c r="B156" s="119" t="s">
        <v>24</v>
      </c>
      <c r="C156" s="8"/>
      <c r="D156" s="8"/>
      <c r="E156" s="8"/>
      <c r="F156" s="8"/>
      <c r="G156" s="8"/>
      <c r="H156" s="8"/>
      <c r="I156" s="8"/>
      <c r="J156" s="8"/>
      <c r="K156" s="8"/>
      <c r="L156" s="8"/>
      <c r="M156" s="8"/>
      <c r="N156" s="8"/>
      <c r="O156" s="8"/>
      <c r="P156" s="8"/>
      <c r="Q156" s="8"/>
      <c r="R156" s="8"/>
      <c r="S156" s="8"/>
      <c r="T156" s="8"/>
      <c r="U156" s="8"/>
      <c r="V156" s="52"/>
      <c r="W156" s="8"/>
      <c r="X156" s="5"/>
    </row>
    <row r="157" spans="1:25" ht="15.6" x14ac:dyDescent="0.3">
      <c r="A157" s="24"/>
      <c r="B157" s="25" t="s">
        <v>48</v>
      </c>
      <c r="C157" s="25"/>
      <c r="D157" s="25"/>
      <c r="E157" s="25"/>
      <c r="F157" s="25"/>
      <c r="G157" s="25"/>
      <c r="H157" s="25"/>
      <c r="I157" s="25"/>
      <c r="J157" s="25"/>
      <c r="K157" s="25"/>
      <c r="L157" s="25"/>
      <c r="M157" s="25"/>
      <c r="N157" s="25"/>
      <c r="O157" s="25"/>
      <c r="P157" s="25"/>
      <c r="Q157" s="25"/>
      <c r="R157" s="25"/>
      <c r="S157" s="25"/>
      <c r="T157" s="25"/>
      <c r="U157" s="25"/>
      <c r="V157" s="59" t="s">
        <v>123</v>
      </c>
      <c r="W157" s="25"/>
      <c r="X157" s="5"/>
    </row>
    <row r="158" spans="1:25" ht="15.6" x14ac:dyDescent="0.3">
      <c r="A158" s="24"/>
      <c r="B158" s="25" t="s">
        <v>49</v>
      </c>
      <c r="C158" s="163"/>
      <c r="D158" s="163"/>
      <c r="E158" s="163"/>
      <c r="F158" s="163"/>
      <c r="G158" s="163"/>
      <c r="H158" s="163"/>
      <c r="I158" s="163"/>
      <c r="J158" s="163"/>
      <c r="K158" s="163"/>
      <c r="L158" s="163"/>
      <c r="M158" s="163"/>
      <c r="N158" s="163"/>
      <c r="O158" s="163"/>
      <c r="P158" s="163"/>
      <c r="Q158" s="163"/>
      <c r="R158" s="163"/>
      <c r="S158" s="163"/>
      <c r="T158" s="163"/>
      <c r="U158" s="163"/>
      <c r="V158" s="59" t="s">
        <v>123</v>
      </c>
      <c r="W158" s="25"/>
      <c r="X158" s="5"/>
    </row>
    <row r="159" spans="1:25" ht="15.6" x14ac:dyDescent="0.3">
      <c r="A159" s="24"/>
      <c r="B159" s="25" t="s">
        <v>50</v>
      </c>
      <c r="C159" s="25"/>
      <c r="D159" s="25"/>
      <c r="E159" s="25"/>
      <c r="F159" s="25"/>
      <c r="G159" s="25"/>
      <c r="H159" s="25"/>
      <c r="I159" s="25"/>
      <c r="J159" s="25"/>
      <c r="K159" s="25"/>
      <c r="L159" s="25"/>
      <c r="M159" s="25"/>
      <c r="N159" s="25"/>
      <c r="O159" s="25"/>
      <c r="P159" s="25"/>
      <c r="Q159" s="25"/>
      <c r="R159" s="25"/>
      <c r="S159" s="25"/>
      <c r="T159" s="25"/>
      <c r="U159" s="25"/>
      <c r="V159" s="59" t="s">
        <v>123</v>
      </c>
      <c r="W159" s="25"/>
      <c r="X159" s="5"/>
    </row>
    <row r="160" spans="1:25" ht="15.6" x14ac:dyDescent="0.3">
      <c r="A160" s="24"/>
      <c r="B160" s="25" t="s">
        <v>51</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c r="C161" s="25"/>
      <c r="D161" s="25"/>
      <c r="E161" s="25"/>
      <c r="F161" s="25"/>
      <c r="G161" s="25"/>
      <c r="H161" s="25"/>
      <c r="I161" s="25"/>
      <c r="J161" s="25"/>
      <c r="K161" s="25"/>
      <c r="L161" s="25"/>
      <c r="M161" s="25"/>
      <c r="N161" s="25"/>
      <c r="O161" s="25"/>
      <c r="P161" s="25"/>
      <c r="Q161" s="25"/>
      <c r="R161" s="25"/>
      <c r="S161" s="25"/>
      <c r="T161" s="25"/>
      <c r="U161" s="25"/>
      <c r="V161" s="61"/>
      <c r="W161" s="25"/>
      <c r="X161" s="5"/>
    </row>
    <row r="162" spans="1:24" ht="15.6" x14ac:dyDescent="0.3">
      <c r="A162" s="6"/>
      <c r="B162" s="119" t="s">
        <v>52</v>
      </c>
      <c r="C162" s="8"/>
      <c r="D162" s="8"/>
      <c r="E162" s="8"/>
      <c r="F162" s="8"/>
      <c r="G162" s="8"/>
      <c r="H162" s="8"/>
      <c r="I162" s="8"/>
      <c r="J162" s="8"/>
      <c r="K162" s="8"/>
      <c r="L162" s="8"/>
      <c r="M162" s="8"/>
      <c r="N162" s="8"/>
      <c r="O162" s="8"/>
      <c r="P162" s="8"/>
      <c r="Q162" s="8"/>
      <c r="R162" s="8"/>
      <c r="S162" s="8"/>
      <c r="T162" s="8"/>
      <c r="U162" s="8"/>
      <c r="V162" s="63"/>
      <c r="W162" s="8"/>
      <c r="X162" s="5"/>
    </row>
    <row r="163" spans="1:24" ht="15.6" x14ac:dyDescent="0.3">
      <c r="A163" s="24"/>
      <c r="B163" s="25" t="s">
        <v>53</v>
      </c>
      <c r="C163" s="25"/>
      <c r="D163" s="25"/>
      <c r="E163" s="25"/>
      <c r="F163" s="25"/>
      <c r="G163" s="25"/>
      <c r="H163" s="25"/>
      <c r="I163" s="25"/>
      <c r="J163" s="25"/>
      <c r="K163" s="25"/>
      <c r="L163" s="25"/>
      <c r="M163" s="25"/>
      <c r="N163" s="25"/>
      <c r="O163" s="25"/>
      <c r="P163" s="25"/>
      <c r="Q163" s="25"/>
      <c r="R163" s="25"/>
      <c r="S163" s="25"/>
      <c r="T163" s="25"/>
      <c r="U163" s="25"/>
      <c r="V163" s="53">
        <v>0</v>
      </c>
      <c r="W163" s="25"/>
      <c r="X163" s="5"/>
    </row>
    <row r="164" spans="1:24" ht="15.6" x14ac:dyDescent="0.3">
      <c r="A164" s="24"/>
      <c r="B164" s="25" t="s">
        <v>54</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4" ht="15.6" x14ac:dyDescent="0.3">
      <c r="A165" s="24"/>
      <c r="B165" s="25" t="s">
        <v>55</v>
      </c>
      <c r="C165" s="25"/>
      <c r="D165" s="25"/>
      <c r="E165" s="25"/>
      <c r="F165" s="25"/>
      <c r="G165" s="25"/>
      <c r="H165" s="25"/>
      <c r="I165" s="25"/>
      <c r="J165" s="25"/>
      <c r="K165" s="25"/>
      <c r="L165" s="25"/>
      <c r="M165" s="25"/>
      <c r="N165" s="25"/>
      <c r="O165" s="25"/>
      <c r="P165" s="25"/>
      <c r="Q165" s="25"/>
      <c r="R165" s="25"/>
      <c r="S165" s="25"/>
      <c r="T165" s="25"/>
      <c r="U165" s="25"/>
      <c r="V165" s="53">
        <f>V164+V163</f>
        <v>0</v>
      </c>
      <c r="W165" s="25"/>
      <c r="X165" s="5"/>
    </row>
    <row r="166" spans="1:24" ht="15.6" x14ac:dyDescent="0.3">
      <c r="A166" s="24"/>
      <c r="B166" s="25" t="s">
        <v>310</v>
      </c>
      <c r="C166" s="25"/>
      <c r="D166" s="25"/>
      <c r="E166" s="25"/>
      <c r="F166" s="25"/>
      <c r="G166" s="25"/>
      <c r="H166" s="25"/>
      <c r="I166" s="25"/>
      <c r="J166" s="25"/>
      <c r="K166" s="25"/>
      <c r="L166" s="25"/>
      <c r="M166" s="25"/>
      <c r="N166" s="25"/>
      <c r="O166" s="25"/>
      <c r="P166" s="25"/>
      <c r="Q166" s="25"/>
      <c r="R166" s="25"/>
      <c r="S166" s="25"/>
      <c r="T166" s="25"/>
      <c r="U166" s="25"/>
      <c r="V166" s="53">
        <f>V114</f>
        <v>0</v>
      </c>
      <c r="W166" s="25"/>
      <c r="X166" s="5"/>
    </row>
    <row r="167" spans="1:24" ht="15.6" x14ac:dyDescent="0.3">
      <c r="A167" s="24"/>
      <c r="B167" s="25" t="s">
        <v>56</v>
      </c>
      <c r="C167" s="25"/>
      <c r="D167" s="25"/>
      <c r="E167" s="25"/>
      <c r="F167" s="25"/>
      <c r="G167" s="25"/>
      <c r="H167" s="25"/>
      <c r="I167" s="25"/>
      <c r="J167" s="25"/>
      <c r="K167" s="25"/>
      <c r="L167" s="25"/>
      <c r="M167" s="25"/>
      <c r="N167" s="25"/>
      <c r="O167" s="25"/>
      <c r="P167" s="25"/>
      <c r="Q167" s="25"/>
      <c r="R167" s="25"/>
      <c r="S167" s="25"/>
      <c r="T167" s="25"/>
      <c r="U167" s="25"/>
      <c r="V167" s="53">
        <f>V165+V166</f>
        <v>0</v>
      </c>
      <c r="W167" s="25"/>
      <c r="X167" s="5"/>
    </row>
    <row r="168" spans="1:24" ht="16.2" thickBot="1" x14ac:dyDescent="0.35">
      <c r="A168" s="24"/>
      <c r="B168" s="25"/>
      <c r="C168" s="25"/>
      <c r="D168" s="25"/>
      <c r="E168" s="25"/>
      <c r="F168" s="25"/>
      <c r="G168" s="25"/>
      <c r="H168" s="25"/>
      <c r="I168" s="25"/>
      <c r="J168" s="25"/>
      <c r="K168" s="25"/>
      <c r="L168" s="25"/>
      <c r="M168" s="25"/>
      <c r="N168" s="25"/>
      <c r="O168" s="25"/>
      <c r="P168" s="25"/>
      <c r="Q168" s="25"/>
      <c r="R168" s="25"/>
      <c r="S168" s="25"/>
      <c r="T168" s="25"/>
      <c r="U168" s="25"/>
      <c r="V168" s="61"/>
      <c r="W168" s="25"/>
      <c r="X168" s="5"/>
    </row>
    <row r="169" spans="1:24" ht="15.6" x14ac:dyDescent="0.3">
      <c r="A169" s="2"/>
      <c r="B169" s="4"/>
      <c r="C169" s="4"/>
      <c r="D169" s="4"/>
      <c r="E169" s="4"/>
      <c r="F169" s="4"/>
      <c r="G169" s="4"/>
      <c r="H169" s="4"/>
      <c r="I169" s="4"/>
      <c r="J169" s="4"/>
      <c r="K169" s="4"/>
      <c r="L169" s="4"/>
      <c r="M169" s="4"/>
      <c r="N169" s="4"/>
      <c r="O169" s="4"/>
      <c r="P169" s="4"/>
      <c r="Q169" s="4"/>
      <c r="R169" s="4"/>
      <c r="S169" s="4"/>
      <c r="T169" s="4"/>
      <c r="U169" s="4"/>
      <c r="V169" s="50"/>
      <c r="W169" s="4"/>
      <c r="X169" s="5"/>
    </row>
    <row r="170" spans="1:24" ht="15.6" x14ac:dyDescent="0.3">
      <c r="A170" s="6"/>
      <c r="B170" s="119" t="s">
        <v>57</v>
      </c>
      <c r="C170" s="8"/>
      <c r="D170" s="8"/>
      <c r="E170" s="8"/>
      <c r="F170" s="8"/>
      <c r="G170" s="8"/>
      <c r="H170" s="8"/>
      <c r="I170" s="8"/>
      <c r="J170" s="8"/>
      <c r="K170" s="8"/>
      <c r="L170" s="8"/>
      <c r="M170" s="8"/>
      <c r="N170" s="8"/>
      <c r="O170" s="8"/>
      <c r="P170" s="8"/>
      <c r="Q170" s="8"/>
      <c r="R170" s="8"/>
      <c r="S170" s="8"/>
      <c r="T170" s="8"/>
      <c r="U170" s="8"/>
      <c r="V170" s="52"/>
      <c r="W170" s="8"/>
      <c r="X170" s="5"/>
    </row>
    <row r="171" spans="1:24" ht="15.6" x14ac:dyDescent="0.3">
      <c r="A171" s="6"/>
      <c r="B171" s="21"/>
      <c r="C171" s="8"/>
      <c r="D171" s="8"/>
      <c r="E171" s="8"/>
      <c r="F171" s="8"/>
      <c r="G171" s="8"/>
      <c r="H171" s="8"/>
      <c r="I171" s="8"/>
      <c r="J171" s="8"/>
      <c r="K171" s="8"/>
      <c r="L171" s="8"/>
      <c r="M171" s="8"/>
      <c r="N171" s="8"/>
      <c r="O171" s="8"/>
      <c r="P171" s="8"/>
      <c r="Q171" s="8"/>
      <c r="R171" s="8"/>
      <c r="S171" s="8"/>
      <c r="T171" s="8"/>
      <c r="U171" s="8"/>
      <c r="V171" s="52"/>
      <c r="W171" s="8"/>
      <c r="X171" s="5"/>
    </row>
    <row r="172" spans="1:24" ht="15.6" x14ac:dyDescent="0.3">
      <c r="A172" s="24"/>
      <c r="B172" s="25" t="s">
        <v>58</v>
      </c>
      <c r="C172" s="25"/>
      <c r="D172" s="25"/>
      <c r="E172" s="25"/>
      <c r="F172" s="25"/>
      <c r="G172" s="25"/>
      <c r="H172" s="25"/>
      <c r="I172" s="25"/>
      <c r="J172" s="25"/>
      <c r="K172" s="25"/>
      <c r="L172" s="25"/>
      <c r="M172" s="25"/>
      <c r="N172" s="25"/>
      <c r="O172" s="25"/>
      <c r="P172" s="25"/>
      <c r="Q172" s="25"/>
      <c r="R172" s="25"/>
      <c r="S172" s="25"/>
      <c r="T172" s="25"/>
      <c r="U172" s="25"/>
      <c r="V172" s="53">
        <f>V72</f>
        <v>1452056</v>
      </c>
      <c r="W172" s="25"/>
      <c r="X172" s="5"/>
    </row>
    <row r="173" spans="1:24" ht="15.6" x14ac:dyDescent="0.3">
      <c r="A173" s="24"/>
      <c r="B173" s="25" t="s">
        <v>59</v>
      </c>
      <c r="C173" s="25"/>
      <c r="D173" s="25"/>
      <c r="E173" s="25"/>
      <c r="F173" s="25"/>
      <c r="G173" s="25"/>
      <c r="H173" s="25"/>
      <c r="I173" s="25"/>
      <c r="J173" s="25"/>
      <c r="K173" s="25"/>
      <c r="L173" s="25"/>
      <c r="M173" s="25"/>
      <c r="N173" s="25"/>
      <c r="O173" s="25"/>
      <c r="P173" s="25"/>
      <c r="Q173" s="25"/>
      <c r="R173" s="25"/>
      <c r="S173" s="25"/>
      <c r="T173" s="25"/>
      <c r="U173" s="25"/>
      <c r="V173" s="53">
        <f>V85</f>
        <v>1452056</v>
      </c>
      <c r="W173" s="25"/>
      <c r="X173" s="5"/>
    </row>
    <row r="174" spans="1:24" ht="16.2" thickBot="1" x14ac:dyDescent="0.35">
      <c r="A174" s="24"/>
      <c r="B174" s="25"/>
      <c r="C174" s="25"/>
      <c r="D174" s="25"/>
      <c r="E174" s="25"/>
      <c r="F174" s="25"/>
      <c r="G174" s="25"/>
      <c r="H174" s="25"/>
      <c r="I174" s="25"/>
      <c r="J174" s="25"/>
      <c r="K174" s="25"/>
      <c r="L174" s="25"/>
      <c r="M174" s="25"/>
      <c r="N174" s="25"/>
      <c r="O174" s="25"/>
      <c r="P174" s="25"/>
      <c r="Q174" s="25"/>
      <c r="R174" s="25"/>
      <c r="S174" s="25"/>
      <c r="T174" s="25"/>
      <c r="U174" s="25"/>
      <c r="V174" s="61"/>
      <c r="W174" s="25"/>
      <c r="X174" s="5"/>
    </row>
    <row r="175" spans="1:24" ht="15.6" x14ac:dyDescent="0.3">
      <c r="A175" s="2"/>
      <c r="B175" s="4"/>
      <c r="C175" s="4"/>
      <c r="D175" s="4"/>
      <c r="E175" s="4"/>
      <c r="F175" s="4"/>
      <c r="G175" s="4"/>
      <c r="H175" s="4"/>
      <c r="I175" s="4"/>
      <c r="J175" s="4"/>
      <c r="K175" s="4"/>
      <c r="L175" s="4"/>
      <c r="M175" s="4"/>
      <c r="N175" s="4"/>
      <c r="O175" s="4"/>
      <c r="P175" s="4"/>
      <c r="Q175" s="4"/>
      <c r="R175" s="4"/>
      <c r="S175" s="4"/>
      <c r="T175" s="4"/>
      <c r="U175" s="4"/>
      <c r="V175" s="50"/>
      <c r="W175" s="4"/>
      <c r="X175" s="5"/>
    </row>
    <row r="176" spans="1:24" ht="15.6" x14ac:dyDescent="0.3">
      <c r="A176" s="6"/>
      <c r="B176" s="119" t="s">
        <v>60</v>
      </c>
      <c r="C176" s="117"/>
      <c r="D176" s="117"/>
      <c r="E176" s="117"/>
      <c r="F176" s="117"/>
      <c r="G176" s="117"/>
      <c r="H176" s="120"/>
      <c r="I176" s="120"/>
      <c r="J176" s="120"/>
      <c r="K176" s="120"/>
      <c r="L176" s="120"/>
      <c r="M176" s="120"/>
      <c r="N176" s="120"/>
      <c r="O176" s="120"/>
      <c r="P176" s="120"/>
      <c r="Q176" s="120"/>
      <c r="R176" s="120"/>
      <c r="S176" s="120" t="s">
        <v>103</v>
      </c>
      <c r="T176" s="120" t="s">
        <v>182</v>
      </c>
      <c r="U176" s="111"/>
      <c r="V176" s="121" t="s">
        <v>119</v>
      </c>
      <c r="W176" s="10"/>
      <c r="X176" s="5"/>
    </row>
    <row r="177" spans="1:24" ht="15.6" x14ac:dyDescent="0.3">
      <c r="A177" s="24"/>
      <c r="B177" s="25" t="s">
        <v>61</v>
      </c>
      <c r="C177" s="25"/>
      <c r="D177" s="25"/>
      <c r="E177" s="25"/>
      <c r="F177" s="25"/>
      <c r="G177" s="25"/>
      <c r="H177" s="25"/>
      <c r="I177" s="25"/>
      <c r="J177" s="25"/>
      <c r="K177" s="25"/>
      <c r="L177" s="25"/>
      <c r="M177" s="25"/>
      <c r="N177" s="25"/>
      <c r="O177" s="25"/>
      <c r="P177" s="25"/>
      <c r="Q177" s="25"/>
      <c r="R177" s="25"/>
      <c r="S177" s="53">
        <f>+V34*0.16</f>
        <v>240032.80000000002</v>
      </c>
      <c r="T177" s="40"/>
      <c r="U177" s="25"/>
      <c r="V177" s="53"/>
      <c r="W177" s="25"/>
      <c r="X177" s="5"/>
    </row>
    <row r="178" spans="1:24" ht="15.6" x14ac:dyDescent="0.3">
      <c r="A178" s="24"/>
      <c r="B178" s="25" t="s">
        <v>62</v>
      </c>
      <c r="C178" s="25"/>
      <c r="D178" s="25"/>
      <c r="E178" s="25"/>
      <c r="F178" s="25"/>
      <c r="G178" s="25"/>
      <c r="H178" s="25"/>
      <c r="I178" s="25"/>
      <c r="J178" s="25"/>
      <c r="K178" s="25"/>
      <c r="L178" s="25"/>
      <c r="M178" s="25"/>
      <c r="N178" s="25"/>
      <c r="O178" s="25"/>
      <c r="P178" s="25"/>
      <c r="Q178" s="25"/>
      <c r="R178" s="25"/>
      <c r="S178" s="53">
        <f>'Oct 06'!S179</f>
        <v>5154</v>
      </c>
      <c r="T178" s="53">
        <f>'Oct 06'!T179</f>
        <v>3699</v>
      </c>
      <c r="U178" s="25"/>
      <c r="V178" s="53">
        <f>S178+T178</f>
        <v>8853</v>
      </c>
      <c r="W178" s="25"/>
      <c r="X178" s="5"/>
    </row>
    <row r="179" spans="1:24" ht="15.6" x14ac:dyDescent="0.3">
      <c r="A179" s="24"/>
      <c r="B179" s="25" t="s">
        <v>63</v>
      </c>
      <c r="C179" s="25"/>
      <c r="D179" s="25"/>
      <c r="E179" s="25"/>
      <c r="F179" s="25"/>
      <c r="G179" s="25"/>
      <c r="H179" s="25"/>
      <c r="I179" s="25"/>
      <c r="J179" s="25"/>
      <c r="K179" s="25"/>
      <c r="L179" s="25"/>
      <c r="M179" s="25"/>
      <c r="N179" s="25"/>
      <c r="O179" s="25"/>
      <c r="P179" s="25"/>
      <c r="Q179" s="25"/>
      <c r="R179" s="25"/>
      <c r="S179" s="34">
        <v>6375</v>
      </c>
      <c r="T179" s="34">
        <v>1099</v>
      </c>
      <c r="U179" s="25"/>
      <c r="V179" s="53">
        <f>S179+T179</f>
        <v>7474</v>
      </c>
      <c r="W179" s="25"/>
      <c r="X179" s="5"/>
    </row>
    <row r="180" spans="1:24" ht="15.6" x14ac:dyDescent="0.3">
      <c r="A180" s="24"/>
      <c r="B180" s="25" t="s">
        <v>64</v>
      </c>
      <c r="C180" s="25"/>
      <c r="D180" s="25"/>
      <c r="E180" s="25"/>
      <c r="F180" s="25"/>
      <c r="G180" s="25"/>
      <c r="H180" s="25"/>
      <c r="I180" s="25"/>
      <c r="J180" s="25"/>
      <c r="K180" s="25"/>
      <c r="L180" s="25"/>
      <c r="M180" s="25"/>
      <c r="N180" s="25"/>
      <c r="O180" s="25"/>
      <c r="P180" s="25"/>
      <c r="Q180" s="25"/>
      <c r="R180" s="25"/>
      <c r="S180" s="53">
        <f>S178+S179</f>
        <v>11529</v>
      </c>
      <c r="T180" s="53">
        <f>T179+T178</f>
        <v>4798</v>
      </c>
      <c r="U180" s="25"/>
      <c r="V180" s="53">
        <f>S180+T180</f>
        <v>16327</v>
      </c>
      <c r="W180" s="25"/>
      <c r="X180" s="5"/>
    </row>
    <row r="181" spans="1:24" ht="15.6" x14ac:dyDescent="0.3">
      <c r="A181" s="24"/>
      <c r="B181" s="25" t="s">
        <v>65</v>
      </c>
      <c r="C181" s="25"/>
      <c r="D181" s="25"/>
      <c r="E181" s="25"/>
      <c r="F181" s="25"/>
      <c r="G181" s="25"/>
      <c r="H181" s="25"/>
      <c r="I181" s="25"/>
      <c r="J181" s="25"/>
      <c r="K181" s="25"/>
      <c r="L181" s="25"/>
      <c r="M181" s="25"/>
      <c r="N181" s="25"/>
      <c r="O181" s="25"/>
      <c r="P181" s="25"/>
      <c r="Q181" s="25"/>
      <c r="R181" s="25"/>
      <c r="S181" s="53">
        <f>S177-S180-T180</f>
        <v>223705.80000000002</v>
      </c>
      <c r="T181" s="40"/>
      <c r="U181" s="25"/>
      <c r="V181" s="53"/>
      <c r="W181" s="25"/>
      <c r="X181" s="5"/>
    </row>
    <row r="182" spans="1:24" ht="16.2" thickBot="1" x14ac:dyDescent="0.35">
      <c r="A182" s="24"/>
      <c r="B182" s="25"/>
      <c r="C182" s="25"/>
      <c r="D182" s="25"/>
      <c r="E182" s="25"/>
      <c r="F182" s="25"/>
      <c r="G182" s="25"/>
      <c r="H182" s="25"/>
      <c r="I182" s="25"/>
      <c r="J182" s="25"/>
      <c r="K182" s="25"/>
      <c r="L182" s="25"/>
      <c r="M182" s="25"/>
      <c r="N182" s="25"/>
      <c r="O182" s="25"/>
      <c r="P182" s="25"/>
      <c r="Q182" s="25"/>
      <c r="R182" s="25"/>
      <c r="S182" s="25"/>
      <c r="T182" s="25"/>
      <c r="U182" s="25"/>
      <c r="V182" s="61"/>
      <c r="W182" s="25"/>
      <c r="X182" s="5"/>
    </row>
    <row r="183" spans="1:24" ht="15.6" x14ac:dyDescent="0.3">
      <c r="A183" s="2"/>
      <c r="B183" s="4"/>
      <c r="C183" s="4"/>
      <c r="D183" s="4"/>
      <c r="E183" s="4"/>
      <c r="F183" s="4"/>
      <c r="G183" s="4"/>
      <c r="H183" s="4"/>
      <c r="I183" s="4"/>
      <c r="J183" s="4"/>
      <c r="K183" s="4"/>
      <c r="L183" s="4"/>
      <c r="M183" s="4"/>
      <c r="N183" s="4"/>
      <c r="O183" s="4"/>
      <c r="P183" s="4"/>
      <c r="Q183" s="4"/>
      <c r="R183" s="4"/>
      <c r="S183" s="4"/>
      <c r="T183" s="4"/>
      <c r="U183" s="4"/>
      <c r="V183" s="50"/>
      <c r="W183" s="4"/>
      <c r="X183" s="5"/>
    </row>
    <row r="184" spans="1:24" ht="15.6" x14ac:dyDescent="0.3">
      <c r="A184" s="6"/>
      <c r="B184" s="119" t="s">
        <v>66</v>
      </c>
      <c r="C184" s="8"/>
      <c r="D184" s="8"/>
      <c r="E184" s="8"/>
      <c r="F184" s="8"/>
      <c r="G184" s="8"/>
      <c r="H184" s="8"/>
      <c r="I184" s="8"/>
      <c r="J184" s="8"/>
      <c r="K184" s="8"/>
      <c r="L184" s="8"/>
      <c r="M184" s="8"/>
      <c r="N184" s="8"/>
      <c r="O184" s="8"/>
      <c r="P184" s="8"/>
      <c r="Q184" s="8"/>
      <c r="R184" s="8"/>
      <c r="S184" s="8"/>
      <c r="T184" s="8"/>
      <c r="U184" s="8"/>
      <c r="V184" s="65"/>
      <c r="W184" s="8"/>
      <c r="X184" s="5"/>
    </row>
    <row r="185" spans="1:24" ht="15.6" x14ac:dyDescent="0.3">
      <c r="A185" s="24"/>
      <c r="B185" s="25" t="s">
        <v>67</v>
      </c>
      <c r="C185" s="25"/>
      <c r="D185" s="25"/>
      <c r="E185" s="25"/>
      <c r="F185" s="25"/>
      <c r="G185" s="25"/>
      <c r="H185" s="25"/>
      <c r="I185" s="25"/>
      <c r="J185" s="25"/>
      <c r="K185" s="25"/>
      <c r="L185" s="25"/>
      <c r="M185" s="25"/>
      <c r="N185" s="25"/>
      <c r="O185" s="25"/>
      <c r="P185" s="25"/>
      <c r="Q185" s="25"/>
      <c r="R185" s="25"/>
      <c r="S185" s="25"/>
      <c r="T185" s="25"/>
      <c r="U185" s="25"/>
      <c r="V185" s="59">
        <f>(V100+V102+V103+V104+V105)/-(V106+V107)</f>
        <v>1.4516815414622615</v>
      </c>
      <c r="W185" s="25" t="s">
        <v>120</v>
      </c>
      <c r="X185" s="5"/>
    </row>
    <row r="186" spans="1:24" ht="15.6" x14ac:dyDescent="0.3">
      <c r="A186" s="24"/>
      <c r="B186" s="25" t="s">
        <v>68</v>
      </c>
      <c r="C186" s="25"/>
      <c r="D186" s="25"/>
      <c r="E186" s="25"/>
      <c r="F186" s="25"/>
      <c r="G186" s="25"/>
      <c r="H186" s="25"/>
      <c r="I186" s="25"/>
      <c r="J186" s="25"/>
      <c r="K186" s="25"/>
      <c r="L186" s="25"/>
      <c r="M186" s="25"/>
      <c r="N186" s="25"/>
      <c r="O186" s="25"/>
      <c r="P186" s="25"/>
      <c r="Q186" s="25"/>
      <c r="R186" s="25"/>
      <c r="S186" s="25"/>
      <c r="T186" s="25"/>
      <c r="U186" s="25"/>
      <c r="V186" s="66">
        <v>1.37</v>
      </c>
      <c r="W186" s="25" t="s">
        <v>120</v>
      </c>
      <c r="X186" s="5"/>
    </row>
    <row r="187" spans="1:24" ht="15.6" x14ac:dyDescent="0.3">
      <c r="A187" s="24"/>
      <c r="B187" s="25" t="s">
        <v>69</v>
      </c>
      <c r="C187" s="25"/>
      <c r="D187" s="25"/>
      <c r="E187" s="25"/>
      <c r="F187" s="25"/>
      <c r="G187" s="25"/>
      <c r="H187" s="25"/>
      <c r="I187" s="25"/>
      <c r="J187" s="25"/>
      <c r="K187" s="25"/>
      <c r="L187" s="25"/>
      <c r="M187" s="25"/>
      <c r="N187" s="25"/>
      <c r="O187" s="25"/>
      <c r="P187" s="25"/>
      <c r="Q187" s="25"/>
      <c r="R187" s="25"/>
      <c r="S187" s="25"/>
      <c r="T187" s="25"/>
      <c r="U187" s="25"/>
      <c r="V187" s="59">
        <f>(V100+V102+V103+V104+V105+V106+V107)/-(V108+V109)</f>
        <v>4.9494818652849739</v>
      </c>
      <c r="W187" s="25" t="s">
        <v>120</v>
      </c>
      <c r="X187" s="5"/>
    </row>
    <row r="188" spans="1:24" ht="15.6" x14ac:dyDescent="0.3">
      <c r="A188" s="24"/>
      <c r="B188" s="25" t="s">
        <v>70</v>
      </c>
      <c r="C188" s="25"/>
      <c r="D188" s="25"/>
      <c r="E188" s="25"/>
      <c r="F188" s="25"/>
      <c r="G188" s="25"/>
      <c r="H188" s="25"/>
      <c r="I188" s="25"/>
      <c r="J188" s="25"/>
      <c r="K188" s="25"/>
      <c r="L188" s="25"/>
      <c r="M188" s="25"/>
      <c r="N188" s="25"/>
      <c r="O188" s="25"/>
      <c r="P188" s="25"/>
      <c r="Q188" s="25"/>
      <c r="R188" s="25"/>
      <c r="S188" s="25"/>
      <c r="T188" s="25"/>
      <c r="U188" s="25"/>
      <c r="V188" s="66">
        <v>4.12</v>
      </c>
      <c r="W188" s="25" t="s">
        <v>120</v>
      </c>
      <c r="X188" s="5"/>
    </row>
    <row r="189" spans="1:24" ht="15.6" x14ac:dyDescent="0.3">
      <c r="A189" s="24"/>
      <c r="B189" s="25" t="s">
        <v>204</v>
      </c>
      <c r="C189" s="25"/>
      <c r="D189" s="25"/>
      <c r="E189" s="25"/>
      <c r="F189" s="25"/>
      <c r="G189" s="25"/>
      <c r="H189" s="25"/>
      <c r="I189" s="25"/>
      <c r="J189" s="25"/>
      <c r="K189" s="25"/>
      <c r="L189" s="25"/>
      <c r="M189" s="25"/>
      <c r="N189" s="25"/>
      <c r="O189" s="25"/>
      <c r="P189" s="25"/>
      <c r="Q189" s="25"/>
      <c r="R189" s="25"/>
      <c r="S189" s="25"/>
      <c r="T189" s="25"/>
      <c r="U189" s="25"/>
      <c r="V189" s="59">
        <f>(V100+V102+V103+V104+V105+V106+V107+V108+V109)/-(V110+V111)</f>
        <v>4.7052469135802468</v>
      </c>
      <c r="W189" s="25" t="s">
        <v>120</v>
      </c>
      <c r="X189" s="5"/>
    </row>
    <row r="190" spans="1:24" ht="15.6" x14ac:dyDescent="0.3">
      <c r="A190" s="24"/>
      <c r="B190" s="25" t="s">
        <v>205</v>
      </c>
      <c r="C190" s="25"/>
      <c r="D190" s="25"/>
      <c r="E190" s="25"/>
      <c r="F190" s="25"/>
      <c r="G190" s="25"/>
      <c r="H190" s="25"/>
      <c r="I190" s="25"/>
      <c r="J190" s="25"/>
      <c r="K190" s="25"/>
      <c r="L190" s="25"/>
      <c r="M190" s="25"/>
      <c r="N190" s="25"/>
      <c r="O190" s="25"/>
      <c r="P190" s="25"/>
      <c r="Q190" s="25"/>
      <c r="R190" s="25"/>
      <c r="S190" s="25"/>
      <c r="T190" s="25"/>
      <c r="U190" s="25"/>
      <c r="V190" s="66">
        <v>3.71</v>
      </c>
      <c r="W190" s="25" t="s">
        <v>120</v>
      </c>
      <c r="X190" s="5"/>
    </row>
    <row r="191" spans="1:24" ht="15.6" x14ac:dyDescent="0.3">
      <c r="A191" s="24"/>
      <c r="B191" s="25"/>
      <c r="C191" s="25"/>
      <c r="D191" s="25"/>
      <c r="E191" s="25"/>
      <c r="F191" s="25"/>
      <c r="G191" s="25"/>
      <c r="H191" s="25"/>
      <c r="I191" s="25"/>
      <c r="J191" s="25"/>
      <c r="K191" s="25"/>
      <c r="L191" s="25"/>
      <c r="M191" s="25"/>
      <c r="N191" s="25"/>
      <c r="O191" s="25"/>
      <c r="P191" s="25"/>
      <c r="Q191" s="25"/>
      <c r="R191" s="25"/>
      <c r="S191" s="25"/>
      <c r="T191" s="25"/>
      <c r="U191" s="25"/>
      <c r="V191" s="25"/>
      <c r="W191" s="25"/>
      <c r="X191" s="5"/>
    </row>
    <row r="192" spans="1:24"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25"/>
      <c r="W192" s="25"/>
      <c r="X192" s="5"/>
    </row>
    <row r="193" spans="1:24" ht="15.6" x14ac:dyDescent="0.3">
      <c r="A193" s="6"/>
      <c r="B193" s="8"/>
      <c r="C193" s="8"/>
      <c r="D193" s="8"/>
      <c r="E193" s="8"/>
      <c r="F193" s="8"/>
      <c r="G193" s="8"/>
      <c r="H193" s="8"/>
      <c r="I193" s="8"/>
      <c r="J193" s="8"/>
      <c r="K193" s="8"/>
      <c r="L193" s="8"/>
      <c r="M193" s="8"/>
      <c r="N193" s="8"/>
      <c r="O193" s="8"/>
      <c r="P193" s="8"/>
      <c r="Q193" s="8"/>
      <c r="R193" s="8"/>
      <c r="S193" s="8"/>
      <c r="T193" s="8"/>
      <c r="U193" s="8"/>
      <c r="V193" s="8"/>
      <c r="W193" s="8"/>
      <c r="X193" s="5"/>
    </row>
    <row r="194" spans="1:24" ht="18" thickBot="1" x14ac:dyDescent="0.35">
      <c r="A194" s="101"/>
      <c r="B194" s="102" t="str">
        <f>B135</f>
        <v>PM12 INVESTOR REPORT QUARTER ENDING JANUARY 2007</v>
      </c>
      <c r="C194" s="165"/>
      <c r="D194" s="165"/>
      <c r="E194" s="165"/>
      <c r="F194" s="165"/>
      <c r="G194" s="165"/>
      <c r="H194" s="165"/>
      <c r="I194" s="165"/>
      <c r="J194" s="165"/>
      <c r="K194" s="165"/>
      <c r="L194" s="165"/>
      <c r="M194" s="165"/>
      <c r="N194" s="165"/>
      <c r="O194" s="165"/>
      <c r="P194" s="165"/>
      <c r="Q194" s="165"/>
      <c r="R194" s="165"/>
      <c r="S194" s="165"/>
      <c r="T194" s="165"/>
      <c r="U194" s="165"/>
      <c r="V194" s="165"/>
      <c r="W194" s="166"/>
      <c r="X194" s="5"/>
    </row>
    <row r="195" spans="1:24" ht="15.6" x14ac:dyDescent="0.3">
      <c r="A195" s="67"/>
      <c r="B195" s="60" t="s">
        <v>71</v>
      </c>
      <c r="C195" s="68"/>
      <c r="D195" s="68"/>
      <c r="E195" s="68"/>
      <c r="F195" s="68"/>
      <c r="G195" s="69"/>
      <c r="H195" s="69"/>
      <c r="I195" s="69"/>
      <c r="J195" s="69"/>
      <c r="K195" s="69"/>
      <c r="L195" s="69"/>
      <c r="M195" s="69"/>
      <c r="N195" s="69"/>
      <c r="O195" s="69"/>
      <c r="P195" s="69"/>
      <c r="Q195" s="69"/>
      <c r="R195" s="69"/>
      <c r="S195" s="69"/>
      <c r="T195" s="70">
        <v>39113</v>
      </c>
      <c r="U195" s="4"/>
      <c r="V195" s="4"/>
      <c r="W195" s="4"/>
      <c r="X195" s="5"/>
    </row>
    <row r="196" spans="1:24" ht="15.6" x14ac:dyDescent="0.3">
      <c r="A196" s="71"/>
      <c r="B196" s="72"/>
      <c r="C196" s="73"/>
      <c r="D196" s="73"/>
      <c r="E196" s="73"/>
      <c r="F196" s="73"/>
      <c r="G196" s="74"/>
      <c r="H196" s="74"/>
      <c r="I196" s="74"/>
      <c r="J196" s="74"/>
      <c r="K196" s="74"/>
      <c r="L196" s="74"/>
      <c r="M196" s="74"/>
      <c r="N196" s="74"/>
      <c r="O196" s="74"/>
      <c r="P196" s="74"/>
      <c r="Q196" s="74"/>
      <c r="R196" s="74"/>
      <c r="S196" s="74"/>
      <c r="T196" s="74"/>
      <c r="U196" s="8"/>
      <c r="V196" s="8"/>
      <c r="W196" s="8"/>
      <c r="X196" s="5"/>
    </row>
    <row r="197" spans="1:24" ht="15.6" x14ac:dyDescent="0.3">
      <c r="A197" s="75"/>
      <c r="B197" s="76" t="s">
        <v>72</v>
      </c>
      <c r="C197" s="77"/>
      <c r="D197" s="77"/>
      <c r="E197" s="77"/>
      <c r="F197" s="77"/>
      <c r="G197" s="64"/>
      <c r="H197" s="64"/>
      <c r="I197" s="64"/>
      <c r="J197" s="64"/>
      <c r="K197" s="64"/>
      <c r="L197" s="64"/>
      <c r="M197" s="64"/>
      <c r="N197" s="64"/>
      <c r="O197" s="64"/>
      <c r="P197" s="64"/>
      <c r="Q197" s="64"/>
      <c r="R197" s="64"/>
      <c r="S197" s="64"/>
      <c r="T197" s="78">
        <v>5.2060000000000002E-2</v>
      </c>
      <c r="U197" s="25"/>
      <c r="V197" s="25"/>
      <c r="W197" s="25"/>
      <c r="X197" s="5"/>
    </row>
    <row r="198" spans="1:24" ht="15.6" x14ac:dyDescent="0.3">
      <c r="A198" s="75"/>
      <c r="B198" s="76" t="s">
        <v>156</v>
      </c>
      <c r="C198" s="77"/>
      <c r="D198" s="77"/>
      <c r="E198" s="77"/>
      <c r="F198" s="77"/>
      <c r="G198" s="64"/>
      <c r="H198" s="64"/>
      <c r="I198" s="64"/>
      <c r="J198" s="64"/>
      <c r="K198" s="64"/>
      <c r="L198" s="64"/>
      <c r="M198" s="64"/>
      <c r="N198" s="64"/>
      <c r="O198" s="64"/>
      <c r="P198" s="64"/>
      <c r="Q198" s="64"/>
      <c r="R198" s="64"/>
      <c r="S198" s="64"/>
      <c r="T198" s="39">
        <f>'Oct 06'!T197</f>
        <v>4.8538814772447772E-2</v>
      </c>
      <c r="U198" s="25"/>
      <c r="V198" s="25"/>
      <c r="W198" s="25"/>
      <c r="X198" s="5"/>
    </row>
    <row r="199" spans="1:24" ht="15.6" x14ac:dyDescent="0.3">
      <c r="A199" s="75"/>
      <c r="B199" s="76" t="s">
        <v>73</v>
      </c>
      <c r="C199" s="77"/>
      <c r="D199" s="77"/>
      <c r="E199" s="77"/>
      <c r="F199" s="77"/>
      <c r="G199" s="64"/>
      <c r="H199" s="64"/>
      <c r="I199" s="64"/>
      <c r="J199" s="64"/>
      <c r="K199" s="64"/>
      <c r="L199" s="64"/>
      <c r="M199" s="64"/>
      <c r="N199" s="64"/>
      <c r="O199" s="64"/>
      <c r="P199" s="64"/>
      <c r="Q199" s="64"/>
      <c r="R199" s="64"/>
      <c r="S199" s="64"/>
      <c r="T199" s="78">
        <f>T197-T198</f>
        <v>3.5211852275522301E-3</v>
      </c>
      <c r="U199" s="25"/>
      <c r="V199" s="25"/>
      <c r="W199" s="25"/>
      <c r="X199" s="5"/>
    </row>
    <row r="200" spans="1:24" ht="15.6" x14ac:dyDescent="0.3">
      <c r="A200" s="75"/>
      <c r="B200" s="76" t="s">
        <v>74</v>
      </c>
      <c r="C200" s="77"/>
      <c r="D200" s="77"/>
      <c r="E200" s="77"/>
      <c r="F200" s="77"/>
      <c r="G200" s="64"/>
      <c r="H200" s="64"/>
      <c r="I200" s="64"/>
      <c r="J200" s="64"/>
      <c r="K200" s="64"/>
      <c r="L200" s="64"/>
      <c r="M200" s="64"/>
      <c r="N200" s="64"/>
      <c r="O200" s="64"/>
      <c r="P200" s="64"/>
      <c r="Q200" s="64"/>
      <c r="R200" s="64"/>
      <c r="S200" s="64"/>
      <c r="T200" s="78">
        <v>5.2650000000000002E-2</v>
      </c>
      <c r="U200" s="25"/>
      <c r="V200" s="25"/>
      <c r="W200" s="25"/>
      <c r="X200" s="5"/>
    </row>
    <row r="201" spans="1:24" ht="15.6" x14ac:dyDescent="0.3">
      <c r="A201" s="75"/>
      <c r="B201" s="76" t="s">
        <v>225</v>
      </c>
      <c r="C201" s="77"/>
      <c r="D201" s="77"/>
      <c r="E201" s="77"/>
      <c r="F201" s="77"/>
      <c r="G201" s="64"/>
      <c r="H201" s="64"/>
      <c r="I201" s="64"/>
      <c r="J201" s="64"/>
      <c r="K201" s="64"/>
      <c r="L201" s="64"/>
      <c r="M201" s="64"/>
      <c r="N201" s="64"/>
      <c r="O201" s="64"/>
      <c r="P201" s="64"/>
      <c r="Q201" s="64"/>
      <c r="R201" s="64"/>
      <c r="S201" s="64"/>
      <c r="T201" s="78">
        <f>V43</f>
        <v>5.3140707418217463E-2</v>
      </c>
      <c r="U201" s="25"/>
      <c r="V201" s="25"/>
      <c r="W201" s="25"/>
      <c r="X201" s="5"/>
    </row>
    <row r="202" spans="1:24" ht="15.6" x14ac:dyDescent="0.3">
      <c r="A202" s="75"/>
      <c r="B202" s="76" t="s">
        <v>75</v>
      </c>
      <c r="C202" s="77"/>
      <c r="D202" s="77"/>
      <c r="E202" s="77"/>
      <c r="F202" s="77"/>
      <c r="G202" s="64"/>
      <c r="H202" s="64"/>
      <c r="I202" s="64"/>
      <c r="J202" s="64"/>
      <c r="K202" s="64"/>
      <c r="L202" s="64"/>
      <c r="M202" s="64"/>
      <c r="N202" s="64"/>
      <c r="O202" s="64"/>
      <c r="P202" s="64"/>
      <c r="Q202" s="64"/>
      <c r="R202" s="64"/>
      <c r="S202" s="64"/>
      <c r="T202" s="78">
        <f>T200-T201</f>
        <v>-4.9070741821746061E-4</v>
      </c>
      <c r="U202" s="25"/>
      <c r="V202" s="25"/>
      <c r="W202" s="25"/>
      <c r="X202" s="5"/>
    </row>
    <row r="203" spans="1:24" ht="15.6" x14ac:dyDescent="0.3">
      <c r="A203" s="75"/>
      <c r="B203" s="76" t="s">
        <v>271</v>
      </c>
      <c r="C203" s="77"/>
      <c r="D203" s="77"/>
      <c r="E203" s="77"/>
      <c r="F203" s="77"/>
      <c r="G203" s="64"/>
      <c r="H203" s="64"/>
      <c r="I203" s="64"/>
      <c r="J203" s="64"/>
      <c r="K203" s="64"/>
      <c r="L203" s="64"/>
      <c r="M203" s="64"/>
      <c r="N203" s="64"/>
      <c r="O203" s="64"/>
      <c r="P203" s="64"/>
      <c r="Q203" s="64"/>
      <c r="R203" s="64"/>
      <c r="S203" s="64"/>
      <c r="T203" s="78">
        <f>+V100/N72</f>
        <v>1.7043767565391044E-2</v>
      </c>
      <c r="U203" s="25"/>
      <c r="V203" s="25"/>
      <c r="W203" s="25"/>
      <c r="X203" s="5"/>
    </row>
    <row r="204" spans="1:24" ht="15.6" x14ac:dyDescent="0.3">
      <c r="A204" s="75"/>
      <c r="B204" s="76" t="s">
        <v>214</v>
      </c>
      <c r="C204" s="77"/>
      <c r="D204" s="77"/>
      <c r="E204" s="77"/>
      <c r="F204" s="77"/>
      <c r="G204" s="64"/>
      <c r="H204" s="64"/>
      <c r="I204" s="64"/>
      <c r="J204" s="64"/>
      <c r="K204" s="64"/>
      <c r="L204" s="64"/>
      <c r="M204" s="64"/>
      <c r="N204" s="64"/>
      <c r="O204" s="64"/>
      <c r="P204" s="64"/>
      <c r="Q204" s="64"/>
      <c r="R204" s="64"/>
      <c r="S204" s="64"/>
      <c r="T204" s="129">
        <v>50710</v>
      </c>
      <c r="U204" s="25"/>
      <c r="V204" s="25"/>
      <c r="W204" s="25"/>
      <c r="X204" s="5"/>
    </row>
    <row r="205" spans="1:24" ht="15.6" x14ac:dyDescent="0.3">
      <c r="A205" s="75"/>
      <c r="B205" s="76" t="s">
        <v>215</v>
      </c>
      <c r="C205" s="77"/>
      <c r="D205" s="77"/>
      <c r="E205" s="77"/>
      <c r="F205" s="77"/>
      <c r="G205" s="64"/>
      <c r="H205" s="64"/>
      <c r="I205" s="64"/>
      <c r="J205" s="64"/>
      <c r="K205" s="64"/>
      <c r="L205" s="64"/>
      <c r="M205" s="64"/>
      <c r="N205" s="64"/>
      <c r="O205" s="64"/>
      <c r="P205" s="64"/>
      <c r="Q205" s="64"/>
      <c r="R205" s="64"/>
      <c r="S205" s="64"/>
      <c r="T205" s="129">
        <v>50710</v>
      </c>
      <c r="U205" s="25"/>
      <c r="V205" s="25"/>
      <c r="W205" s="25"/>
      <c r="X205" s="5"/>
    </row>
    <row r="206" spans="1:24" ht="15.6" x14ac:dyDescent="0.3">
      <c r="A206" s="75"/>
      <c r="B206" s="76" t="s">
        <v>216</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76</v>
      </c>
      <c r="C207" s="77"/>
      <c r="D207" s="77"/>
      <c r="E207" s="77"/>
      <c r="F207" s="77"/>
      <c r="G207" s="64"/>
      <c r="H207" s="64"/>
      <c r="I207" s="64"/>
      <c r="J207" s="64"/>
      <c r="K207" s="64"/>
      <c r="L207" s="64"/>
      <c r="M207" s="64"/>
      <c r="N207" s="64"/>
      <c r="O207" s="64"/>
      <c r="P207" s="64"/>
      <c r="Q207" s="64"/>
      <c r="R207" s="64"/>
      <c r="S207" s="64"/>
      <c r="T207" s="133">
        <v>21.06</v>
      </c>
      <c r="U207" s="25" t="s">
        <v>115</v>
      </c>
      <c r="V207" s="25"/>
      <c r="W207" s="25"/>
      <c r="X207" s="5"/>
    </row>
    <row r="208" spans="1:24" ht="15.6" x14ac:dyDescent="0.3">
      <c r="A208" s="75"/>
      <c r="B208" s="76" t="s">
        <v>77</v>
      </c>
      <c r="C208" s="77"/>
      <c r="D208" s="77"/>
      <c r="E208" s="77"/>
      <c r="F208" s="77"/>
      <c r="G208" s="64"/>
      <c r="H208" s="64"/>
      <c r="I208" s="64"/>
      <c r="J208" s="64"/>
      <c r="K208" s="64"/>
      <c r="L208" s="64"/>
      <c r="M208" s="64"/>
      <c r="N208" s="64"/>
      <c r="O208" s="64"/>
      <c r="P208" s="64"/>
      <c r="Q208" s="64"/>
      <c r="R208" s="64"/>
      <c r="S208" s="64"/>
      <c r="T208" s="133">
        <v>20.63</v>
      </c>
      <c r="U208" s="25" t="s">
        <v>115</v>
      </c>
      <c r="V208" s="25"/>
      <c r="W208" s="25"/>
      <c r="X208" s="5"/>
    </row>
    <row r="209" spans="1:24" ht="15.6" x14ac:dyDescent="0.3">
      <c r="A209" s="75"/>
      <c r="B209" s="76" t="s">
        <v>78</v>
      </c>
      <c r="C209" s="77"/>
      <c r="D209" s="77"/>
      <c r="E209" s="77"/>
      <c r="F209" s="77"/>
      <c r="G209" s="64"/>
      <c r="H209" s="64"/>
      <c r="I209" s="64"/>
      <c r="J209" s="64"/>
      <c r="K209" s="64"/>
      <c r="L209" s="64"/>
      <c r="M209" s="64"/>
      <c r="N209" s="64"/>
      <c r="O209" s="64"/>
      <c r="P209" s="64"/>
      <c r="Q209" s="64"/>
      <c r="R209" s="64"/>
      <c r="S209" s="64"/>
      <c r="T209" s="78">
        <f>+P69/N69</f>
        <v>2.0879852386317264E-2</v>
      </c>
      <c r="U209" s="25"/>
      <c r="V209" s="25"/>
      <c r="W209" s="25"/>
      <c r="X209" s="5"/>
    </row>
    <row r="210" spans="1:24" ht="15.6" x14ac:dyDescent="0.3">
      <c r="A210" s="75"/>
      <c r="B210" s="76" t="s">
        <v>79</v>
      </c>
      <c r="C210" s="77"/>
      <c r="D210" s="77"/>
      <c r="E210" s="77"/>
      <c r="F210" s="77"/>
      <c r="G210" s="64"/>
      <c r="H210" s="64"/>
      <c r="I210" s="64"/>
      <c r="J210" s="64"/>
      <c r="K210" s="64"/>
      <c r="L210" s="64"/>
      <c r="M210" s="64"/>
      <c r="N210" s="64"/>
      <c r="O210" s="64"/>
      <c r="P210" s="64"/>
      <c r="Q210" s="64"/>
      <c r="R210" s="64"/>
      <c r="S210" s="64"/>
      <c r="T210" s="78">
        <v>7.8899999999999998E-2</v>
      </c>
      <c r="U210" s="25"/>
      <c r="V210" s="25"/>
      <c r="W210" s="25"/>
      <c r="X210" s="5"/>
    </row>
    <row r="211" spans="1:24" ht="15.6" x14ac:dyDescent="0.3">
      <c r="A211" s="75"/>
      <c r="B211" s="76"/>
      <c r="C211" s="76"/>
      <c r="D211" s="76"/>
      <c r="E211" s="76"/>
      <c r="F211" s="76"/>
      <c r="G211" s="25"/>
      <c r="H211" s="25"/>
      <c r="I211" s="25"/>
      <c r="J211" s="25"/>
      <c r="K211" s="25"/>
      <c r="L211" s="25"/>
      <c r="M211" s="25"/>
      <c r="N211" s="25"/>
      <c r="O211" s="25"/>
      <c r="P211" s="25"/>
      <c r="Q211" s="25"/>
      <c r="R211" s="25"/>
      <c r="S211" s="25"/>
      <c r="T211" s="61"/>
      <c r="U211" s="25"/>
      <c r="V211" s="79"/>
      <c r="W211" s="25"/>
      <c r="X211" s="5"/>
    </row>
    <row r="212" spans="1:24" ht="15.6" x14ac:dyDescent="0.3">
      <c r="A212" s="80"/>
      <c r="B212" s="14" t="s">
        <v>80</v>
      </c>
      <c r="C212" s="81"/>
      <c r="D212" s="81"/>
      <c r="E212" s="81"/>
      <c r="F212" s="82"/>
      <c r="G212" s="81"/>
      <c r="H212" s="17"/>
      <c r="I212" s="17"/>
      <c r="J212" s="17"/>
      <c r="K212" s="17"/>
      <c r="L212" s="17"/>
      <c r="M212" s="17"/>
      <c r="N212" s="17"/>
      <c r="O212" s="17"/>
      <c r="P212" s="17"/>
      <c r="Q212" s="17"/>
      <c r="R212" s="17"/>
      <c r="S212" s="17" t="s">
        <v>104</v>
      </c>
      <c r="T212" s="83" t="s">
        <v>111</v>
      </c>
      <c r="U212" s="8"/>
      <c r="V212" s="8"/>
      <c r="W212" s="8"/>
      <c r="X212" s="5"/>
    </row>
    <row r="213" spans="1:24" ht="15.6" x14ac:dyDescent="0.3">
      <c r="A213" s="84"/>
      <c r="B213" s="76" t="s">
        <v>81</v>
      </c>
      <c r="C213" s="54"/>
      <c r="D213" s="54"/>
      <c r="E213" s="54"/>
      <c r="F213" s="25"/>
      <c r="G213" s="25"/>
      <c r="H213" s="30"/>
      <c r="I213" s="30"/>
      <c r="J213" s="30"/>
      <c r="K213" s="30"/>
      <c r="L213" s="30"/>
      <c r="M213" s="30"/>
      <c r="N213" s="30"/>
      <c r="O213" s="30"/>
      <c r="P213" s="30"/>
      <c r="Q213" s="30"/>
      <c r="R213" s="30"/>
      <c r="S213" s="30">
        <v>0</v>
      </c>
      <c r="T213" s="85">
        <v>0</v>
      </c>
      <c r="U213" s="25"/>
      <c r="V213" s="79"/>
      <c r="W213" s="86"/>
      <c r="X213" s="5"/>
    </row>
    <row r="214" spans="1:24" ht="15.6" x14ac:dyDescent="0.3">
      <c r="A214" s="84"/>
      <c r="B214" s="76" t="s">
        <v>150</v>
      </c>
      <c r="C214" s="54"/>
      <c r="D214" s="54"/>
      <c r="E214" s="54"/>
      <c r="F214" s="25"/>
      <c r="G214" s="25"/>
      <c r="H214" s="30"/>
      <c r="I214" s="30"/>
      <c r="J214" s="30"/>
      <c r="K214" s="30"/>
      <c r="L214" s="30"/>
      <c r="M214" s="30"/>
      <c r="N214" s="30"/>
      <c r="O214" s="30"/>
      <c r="P214" s="30"/>
      <c r="Q214" s="30"/>
      <c r="R214" s="30"/>
      <c r="S214" s="152">
        <f>+R254</f>
        <v>10</v>
      </c>
      <c r="T214" s="85">
        <f>+T254</f>
        <v>1959</v>
      </c>
      <c r="U214" s="25"/>
      <c r="V214" s="79"/>
      <c r="W214" s="86"/>
      <c r="X214" s="5"/>
    </row>
    <row r="215" spans="1:24" ht="15.6" x14ac:dyDescent="0.3">
      <c r="A215" s="84"/>
      <c r="B215" s="76" t="s">
        <v>82</v>
      </c>
      <c r="C215" s="54"/>
      <c r="D215" s="54"/>
      <c r="E215" s="54"/>
      <c r="F215" s="25"/>
      <c r="G215" s="25"/>
      <c r="H215" s="30"/>
      <c r="I215" s="30"/>
      <c r="J215" s="30"/>
      <c r="K215" s="30"/>
      <c r="L215" s="30"/>
      <c r="M215" s="30"/>
      <c r="N215" s="30"/>
      <c r="O215" s="30"/>
      <c r="P215" s="30"/>
      <c r="Q215" s="30"/>
      <c r="R215" s="30"/>
      <c r="S215" s="30">
        <v>0</v>
      </c>
      <c r="T215" s="85">
        <v>0</v>
      </c>
      <c r="U215" s="25"/>
      <c r="V215" s="79"/>
      <c r="W215" s="86"/>
      <c r="X215" s="5"/>
    </row>
    <row r="216" spans="1:24" ht="15.6" x14ac:dyDescent="0.3">
      <c r="A216" s="84"/>
      <c r="B216" s="122" t="s">
        <v>83</v>
      </c>
      <c r="C216" s="54"/>
      <c r="D216" s="54"/>
      <c r="E216" s="54"/>
      <c r="F216" s="25"/>
      <c r="G216" s="25"/>
      <c r="H216" s="25"/>
      <c r="I216" s="25"/>
      <c r="J216" s="25"/>
      <c r="K216" s="25"/>
      <c r="L216" s="25"/>
      <c r="M216" s="25"/>
      <c r="N216" s="25"/>
      <c r="O216" s="25"/>
      <c r="P216" s="25"/>
      <c r="Q216" s="25"/>
      <c r="R216" s="25"/>
      <c r="S216" s="25"/>
      <c r="T216" s="85">
        <v>0</v>
      </c>
      <c r="U216" s="25"/>
      <c r="V216" s="79"/>
      <c r="W216" s="86"/>
      <c r="X216" s="5"/>
    </row>
    <row r="217" spans="1:24" ht="15.6" x14ac:dyDescent="0.3">
      <c r="A217" s="84"/>
      <c r="B217" s="122" t="s">
        <v>84</v>
      </c>
      <c r="C217" s="54"/>
      <c r="D217" s="54"/>
      <c r="E217" s="54"/>
      <c r="F217" s="25"/>
      <c r="G217" s="25"/>
      <c r="H217" s="25"/>
      <c r="I217" s="25"/>
      <c r="J217" s="25"/>
      <c r="K217" s="25"/>
      <c r="L217" s="25"/>
      <c r="M217" s="25"/>
      <c r="N217" s="25"/>
      <c r="O217" s="25"/>
      <c r="P217" s="25"/>
      <c r="Q217" s="25"/>
      <c r="R217" s="25"/>
      <c r="S217" s="25"/>
      <c r="T217" s="62" t="s">
        <v>112</v>
      </c>
      <c r="U217" s="25"/>
      <c r="V217" s="79"/>
      <c r="W217" s="86"/>
      <c r="X217" s="5"/>
    </row>
    <row r="218" spans="1:24" ht="15.6" x14ac:dyDescent="0.3">
      <c r="A218" s="87"/>
      <c r="B218" s="122" t="s">
        <v>85</v>
      </c>
      <c r="C218" s="76"/>
      <c r="D218" s="76"/>
      <c r="E218" s="76"/>
      <c r="F218" s="76"/>
      <c r="G218" s="25"/>
      <c r="H218" s="25"/>
      <c r="I218" s="25"/>
      <c r="J218" s="25"/>
      <c r="K218" s="25"/>
      <c r="L218" s="25"/>
      <c r="M218" s="25"/>
      <c r="N218" s="25"/>
      <c r="O218" s="25"/>
      <c r="P218" s="25"/>
      <c r="Q218" s="25"/>
      <c r="R218" s="25"/>
      <c r="S218" s="25"/>
      <c r="T218" s="85"/>
      <c r="U218" s="25"/>
      <c r="V218" s="79"/>
      <c r="W218" s="88"/>
      <c r="X218" s="5"/>
    </row>
    <row r="219" spans="1:24" ht="15.6" x14ac:dyDescent="0.3">
      <c r="A219" s="87"/>
      <c r="B219" s="131" t="s">
        <v>86</v>
      </c>
      <c r="C219" s="76"/>
      <c r="D219" s="76"/>
      <c r="E219" s="76"/>
      <c r="F219" s="76"/>
      <c r="G219" s="25"/>
      <c r="H219" s="25"/>
      <c r="I219" s="25"/>
      <c r="J219" s="25"/>
      <c r="K219" s="25"/>
      <c r="L219" s="25"/>
      <c r="M219" s="25"/>
      <c r="N219" s="25"/>
      <c r="O219" s="25"/>
      <c r="P219" s="25"/>
      <c r="Q219" s="25"/>
      <c r="R219" s="25"/>
      <c r="S219" s="30">
        <v>0</v>
      </c>
      <c r="T219" s="85">
        <f>V164</f>
        <v>0</v>
      </c>
      <c r="U219" s="25"/>
      <c r="V219" s="79"/>
      <c r="W219" s="88"/>
      <c r="X219" s="5"/>
    </row>
    <row r="220" spans="1:24" ht="15.6" x14ac:dyDescent="0.3">
      <c r="A220" s="84"/>
      <c r="B220" s="76" t="s">
        <v>87</v>
      </c>
      <c r="C220" s="54"/>
      <c r="D220" s="54"/>
      <c r="E220" s="54"/>
      <c r="F220" s="54"/>
      <c r="G220" s="25"/>
      <c r="H220" s="25"/>
      <c r="I220" s="25"/>
      <c r="J220" s="25"/>
      <c r="K220" s="25"/>
      <c r="L220" s="25"/>
      <c r="M220" s="25"/>
      <c r="N220" s="25"/>
      <c r="O220" s="25"/>
      <c r="P220" s="25"/>
      <c r="Q220" s="25"/>
      <c r="R220" s="25"/>
      <c r="S220" s="30">
        <f>'Oct 06'!S219+'Jan 07'!S219</f>
        <v>0</v>
      </c>
      <c r="T220" s="85">
        <f>'Oct 06'!T219+'Jan 07'!T219</f>
        <v>0</v>
      </c>
      <c r="U220" s="25"/>
      <c r="V220" s="79"/>
      <c r="W220" s="88"/>
      <c r="X220" s="5"/>
    </row>
    <row r="221" spans="1:24" ht="15.6" x14ac:dyDescent="0.3">
      <c r="A221" s="87"/>
      <c r="B221" s="122" t="s">
        <v>292</v>
      </c>
      <c r="C221" s="76"/>
      <c r="D221" s="76"/>
      <c r="E221" s="76"/>
      <c r="F221" s="76"/>
      <c r="G221" s="25"/>
      <c r="H221" s="25"/>
      <c r="I221" s="25"/>
      <c r="J221" s="25"/>
      <c r="K221" s="25"/>
      <c r="L221" s="25"/>
      <c r="M221" s="25"/>
      <c r="N221" s="25"/>
      <c r="O221" s="25"/>
      <c r="P221" s="25"/>
      <c r="Q221" s="25"/>
      <c r="R221" s="25"/>
      <c r="S221" s="30"/>
      <c r="T221" s="85"/>
      <c r="U221" s="25"/>
      <c r="V221" s="79"/>
      <c r="W221" s="88"/>
      <c r="X221" s="5"/>
    </row>
    <row r="222" spans="1:24" ht="15.6" x14ac:dyDescent="0.3">
      <c r="A222" s="87"/>
      <c r="B222" s="76" t="s">
        <v>290</v>
      </c>
      <c r="C222" s="76"/>
      <c r="D222" s="76"/>
      <c r="E222" s="76"/>
      <c r="F222" s="76"/>
      <c r="G222" s="25"/>
      <c r="H222" s="25"/>
      <c r="I222" s="25"/>
      <c r="J222" s="25"/>
      <c r="K222" s="25"/>
      <c r="L222" s="25"/>
      <c r="M222" s="25"/>
      <c r="N222" s="25"/>
      <c r="O222" s="25"/>
      <c r="P222" s="25"/>
      <c r="Q222" s="25"/>
      <c r="R222" s="25"/>
      <c r="S222" s="30">
        <v>0</v>
      </c>
      <c r="T222" s="85">
        <v>0</v>
      </c>
      <c r="U222" s="25"/>
      <c r="V222" s="79"/>
      <c r="W222" s="88"/>
      <c r="X222" s="5"/>
    </row>
    <row r="223" spans="1:24" ht="15.6" x14ac:dyDescent="0.3">
      <c r="A223" s="84"/>
      <c r="B223" s="76" t="s">
        <v>88</v>
      </c>
      <c r="C223" s="89"/>
      <c r="D223" s="89"/>
      <c r="E223" s="89"/>
      <c r="F223" s="90"/>
      <c r="G223" s="25"/>
      <c r="H223" s="25"/>
      <c r="I223" s="25"/>
      <c r="J223" s="25"/>
      <c r="K223" s="25"/>
      <c r="L223" s="25"/>
      <c r="M223" s="25"/>
      <c r="N223" s="25"/>
      <c r="O223" s="25"/>
      <c r="P223" s="25"/>
      <c r="Q223" s="25"/>
      <c r="R223" s="25"/>
      <c r="S223" s="25"/>
      <c r="T223" s="62">
        <v>0</v>
      </c>
      <c r="U223" s="25"/>
      <c r="V223" s="79"/>
      <c r="W223" s="88"/>
      <c r="X223" s="5"/>
    </row>
    <row r="224" spans="1:24" ht="15.6" x14ac:dyDescent="0.3">
      <c r="A224" s="84"/>
      <c r="B224" s="76" t="s">
        <v>89</v>
      </c>
      <c r="C224" s="89"/>
      <c r="D224" s="89"/>
      <c r="E224" s="89"/>
      <c r="F224" s="90"/>
      <c r="G224" s="25"/>
      <c r="H224" s="25"/>
      <c r="I224" s="25"/>
      <c r="J224" s="25"/>
      <c r="K224" s="25"/>
      <c r="L224" s="25"/>
      <c r="M224" s="25"/>
      <c r="N224" s="25"/>
      <c r="O224" s="25"/>
      <c r="P224" s="25"/>
      <c r="Q224" s="25"/>
      <c r="R224" s="25"/>
      <c r="S224" s="25"/>
      <c r="T224" s="62">
        <v>0</v>
      </c>
      <c r="U224" s="25"/>
      <c r="V224" s="79"/>
      <c r="W224" s="88"/>
      <c r="X224" s="5"/>
    </row>
    <row r="225" spans="1:25" ht="15.6" x14ac:dyDescent="0.3">
      <c r="A225" s="84"/>
      <c r="B225" s="122" t="s">
        <v>223</v>
      </c>
      <c r="C225" s="89"/>
      <c r="D225" s="89"/>
      <c r="E225" s="89"/>
      <c r="F225" s="90"/>
      <c r="G225" s="25"/>
      <c r="H225" s="25"/>
      <c r="I225" s="25"/>
      <c r="J225" s="25"/>
      <c r="K225" s="25"/>
      <c r="L225" s="25"/>
      <c r="M225" s="25"/>
      <c r="N225" s="25"/>
      <c r="O225" s="25"/>
      <c r="P225" s="25"/>
      <c r="Q225" s="25"/>
      <c r="R225" s="25"/>
      <c r="S225" s="25"/>
      <c r="T225" s="91"/>
      <c r="U225" s="25"/>
      <c r="V225" s="79"/>
      <c r="W225" s="88"/>
      <c r="X225" s="5"/>
    </row>
    <row r="226" spans="1:25" ht="15.6" x14ac:dyDescent="0.3">
      <c r="A226" s="84"/>
      <c r="B226" s="76" t="s">
        <v>290</v>
      </c>
      <c r="C226" s="89"/>
      <c r="D226" s="89"/>
      <c r="E226" s="89"/>
      <c r="F226" s="90"/>
      <c r="G226" s="25"/>
      <c r="H226" s="25"/>
      <c r="I226" s="25"/>
      <c r="J226" s="25"/>
      <c r="K226" s="25"/>
      <c r="L226" s="25"/>
      <c r="M226" s="25"/>
      <c r="N226" s="25"/>
      <c r="O226" s="25"/>
      <c r="P226" s="25"/>
      <c r="Q226" s="25"/>
      <c r="R226" s="25"/>
      <c r="S226" s="30">
        <v>1</v>
      </c>
      <c r="T226" s="85">
        <v>74</v>
      </c>
      <c r="U226" s="25"/>
      <c r="V226" s="79"/>
      <c r="W226" s="88"/>
      <c r="X226" s="5"/>
    </row>
    <row r="227" spans="1:25" ht="15.6" x14ac:dyDescent="0.3">
      <c r="A227" s="84"/>
      <c r="B227" s="76" t="s">
        <v>224</v>
      </c>
      <c r="C227" s="89"/>
      <c r="D227" s="89"/>
      <c r="E227" s="89"/>
      <c r="F227" s="90"/>
      <c r="G227" s="25"/>
      <c r="H227" s="25"/>
      <c r="I227" s="25"/>
      <c r="J227" s="25"/>
      <c r="K227" s="25"/>
      <c r="L227" s="25"/>
      <c r="M227" s="25"/>
      <c r="N227" s="25"/>
      <c r="O227" s="25"/>
      <c r="P227" s="25"/>
      <c r="Q227" s="25"/>
      <c r="R227" s="25"/>
      <c r="S227" s="25"/>
      <c r="T227" s="62">
        <v>2.0499999999999998</v>
      </c>
      <c r="U227" s="25"/>
      <c r="V227" s="79"/>
      <c r="W227" s="88"/>
      <c r="X227" s="5"/>
    </row>
    <row r="228" spans="1:25" ht="15.6" x14ac:dyDescent="0.3">
      <c r="A228" s="84"/>
      <c r="B228" s="76"/>
      <c r="C228" s="89"/>
      <c r="D228" s="89"/>
      <c r="E228" s="89"/>
      <c r="F228" s="90"/>
      <c r="G228" s="25"/>
      <c r="H228" s="25"/>
      <c r="I228" s="25"/>
      <c r="J228" s="25"/>
      <c r="K228" s="25"/>
      <c r="L228" s="25"/>
      <c r="M228" s="25"/>
      <c r="N228" s="25"/>
      <c r="O228" s="25"/>
      <c r="P228" s="25"/>
      <c r="Q228" s="25"/>
      <c r="R228" s="25"/>
      <c r="S228" s="25"/>
      <c r="T228" s="91"/>
      <c r="U228" s="25"/>
      <c r="V228" s="79"/>
      <c r="W228" s="88"/>
      <c r="X228" s="5"/>
    </row>
    <row r="229" spans="1:25" ht="15.6" x14ac:dyDescent="0.3">
      <c r="A229" s="84"/>
      <c r="B229" s="76"/>
      <c r="C229" s="89"/>
      <c r="D229" s="89"/>
      <c r="E229" s="89"/>
      <c r="F229" s="90"/>
      <c r="G229" s="25"/>
      <c r="H229" s="25"/>
      <c r="I229" s="25"/>
      <c r="J229" s="25"/>
      <c r="K229" s="25"/>
      <c r="L229" s="25"/>
      <c r="M229" s="25"/>
      <c r="N229" s="25"/>
      <c r="O229" s="25"/>
      <c r="P229" s="25"/>
      <c r="Q229" s="25"/>
      <c r="R229" s="25"/>
      <c r="S229" s="25"/>
      <c r="T229" s="91"/>
      <c r="U229" s="25"/>
      <c r="V229" s="79"/>
      <c r="W229" s="88"/>
      <c r="X229" s="5"/>
    </row>
    <row r="230" spans="1:25" ht="17.399999999999999" x14ac:dyDescent="0.3">
      <c r="A230" s="84"/>
      <c r="B230" s="149" t="s">
        <v>174</v>
      </c>
      <c r="C230" s="89"/>
      <c r="D230" s="89"/>
      <c r="E230" s="89"/>
      <c r="F230" s="90"/>
      <c r="G230" s="25"/>
      <c r="H230" s="25"/>
      <c r="I230" s="25"/>
      <c r="J230" s="25"/>
      <c r="K230" s="25"/>
      <c r="L230" s="25"/>
      <c r="M230" s="25"/>
      <c r="N230" s="25"/>
      <c r="O230" s="25"/>
      <c r="P230" s="150" t="s">
        <v>173</v>
      </c>
      <c r="Q230" s="25"/>
      <c r="R230" s="25"/>
      <c r="S230" s="25"/>
      <c r="T230" s="91"/>
      <c r="U230" s="25"/>
      <c r="V230" s="79"/>
      <c r="W230" s="88"/>
      <c r="X230" s="5"/>
    </row>
    <row r="231" spans="1:25" ht="15.6" x14ac:dyDescent="0.3">
      <c r="A231" s="84"/>
      <c r="B231" s="76"/>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5.6" x14ac:dyDescent="0.3">
      <c r="A232" s="6"/>
      <c r="B232" s="14" t="s">
        <v>167</v>
      </c>
      <c r="C232" s="81"/>
      <c r="D232" s="81"/>
      <c r="E232" s="81"/>
      <c r="F232" s="82"/>
      <c r="G232" s="81"/>
      <c r="H232" s="17"/>
      <c r="I232" s="17"/>
      <c r="J232" s="17"/>
      <c r="K232" s="17"/>
      <c r="L232" s="17"/>
      <c r="M232" s="17"/>
      <c r="N232" s="17"/>
      <c r="O232" s="17"/>
      <c r="P232" s="17"/>
      <c r="Q232" s="17"/>
      <c r="R232" s="83" t="s">
        <v>104</v>
      </c>
      <c r="S232" s="17" t="s">
        <v>105</v>
      </c>
      <c r="T232" s="83" t="s">
        <v>113</v>
      </c>
      <c r="U232" s="17" t="s">
        <v>105</v>
      </c>
      <c r="V232" s="8"/>
      <c r="W232" s="92"/>
      <c r="X232" s="5"/>
    </row>
    <row r="233" spans="1:25" ht="15.6" x14ac:dyDescent="0.3">
      <c r="A233" s="24"/>
      <c r="B233" s="54" t="s">
        <v>90</v>
      </c>
      <c r="C233" s="93"/>
      <c r="D233" s="93"/>
      <c r="E233" s="93"/>
      <c r="F233" s="25"/>
      <c r="G233" s="93"/>
      <c r="H233" s="93"/>
      <c r="I233" s="93"/>
      <c r="J233" s="93"/>
      <c r="K233" s="93"/>
      <c r="L233" s="93"/>
      <c r="M233" s="93"/>
      <c r="N233" s="93"/>
      <c r="O233" s="93"/>
      <c r="P233" s="93"/>
      <c r="Q233" s="93"/>
      <c r="R233" s="54">
        <v>10935</v>
      </c>
      <c r="S233" s="94">
        <f t="shared" ref="S233:S240" si="1">R233/$R$242</f>
        <v>0.99653695434247702</v>
      </c>
      <c r="T233" s="53">
        <v>1444288</v>
      </c>
      <c r="U233" s="132">
        <f t="shared" ref="U233:U240" si="2">T233/$T$242</f>
        <v>0.99599406108694799</v>
      </c>
      <c r="V233" s="79"/>
      <c r="W233" s="88"/>
      <c r="X233" s="5"/>
    </row>
    <row r="234" spans="1:25" ht="15.6" x14ac:dyDescent="0.3">
      <c r="A234" s="24"/>
      <c r="B234" s="54" t="s">
        <v>91</v>
      </c>
      <c r="C234" s="93"/>
      <c r="D234" s="93"/>
      <c r="E234" s="93"/>
      <c r="F234" s="25"/>
      <c r="G234" s="94"/>
      <c r="H234" s="93"/>
      <c r="I234" s="93"/>
      <c r="J234" s="93"/>
      <c r="K234" s="93"/>
      <c r="L234" s="93"/>
      <c r="M234" s="93"/>
      <c r="N234" s="93"/>
      <c r="O234" s="93"/>
      <c r="P234" s="93"/>
      <c r="Q234" s="93"/>
      <c r="R234" s="54">
        <v>22</v>
      </c>
      <c r="S234" s="94">
        <f t="shared" si="1"/>
        <v>2.004921170144901E-3</v>
      </c>
      <c r="T234" s="53">
        <v>3474</v>
      </c>
      <c r="U234" s="132">
        <f t="shared" si="2"/>
        <v>2.3957018047758185E-3</v>
      </c>
      <c r="V234" s="79"/>
      <c r="W234" s="88"/>
      <c r="X234" s="5"/>
      <c r="Y234" s="109"/>
    </row>
    <row r="235" spans="1:25" ht="15.6" x14ac:dyDescent="0.3">
      <c r="A235" s="24"/>
      <c r="B235" s="54" t="s">
        <v>92</v>
      </c>
      <c r="C235" s="93"/>
      <c r="D235" s="93"/>
      <c r="E235" s="93"/>
      <c r="F235" s="25"/>
      <c r="G235" s="94"/>
      <c r="H235" s="93"/>
      <c r="I235" s="93"/>
      <c r="J235" s="93"/>
      <c r="K235" s="93"/>
      <c r="L235" s="93"/>
      <c r="M235" s="93"/>
      <c r="N235" s="93"/>
      <c r="O235" s="93"/>
      <c r="P235" s="93"/>
      <c r="Q235" s="93"/>
      <c r="R235" s="54">
        <v>12</v>
      </c>
      <c r="S235" s="94">
        <f t="shared" si="1"/>
        <v>1.0935933655335825E-3</v>
      </c>
      <c r="T235" s="53">
        <v>1391</v>
      </c>
      <c r="U235" s="132">
        <f t="shared" si="2"/>
        <v>9.5924617456625313E-4</v>
      </c>
      <c r="V235" s="79"/>
      <c r="W235" s="88"/>
      <c r="X235" s="5"/>
    </row>
    <row r="236" spans="1:25" ht="15.6" x14ac:dyDescent="0.3">
      <c r="A236" s="24"/>
      <c r="B236" s="54" t="s">
        <v>161</v>
      </c>
      <c r="C236" s="93"/>
      <c r="D236" s="93"/>
      <c r="E236" s="93"/>
      <c r="F236" s="25"/>
      <c r="G236" s="94"/>
      <c r="H236" s="93"/>
      <c r="I236" s="93"/>
      <c r="J236" s="93"/>
      <c r="K236" s="93"/>
      <c r="L236" s="93"/>
      <c r="M236" s="93"/>
      <c r="N236" s="93"/>
      <c r="O236" s="93"/>
      <c r="P236" s="93"/>
      <c r="Q236" s="93"/>
      <c r="R236" s="54">
        <v>4</v>
      </c>
      <c r="S236" s="94">
        <f t="shared" si="1"/>
        <v>3.6453112184452749E-4</v>
      </c>
      <c r="T236" s="53">
        <v>944</v>
      </c>
      <c r="U236" s="132">
        <f t="shared" si="2"/>
        <v>6.5099093370995186E-4</v>
      </c>
      <c r="V236" s="79"/>
      <c r="W236" s="88"/>
      <c r="X236" s="5"/>
      <c r="Y236" s="109"/>
    </row>
    <row r="237" spans="1:25" ht="15.6" x14ac:dyDescent="0.3">
      <c r="A237" s="24"/>
      <c r="B237" s="54" t="s">
        <v>162</v>
      </c>
      <c r="C237" s="93"/>
      <c r="D237" s="93"/>
      <c r="E237" s="93"/>
      <c r="F237" s="25"/>
      <c r="G237" s="94"/>
      <c r="H237" s="93"/>
      <c r="I237" s="93"/>
      <c r="J237" s="93"/>
      <c r="K237" s="93"/>
      <c r="L237" s="93"/>
      <c r="M237" s="93"/>
      <c r="N237" s="93"/>
      <c r="O237" s="93"/>
      <c r="P237" s="93"/>
      <c r="Q237" s="93"/>
      <c r="R237" s="54">
        <v>0</v>
      </c>
      <c r="S237" s="94">
        <f t="shared" si="1"/>
        <v>0</v>
      </c>
      <c r="T237" s="53">
        <v>0</v>
      </c>
      <c r="U237" s="132">
        <f t="shared" si="2"/>
        <v>0</v>
      </c>
      <c r="V237" s="79"/>
      <c r="W237" s="88"/>
      <c r="X237" s="5"/>
    </row>
    <row r="238" spans="1:25" ht="15.6" x14ac:dyDescent="0.3">
      <c r="A238" s="24"/>
      <c r="B238" s="54" t="s">
        <v>163</v>
      </c>
      <c r="C238" s="93"/>
      <c r="D238" s="93"/>
      <c r="E238" s="93"/>
      <c r="F238" s="25"/>
      <c r="G238" s="94"/>
      <c r="H238" s="93"/>
      <c r="I238" s="93"/>
      <c r="J238" s="93"/>
      <c r="K238" s="93"/>
      <c r="L238" s="93"/>
      <c r="M238" s="93"/>
      <c r="N238" s="93"/>
      <c r="O238" s="93"/>
      <c r="P238" s="93"/>
      <c r="Q238" s="93"/>
      <c r="R238" s="54">
        <v>0</v>
      </c>
      <c r="S238" s="94">
        <f t="shared" si="1"/>
        <v>0</v>
      </c>
      <c r="T238" s="53">
        <v>0</v>
      </c>
      <c r="U238" s="132">
        <f t="shared" si="2"/>
        <v>0</v>
      </c>
      <c r="V238" s="79"/>
      <c r="W238" s="88"/>
      <c r="X238" s="5"/>
      <c r="Y238" s="109"/>
    </row>
    <row r="239" spans="1:25" ht="15.6" x14ac:dyDescent="0.3">
      <c r="A239" s="24"/>
      <c r="B239" s="54" t="s">
        <v>164</v>
      </c>
      <c r="C239" s="93"/>
      <c r="D239" s="93"/>
      <c r="E239" s="93"/>
      <c r="F239" s="25"/>
      <c r="G239" s="94"/>
      <c r="H239" s="93"/>
      <c r="I239" s="93"/>
      <c r="J239" s="93"/>
      <c r="K239" s="93"/>
      <c r="L239" s="93"/>
      <c r="M239" s="93"/>
      <c r="N239" s="93"/>
      <c r="O239" s="93"/>
      <c r="P239" s="93"/>
      <c r="Q239" s="93"/>
      <c r="R239" s="54">
        <v>0</v>
      </c>
      <c r="S239" s="94">
        <f t="shared" si="1"/>
        <v>0</v>
      </c>
      <c r="T239" s="53">
        <v>0</v>
      </c>
      <c r="U239" s="132">
        <f t="shared" si="2"/>
        <v>0</v>
      </c>
      <c r="V239" s="79"/>
      <c r="W239" s="88"/>
      <c r="X239" s="5"/>
    </row>
    <row r="240" spans="1:25" ht="15.6" x14ac:dyDescent="0.3">
      <c r="A240" s="24"/>
      <c r="B240" s="54" t="s">
        <v>165</v>
      </c>
      <c r="C240" s="93"/>
      <c r="D240" s="93"/>
      <c r="E240" s="93"/>
      <c r="F240" s="25"/>
      <c r="G240" s="94"/>
      <c r="H240" s="93"/>
      <c r="I240" s="93"/>
      <c r="J240" s="93"/>
      <c r="K240" s="93"/>
      <c r="L240" s="93"/>
      <c r="M240" s="93"/>
      <c r="N240" s="93"/>
      <c r="O240" s="93"/>
      <c r="P240" s="93"/>
      <c r="Q240" s="93"/>
      <c r="R240" s="54">
        <v>0</v>
      </c>
      <c r="S240" s="94">
        <f t="shared" si="1"/>
        <v>0</v>
      </c>
      <c r="T240" s="53">
        <v>0</v>
      </c>
      <c r="U240" s="132">
        <f t="shared" si="2"/>
        <v>0</v>
      </c>
      <c r="V240" s="79"/>
      <c r="W240" s="88"/>
      <c r="X240" s="5"/>
      <c r="Y240" s="109"/>
    </row>
    <row r="241" spans="1:24" ht="15.6" x14ac:dyDescent="0.3">
      <c r="A241" s="24"/>
      <c r="B241" s="54"/>
      <c r="C241" s="93"/>
      <c r="D241" s="93"/>
      <c r="E241" s="93"/>
      <c r="F241" s="25"/>
      <c r="G241" s="94"/>
      <c r="H241" s="93"/>
      <c r="I241" s="93"/>
      <c r="J241" s="93"/>
      <c r="K241" s="93"/>
      <c r="L241" s="93"/>
      <c r="M241" s="93"/>
      <c r="N241" s="93"/>
      <c r="O241" s="93"/>
      <c r="P241" s="93"/>
      <c r="Q241" s="93"/>
      <c r="R241" s="54"/>
      <c r="S241" s="94"/>
      <c r="T241" s="53"/>
      <c r="U241" s="132"/>
      <c r="V241" s="79"/>
      <c r="W241" s="88"/>
      <c r="X241" s="5"/>
    </row>
    <row r="242" spans="1:24" ht="15.6" x14ac:dyDescent="0.3">
      <c r="A242" s="24"/>
      <c r="B242" s="25"/>
      <c r="C242" s="25"/>
      <c r="D242" s="25"/>
      <c r="E242" s="25"/>
      <c r="F242" s="25"/>
      <c r="G242" s="25"/>
      <c r="H242" s="95"/>
      <c r="I242" s="95"/>
      <c r="J242" s="95"/>
      <c r="K242" s="95"/>
      <c r="L242" s="95"/>
      <c r="M242" s="95"/>
      <c r="N242" s="95"/>
      <c r="O242" s="95"/>
      <c r="P242" s="95"/>
      <c r="Q242" s="95"/>
      <c r="R242" s="34">
        <f>SUM(R233:R241)</f>
        <v>10973</v>
      </c>
      <c r="S242" s="132">
        <f>SUM(S233:S241)</f>
        <v>1</v>
      </c>
      <c r="T242" s="53">
        <f>SUM(T233:T241)</f>
        <v>1450097</v>
      </c>
      <c r="U242" s="132">
        <f>SUM(U233:U241)</f>
        <v>0.99999999999999989</v>
      </c>
      <c r="V242" s="25"/>
      <c r="W242" s="25"/>
      <c r="X242" s="5"/>
    </row>
    <row r="243" spans="1:24" ht="15.6" x14ac:dyDescent="0.3">
      <c r="A243" s="24"/>
      <c r="B243" s="25"/>
      <c r="C243" s="25"/>
      <c r="D243" s="25"/>
      <c r="E243" s="25"/>
      <c r="F243" s="25"/>
      <c r="G243" s="25"/>
      <c r="H243" s="95"/>
      <c r="I243" s="95"/>
      <c r="J243" s="95"/>
      <c r="K243" s="95"/>
      <c r="L243" s="95"/>
      <c r="M243" s="95"/>
      <c r="N243" s="95"/>
      <c r="O243" s="95"/>
      <c r="P243" s="95"/>
      <c r="Q243" s="95"/>
      <c r="R243" s="34"/>
      <c r="S243" s="132"/>
      <c r="T243" s="53"/>
      <c r="U243" s="132"/>
      <c r="V243" s="25"/>
      <c r="W243" s="25"/>
      <c r="X243" s="5"/>
    </row>
    <row r="244" spans="1:24" ht="15.6" x14ac:dyDescent="0.3">
      <c r="A244" s="141"/>
      <c r="B244" s="14" t="s">
        <v>168</v>
      </c>
      <c r="C244" s="81"/>
      <c r="D244" s="81"/>
      <c r="E244" s="81"/>
      <c r="F244" s="82"/>
      <c r="G244" s="81"/>
      <c r="H244" s="17"/>
      <c r="I244" s="17"/>
      <c r="J244" s="17"/>
      <c r="K244" s="17"/>
      <c r="L244" s="17"/>
      <c r="M244" s="17"/>
      <c r="N244" s="17"/>
      <c r="O244" s="17"/>
      <c r="P244" s="17"/>
      <c r="Q244" s="17"/>
      <c r="R244" s="83" t="s">
        <v>104</v>
      </c>
      <c r="S244" s="17" t="s">
        <v>105</v>
      </c>
      <c r="T244" s="83" t="s">
        <v>113</v>
      </c>
      <c r="U244" s="17" t="s">
        <v>105</v>
      </c>
      <c r="V244" s="139"/>
      <c r="W244" s="140"/>
      <c r="X244" s="5"/>
    </row>
    <row r="245" spans="1:24" ht="15.6" x14ac:dyDescent="0.3">
      <c r="A245" s="24"/>
      <c r="B245" s="54" t="s">
        <v>90</v>
      </c>
      <c r="C245" s="93"/>
      <c r="D245" s="93"/>
      <c r="E245" s="93"/>
      <c r="F245" s="25"/>
      <c r="G245" s="93"/>
      <c r="H245" s="93"/>
      <c r="I245" s="93"/>
      <c r="J245" s="93"/>
      <c r="K245" s="93"/>
      <c r="L245" s="93"/>
      <c r="M245" s="93"/>
      <c r="N245" s="93"/>
      <c r="O245" s="93"/>
      <c r="P245" s="93"/>
      <c r="Q245" s="93"/>
      <c r="R245" s="54">
        <v>1</v>
      </c>
      <c r="S245" s="94">
        <f t="shared" ref="S245:S252" si="3">R245/$R$254</f>
        <v>0.1</v>
      </c>
      <c r="T245" s="53">
        <v>296</v>
      </c>
      <c r="U245" s="132">
        <f t="shared" ref="U245:U252" si="4">T245/$T$254</f>
        <v>0.15109749872383868</v>
      </c>
      <c r="V245" s="25"/>
      <c r="W245" s="25"/>
      <c r="X245" s="5"/>
    </row>
    <row r="246" spans="1:24" ht="15.6" x14ac:dyDescent="0.3">
      <c r="A246" s="24"/>
      <c r="B246" s="54" t="s">
        <v>91</v>
      </c>
      <c r="C246" s="93"/>
      <c r="D246" s="93"/>
      <c r="E246" s="93"/>
      <c r="F246" s="25"/>
      <c r="G246" s="94"/>
      <c r="H246" s="93"/>
      <c r="I246" s="93"/>
      <c r="J246" s="93"/>
      <c r="K246" s="93"/>
      <c r="L246" s="93"/>
      <c r="M246" s="93"/>
      <c r="N246" s="93"/>
      <c r="O246" s="93"/>
      <c r="P246" s="93"/>
      <c r="Q246" s="93"/>
      <c r="R246" s="54">
        <v>2</v>
      </c>
      <c r="S246" s="94">
        <f t="shared" si="3"/>
        <v>0.2</v>
      </c>
      <c r="T246" s="53">
        <v>239</v>
      </c>
      <c r="U246" s="132">
        <f t="shared" si="4"/>
        <v>0.12200102092904543</v>
      </c>
      <c r="V246" s="25"/>
      <c r="W246" s="25"/>
      <c r="X246" s="5"/>
    </row>
    <row r="247" spans="1:24" ht="15.6" x14ac:dyDescent="0.3">
      <c r="A247" s="24"/>
      <c r="B247" s="54" t="s">
        <v>92</v>
      </c>
      <c r="C247" s="93"/>
      <c r="D247" s="93"/>
      <c r="E247" s="93"/>
      <c r="F247" s="25"/>
      <c r="G247" s="94"/>
      <c r="H247" s="93"/>
      <c r="I247" s="93"/>
      <c r="J247" s="93"/>
      <c r="K247" s="93"/>
      <c r="L247" s="93"/>
      <c r="M247" s="93"/>
      <c r="N247" s="93"/>
      <c r="O247" s="93"/>
      <c r="P247" s="93"/>
      <c r="Q247" s="93"/>
      <c r="R247" s="54">
        <v>1</v>
      </c>
      <c r="S247" s="94">
        <f t="shared" si="3"/>
        <v>0.1</v>
      </c>
      <c r="T247" s="53">
        <v>111</v>
      </c>
      <c r="U247" s="132">
        <f t="shared" si="4"/>
        <v>5.6661562021439509E-2</v>
      </c>
      <c r="V247" s="25"/>
      <c r="W247" s="25"/>
      <c r="X247" s="5"/>
    </row>
    <row r="248" spans="1:24" ht="15.6" x14ac:dyDescent="0.3">
      <c r="A248" s="24"/>
      <c r="B248" s="54" t="s">
        <v>161</v>
      </c>
      <c r="C248" s="93"/>
      <c r="D248" s="93"/>
      <c r="E248" s="93"/>
      <c r="F248" s="25"/>
      <c r="G248" s="94"/>
      <c r="H248" s="93"/>
      <c r="I248" s="93"/>
      <c r="J248" s="93"/>
      <c r="K248" s="93"/>
      <c r="L248" s="93"/>
      <c r="M248" s="93"/>
      <c r="N248" s="93"/>
      <c r="O248" s="93"/>
      <c r="P248" s="93"/>
      <c r="Q248" s="93"/>
      <c r="R248" s="54">
        <v>0</v>
      </c>
      <c r="S248" s="94">
        <f t="shared" si="3"/>
        <v>0</v>
      </c>
      <c r="T248" s="53">
        <v>0</v>
      </c>
      <c r="U248" s="132">
        <f t="shared" si="4"/>
        <v>0</v>
      </c>
      <c r="V248" s="25"/>
      <c r="W248" s="25"/>
      <c r="X248" s="5"/>
    </row>
    <row r="249" spans="1:24" ht="15.6" x14ac:dyDescent="0.3">
      <c r="A249" s="24"/>
      <c r="B249" s="54" t="s">
        <v>162</v>
      </c>
      <c r="C249" s="93"/>
      <c r="D249" s="93"/>
      <c r="E249" s="93"/>
      <c r="F249" s="25"/>
      <c r="G249" s="94"/>
      <c r="H249" s="93"/>
      <c r="I249" s="93"/>
      <c r="J249" s="93"/>
      <c r="K249" s="93"/>
      <c r="L249" s="93"/>
      <c r="M249" s="93"/>
      <c r="N249" s="93"/>
      <c r="O249" s="93"/>
      <c r="P249" s="93"/>
      <c r="Q249" s="93"/>
      <c r="R249" s="54">
        <v>0</v>
      </c>
      <c r="S249" s="94">
        <f t="shared" si="3"/>
        <v>0</v>
      </c>
      <c r="T249" s="53">
        <v>0</v>
      </c>
      <c r="U249" s="132">
        <f t="shared" si="4"/>
        <v>0</v>
      </c>
      <c r="V249" s="25"/>
      <c r="W249" s="25"/>
      <c r="X249" s="5"/>
    </row>
    <row r="250" spans="1:24" ht="15.6" x14ac:dyDescent="0.3">
      <c r="A250" s="24"/>
      <c r="B250" s="54" t="s">
        <v>163</v>
      </c>
      <c r="C250" s="93"/>
      <c r="D250" s="93"/>
      <c r="E250" s="93"/>
      <c r="F250" s="25"/>
      <c r="G250" s="94"/>
      <c r="H250" s="93"/>
      <c r="I250" s="93"/>
      <c r="J250" s="93"/>
      <c r="K250" s="93"/>
      <c r="L250" s="93"/>
      <c r="M250" s="93"/>
      <c r="N250" s="93"/>
      <c r="O250" s="93"/>
      <c r="P250" s="93"/>
      <c r="Q250" s="93"/>
      <c r="R250" s="54">
        <v>2</v>
      </c>
      <c r="S250" s="94">
        <f t="shared" si="3"/>
        <v>0.2</v>
      </c>
      <c r="T250" s="53">
        <v>274</v>
      </c>
      <c r="U250" s="132">
        <f t="shared" si="4"/>
        <v>0.13986727922409392</v>
      </c>
      <c r="V250" s="25"/>
      <c r="W250" s="25"/>
      <c r="X250" s="5"/>
    </row>
    <row r="251" spans="1:24" ht="15.6" x14ac:dyDescent="0.3">
      <c r="A251" s="24"/>
      <c r="B251" s="54" t="s">
        <v>164</v>
      </c>
      <c r="C251" s="93"/>
      <c r="D251" s="93"/>
      <c r="E251" s="93"/>
      <c r="F251" s="25"/>
      <c r="G251" s="94"/>
      <c r="H251" s="93"/>
      <c r="I251" s="93"/>
      <c r="J251" s="93"/>
      <c r="K251" s="93"/>
      <c r="L251" s="93"/>
      <c r="M251" s="93"/>
      <c r="N251" s="93"/>
      <c r="O251" s="93"/>
      <c r="P251" s="93"/>
      <c r="Q251" s="93"/>
      <c r="R251" s="54">
        <v>4</v>
      </c>
      <c r="S251" s="94">
        <f t="shared" si="3"/>
        <v>0.4</v>
      </c>
      <c r="T251" s="53">
        <v>1039</v>
      </c>
      <c r="U251" s="132">
        <f t="shared" si="4"/>
        <v>0.53037263910158239</v>
      </c>
      <c r="V251" s="25"/>
      <c r="W251" s="25"/>
      <c r="X251" s="5"/>
    </row>
    <row r="252" spans="1:24" ht="15.6" x14ac:dyDescent="0.3">
      <c r="A252" s="24"/>
      <c r="B252" s="54" t="s">
        <v>165</v>
      </c>
      <c r="C252" s="93"/>
      <c r="D252" s="93"/>
      <c r="E252" s="93"/>
      <c r="F252" s="25"/>
      <c r="G252" s="94"/>
      <c r="H252" s="93"/>
      <c r="I252" s="93"/>
      <c r="J252" s="93"/>
      <c r="K252" s="93"/>
      <c r="L252" s="93"/>
      <c r="M252" s="93"/>
      <c r="N252" s="93"/>
      <c r="O252" s="93"/>
      <c r="P252" s="93"/>
      <c r="Q252" s="93"/>
      <c r="R252" s="54">
        <v>0</v>
      </c>
      <c r="S252" s="94">
        <f t="shared" si="3"/>
        <v>0</v>
      </c>
      <c r="T252" s="53">
        <v>0</v>
      </c>
      <c r="U252" s="132">
        <f t="shared" si="4"/>
        <v>0</v>
      </c>
      <c r="V252" s="25"/>
      <c r="W252" s="25"/>
      <c r="X252" s="5"/>
    </row>
    <row r="253" spans="1:24" ht="15.6" x14ac:dyDescent="0.3">
      <c r="A253" s="24"/>
      <c r="B253" s="54"/>
      <c r="C253" s="93"/>
      <c r="D253" s="93"/>
      <c r="E253" s="93"/>
      <c r="F253" s="25"/>
      <c r="G253" s="94"/>
      <c r="H253" s="93"/>
      <c r="I253" s="93"/>
      <c r="J253" s="93"/>
      <c r="K253" s="93"/>
      <c r="L253" s="93"/>
      <c r="M253" s="93"/>
      <c r="N253" s="93"/>
      <c r="O253" s="93"/>
      <c r="P253" s="93"/>
      <c r="Q253" s="93"/>
      <c r="R253" s="54"/>
      <c r="S253" s="94"/>
      <c r="T253" s="53"/>
      <c r="U253" s="132"/>
      <c r="V253" s="25"/>
      <c r="W253" s="25"/>
      <c r="X253" s="5"/>
    </row>
    <row r="254" spans="1:24" ht="15.6" x14ac:dyDescent="0.3">
      <c r="A254" s="24"/>
      <c r="B254" s="25"/>
      <c r="C254" s="25"/>
      <c r="D254" s="25"/>
      <c r="E254" s="25"/>
      <c r="F254" s="25"/>
      <c r="G254" s="25"/>
      <c r="H254" s="95"/>
      <c r="I254" s="95"/>
      <c r="J254" s="95"/>
      <c r="K254" s="95"/>
      <c r="L254" s="95"/>
      <c r="M254" s="95"/>
      <c r="N254" s="95"/>
      <c r="O254" s="95"/>
      <c r="P254" s="95"/>
      <c r="Q254" s="95"/>
      <c r="R254" s="34">
        <f>SUM(R245:R253)</f>
        <v>10</v>
      </c>
      <c r="S254" s="132">
        <f>SUM(S245:S253)</f>
        <v>1</v>
      </c>
      <c r="T254" s="53">
        <f>SUM(T245:T253)</f>
        <v>1959</v>
      </c>
      <c r="U254" s="132">
        <f>SUM(U245:U253)</f>
        <v>1</v>
      </c>
      <c r="V254" s="25"/>
      <c r="W254" s="25"/>
      <c r="X254" s="5"/>
    </row>
    <row r="255" spans="1:24" ht="15.6" x14ac:dyDescent="0.3">
      <c r="A255" s="24"/>
      <c r="B255" s="25"/>
      <c r="C255" s="25"/>
      <c r="D255" s="25"/>
      <c r="E255" s="25"/>
      <c r="F255" s="25"/>
      <c r="G255" s="25"/>
      <c r="H255" s="95"/>
      <c r="I255" s="95"/>
      <c r="J255" s="95"/>
      <c r="K255" s="95"/>
      <c r="L255" s="95"/>
      <c r="M255" s="95"/>
      <c r="N255" s="95"/>
      <c r="O255" s="95"/>
      <c r="P255" s="95"/>
      <c r="Q255" s="95"/>
      <c r="R255" s="34"/>
      <c r="S255" s="132"/>
      <c r="T255" s="53"/>
      <c r="U255" s="132"/>
      <c r="V255" s="25"/>
      <c r="W255" s="25"/>
      <c r="X255" s="5"/>
    </row>
    <row r="256" spans="1:24" ht="15.6" x14ac:dyDescent="0.3">
      <c r="A256" s="141"/>
      <c r="B256" s="14" t="s">
        <v>169</v>
      </c>
      <c r="C256" s="139"/>
      <c r="D256" s="139"/>
      <c r="E256" s="139"/>
      <c r="F256" s="139"/>
      <c r="G256" s="139"/>
      <c r="H256" s="145"/>
      <c r="I256" s="145"/>
      <c r="J256" s="145"/>
      <c r="K256" s="145"/>
      <c r="L256" s="145"/>
      <c r="M256" s="145"/>
      <c r="N256" s="145"/>
      <c r="O256" s="145"/>
      <c r="P256" s="145"/>
      <c r="Q256" s="145"/>
      <c r="R256" s="83" t="s">
        <v>104</v>
      </c>
      <c r="S256" s="17" t="s">
        <v>105</v>
      </c>
      <c r="T256" s="83" t="s">
        <v>113</v>
      </c>
      <c r="U256" s="17" t="s">
        <v>105</v>
      </c>
      <c r="V256" s="139"/>
      <c r="W256" s="140"/>
      <c r="X256" s="5"/>
    </row>
    <row r="257" spans="1:24" ht="15.6" x14ac:dyDescent="0.3">
      <c r="A257" s="24"/>
      <c r="B257" s="54" t="s">
        <v>90</v>
      </c>
      <c r="C257" s="25"/>
      <c r="D257" s="25"/>
      <c r="E257" s="25"/>
      <c r="F257" s="25"/>
      <c r="G257" s="25"/>
      <c r="H257" s="95"/>
      <c r="I257" s="95"/>
      <c r="J257" s="95"/>
      <c r="K257" s="95"/>
      <c r="L257" s="95"/>
      <c r="M257" s="95"/>
      <c r="N257" s="95"/>
      <c r="O257" s="95"/>
      <c r="P257" s="95"/>
      <c r="Q257" s="95"/>
      <c r="R257" s="54">
        <v>0</v>
      </c>
      <c r="S257" s="94">
        <v>0</v>
      </c>
      <c r="T257" s="53">
        <v>0</v>
      </c>
      <c r="U257" s="132">
        <v>0</v>
      </c>
      <c r="V257" s="25"/>
      <c r="W257" s="25"/>
      <c r="X257" s="5"/>
    </row>
    <row r="258" spans="1:24" ht="15.6" x14ac:dyDescent="0.3">
      <c r="A258" s="24"/>
      <c r="B258" s="54" t="s">
        <v>91</v>
      </c>
      <c r="C258" s="25"/>
      <c r="D258" s="25"/>
      <c r="E258" s="25"/>
      <c r="F258" s="25"/>
      <c r="G258" s="25"/>
      <c r="H258" s="95"/>
      <c r="I258" s="95"/>
      <c r="J258" s="95"/>
      <c r="K258" s="95"/>
      <c r="L258" s="95"/>
      <c r="M258" s="95"/>
      <c r="N258" s="95"/>
      <c r="O258" s="95"/>
      <c r="P258" s="95"/>
      <c r="Q258" s="95"/>
      <c r="R258" s="54">
        <v>0</v>
      </c>
      <c r="S258" s="94">
        <v>0</v>
      </c>
      <c r="T258" s="53">
        <v>0</v>
      </c>
      <c r="U258" s="132">
        <v>0</v>
      </c>
      <c r="V258" s="25"/>
      <c r="W258" s="25"/>
      <c r="X258" s="5"/>
    </row>
    <row r="259" spans="1:24" ht="15.6" x14ac:dyDescent="0.3">
      <c r="A259" s="24"/>
      <c r="B259" s="54" t="s">
        <v>92</v>
      </c>
      <c r="C259" s="25"/>
      <c r="D259" s="25"/>
      <c r="E259" s="25"/>
      <c r="F259" s="25"/>
      <c r="G259" s="25"/>
      <c r="H259" s="95"/>
      <c r="I259" s="95"/>
      <c r="J259" s="95"/>
      <c r="K259" s="95"/>
      <c r="L259" s="95"/>
      <c r="M259" s="95"/>
      <c r="N259" s="95"/>
      <c r="O259" s="95"/>
      <c r="P259" s="95"/>
      <c r="Q259" s="95"/>
      <c r="R259" s="54">
        <v>0</v>
      </c>
      <c r="S259" s="94">
        <v>0</v>
      </c>
      <c r="T259" s="53">
        <v>0</v>
      </c>
      <c r="U259" s="132">
        <v>0</v>
      </c>
      <c r="V259" s="25"/>
      <c r="W259" s="25"/>
      <c r="X259" s="5"/>
    </row>
    <row r="260" spans="1:24" ht="15.6" x14ac:dyDescent="0.3">
      <c r="A260" s="24"/>
      <c r="B260" s="54" t="s">
        <v>161</v>
      </c>
      <c r="C260" s="25"/>
      <c r="D260" s="25"/>
      <c r="E260" s="25"/>
      <c r="F260" s="25"/>
      <c r="G260" s="25"/>
      <c r="H260" s="95"/>
      <c r="I260" s="95"/>
      <c r="J260" s="95"/>
      <c r="K260" s="95"/>
      <c r="L260" s="95"/>
      <c r="M260" s="95"/>
      <c r="N260" s="95"/>
      <c r="O260" s="95"/>
      <c r="P260" s="95"/>
      <c r="Q260" s="95"/>
      <c r="R260" s="54">
        <v>0</v>
      </c>
      <c r="S260" s="94">
        <v>0</v>
      </c>
      <c r="T260" s="53">
        <v>0</v>
      </c>
      <c r="U260" s="132">
        <v>0</v>
      </c>
      <c r="V260" s="25"/>
      <c r="W260" s="25"/>
      <c r="X260" s="5"/>
    </row>
    <row r="261" spans="1:24" ht="15.6" x14ac:dyDescent="0.3">
      <c r="A261" s="24"/>
      <c r="B261" s="54" t="s">
        <v>162</v>
      </c>
      <c r="C261" s="25"/>
      <c r="D261" s="25"/>
      <c r="E261" s="25"/>
      <c r="F261" s="25"/>
      <c r="G261" s="25"/>
      <c r="H261" s="95"/>
      <c r="I261" s="95"/>
      <c r="J261" s="95"/>
      <c r="K261" s="95"/>
      <c r="L261" s="95"/>
      <c r="M261" s="95"/>
      <c r="N261" s="95"/>
      <c r="O261" s="95"/>
      <c r="P261" s="95"/>
      <c r="Q261" s="95"/>
      <c r="R261" s="54">
        <v>0</v>
      </c>
      <c r="S261" s="94">
        <v>0</v>
      </c>
      <c r="T261" s="53">
        <v>0</v>
      </c>
      <c r="U261" s="132">
        <v>0</v>
      </c>
      <c r="V261" s="25"/>
      <c r="W261" s="25"/>
      <c r="X261" s="5"/>
    </row>
    <row r="262" spans="1:24" ht="15.6" x14ac:dyDescent="0.3">
      <c r="A262" s="24"/>
      <c r="B262" s="54" t="s">
        <v>163</v>
      </c>
      <c r="C262" s="25"/>
      <c r="D262" s="25"/>
      <c r="E262" s="25"/>
      <c r="F262" s="25"/>
      <c r="G262" s="25"/>
      <c r="H262" s="95"/>
      <c r="I262" s="95"/>
      <c r="J262" s="95"/>
      <c r="K262" s="95"/>
      <c r="L262" s="95"/>
      <c r="M262" s="95"/>
      <c r="N262" s="95"/>
      <c r="O262" s="95"/>
      <c r="P262" s="95"/>
      <c r="Q262" s="95"/>
      <c r="R262" s="54">
        <v>0</v>
      </c>
      <c r="S262" s="94">
        <v>0</v>
      </c>
      <c r="T262" s="53">
        <v>0</v>
      </c>
      <c r="U262" s="132">
        <v>0</v>
      </c>
      <c r="V262" s="25"/>
      <c r="W262" s="25"/>
      <c r="X262" s="5"/>
    </row>
    <row r="263" spans="1:24" ht="15.6" x14ac:dyDescent="0.3">
      <c r="A263" s="24"/>
      <c r="B263" s="54" t="s">
        <v>164</v>
      </c>
      <c r="C263" s="25"/>
      <c r="D263" s="25"/>
      <c r="E263" s="25"/>
      <c r="F263" s="25"/>
      <c r="G263" s="25"/>
      <c r="H263" s="95"/>
      <c r="I263" s="95"/>
      <c r="J263" s="95"/>
      <c r="K263" s="95"/>
      <c r="L263" s="95"/>
      <c r="M263" s="95"/>
      <c r="N263" s="95"/>
      <c r="O263" s="95"/>
      <c r="P263" s="95"/>
      <c r="Q263" s="95"/>
      <c r="R263" s="54">
        <v>0</v>
      </c>
      <c r="S263" s="94">
        <v>0</v>
      </c>
      <c r="T263" s="53">
        <v>0</v>
      </c>
      <c r="U263" s="132">
        <v>0</v>
      </c>
      <c r="V263" s="25"/>
      <c r="W263" s="25"/>
      <c r="X263" s="5"/>
    </row>
    <row r="264" spans="1:24" ht="15.6" x14ac:dyDescent="0.3">
      <c r="A264" s="24"/>
      <c r="B264" s="54" t="s">
        <v>165</v>
      </c>
      <c r="C264" s="25"/>
      <c r="D264" s="25"/>
      <c r="E264" s="25"/>
      <c r="F264" s="25"/>
      <c r="G264" s="25"/>
      <c r="H264" s="95"/>
      <c r="I264" s="95"/>
      <c r="J264" s="95"/>
      <c r="K264" s="95"/>
      <c r="L264" s="95"/>
      <c r="M264" s="95"/>
      <c r="N264" s="95"/>
      <c r="O264" s="95"/>
      <c r="P264" s="95"/>
      <c r="Q264" s="95"/>
      <c r="R264" s="54">
        <v>0</v>
      </c>
      <c r="S264" s="94">
        <v>0</v>
      </c>
      <c r="T264" s="53">
        <v>0</v>
      </c>
      <c r="U264" s="132">
        <v>0</v>
      </c>
      <c r="V264" s="25"/>
      <c r="W264" s="25"/>
      <c r="X264" s="5"/>
    </row>
    <row r="265" spans="1:24" ht="15.6" x14ac:dyDescent="0.3">
      <c r="A265" s="24"/>
      <c r="B265" s="54"/>
      <c r="C265" s="25"/>
      <c r="D265" s="25"/>
      <c r="E265" s="25"/>
      <c r="F265" s="25"/>
      <c r="G265" s="25"/>
      <c r="H265" s="95"/>
      <c r="I265" s="95"/>
      <c r="J265" s="95"/>
      <c r="K265" s="95"/>
      <c r="L265" s="95"/>
      <c r="M265" s="95"/>
      <c r="N265" s="95"/>
      <c r="O265" s="95"/>
      <c r="P265" s="95"/>
      <c r="Q265" s="95"/>
      <c r="R265" s="54"/>
      <c r="S265" s="94"/>
      <c r="T265" s="53"/>
      <c r="U265" s="132"/>
      <c r="V265" s="25"/>
      <c r="W265" s="25"/>
      <c r="X265" s="5"/>
    </row>
    <row r="266" spans="1:24" ht="15.6" x14ac:dyDescent="0.3">
      <c r="A266" s="24"/>
      <c r="B266" s="25" t="s">
        <v>119</v>
      </c>
      <c r="C266" s="25"/>
      <c r="D266" s="25"/>
      <c r="E266" s="25"/>
      <c r="F266" s="25"/>
      <c r="G266" s="25"/>
      <c r="H266" s="95"/>
      <c r="I266" s="95"/>
      <c r="J266" s="95"/>
      <c r="K266" s="95"/>
      <c r="L266" s="95"/>
      <c r="M266" s="95"/>
      <c r="N266" s="95"/>
      <c r="O266" s="95"/>
      <c r="P266" s="95"/>
      <c r="Q266" s="95"/>
      <c r="R266" s="34">
        <f>SUM(R257:R264)</f>
        <v>0</v>
      </c>
      <c r="S266" s="94">
        <f>SUM(S257:S264)</f>
        <v>0</v>
      </c>
      <c r="T266" s="53">
        <f>SUM(T257:T264)</f>
        <v>0</v>
      </c>
      <c r="U266" s="132">
        <f>SUM(U257:U264)</f>
        <v>0</v>
      </c>
      <c r="V266" s="25"/>
      <c r="W266" s="25"/>
      <c r="X266" s="5"/>
    </row>
    <row r="267" spans="1:24" ht="15.6" x14ac:dyDescent="0.3">
      <c r="A267" s="24"/>
      <c r="B267" s="25"/>
      <c r="C267" s="25"/>
      <c r="D267" s="25"/>
      <c r="E267" s="25"/>
      <c r="F267" s="25"/>
      <c r="G267" s="25"/>
      <c r="H267" s="95"/>
      <c r="I267" s="95"/>
      <c r="J267" s="95"/>
      <c r="K267" s="95"/>
      <c r="L267" s="95"/>
      <c r="M267" s="95"/>
      <c r="N267" s="95"/>
      <c r="O267" s="95"/>
      <c r="P267" s="95"/>
      <c r="Q267" s="95"/>
      <c r="R267" s="34"/>
      <c r="S267" s="132"/>
      <c r="T267" s="53"/>
      <c r="U267" s="132"/>
      <c r="V267" s="25"/>
      <c r="W267" s="25"/>
      <c r="X267" s="5"/>
    </row>
    <row r="268" spans="1:24" ht="15.6" x14ac:dyDescent="0.3">
      <c r="A268" s="24"/>
      <c r="B268" s="142" t="s">
        <v>170</v>
      </c>
      <c r="C268" s="25"/>
      <c r="D268" s="25"/>
      <c r="E268" s="25"/>
      <c r="F268" s="25"/>
      <c r="G268" s="25"/>
      <c r="H268" s="95"/>
      <c r="I268" s="95"/>
      <c r="J268" s="95"/>
      <c r="K268" s="95"/>
      <c r="L268" s="95"/>
      <c r="M268" s="95"/>
      <c r="N268" s="95"/>
      <c r="O268" s="95"/>
      <c r="P268" s="95"/>
      <c r="Q268" s="95"/>
      <c r="R268" s="161">
        <f>R266+R254+R242</f>
        <v>10983</v>
      </c>
      <c r="S268" s="143"/>
      <c r="T268" s="144">
        <f>+T266+T254+T242</f>
        <v>1452056</v>
      </c>
      <c r="U268" s="143"/>
      <c r="V268" s="25"/>
      <c r="W268" s="25"/>
      <c r="X268" s="5"/>
    </row>
    <row r="269" spans="1:24" ht="15.6" x14ac:dyDescent="0.3">
      <c r="A269" s="24"/>
      <c r="B269" s="25"/>
      <c r="C269" s="25"/>
      <c r="D269" s="25"/>
      <c r="E269" s="25"/>
      <c r="F269" s="25"/>
      <c r="G269" s="25"/>
      <c r="H269" s="95"/>
      <c r="I269" s="95"/>
      <c r="J269" s="95"/>
      <c r="K269" s="95"/>
      <c r="L269" s="95"/>
      <c r="M269" s="95"/>
      <c r="N269" s="95"/>
      <c r="O269" s="95"/>
      <c r="P269" s="95"/>
      <c r="Q269" s="95"/>
      <c r="R269" s="95"/>
      <c r="S269" s="95"/>
      <c r="T269" s="53"/>
      <c r="U269" s="95"/>
      <c r="V269" s="25"/>
      <c r="W269" s="25"/>
      <c r="X269" s="5"/>
    </row>
    <row r="270" spans="1:24" ht="15.6" x14ac:dyDescent="0.3">
      <c r="A270" s="6"/>
      <c r="B270" s="8"/>
      <c r="C270" s="8"/>
      <c r="D270" s="8"/>
      <c r="E270" s="8"/>
      <c r="F270" s="8"/>
      <c r="G270" s="8"/>
      <c r="H270" s="96"/>
      <c r="I270" s="96"/>
      <c r="J270" s="96"/>
      <c r="K270" s="96"/>
      <c r="L270" s="96"/>
      <c r="M270" s="96"/>
      <c r="N270" s="96"/>
      <c r="O270" s="96"/>
      <c r="P270" s="96"/>
      <c r="Q270" s="96"/>
      <c r="R270" s="96"/>
      <c r="S270" s="96"/>
      <c r="T270" s="97"/>
      <c r="U270" s="96"/>
      <c r="V270" s="8"/>
      <c r="W270" s="8"/>
      <c r="X270" s="5"/>
    </row>
    <row r="271" spans="1:24" ht="15.6" x14ac:dyDescent="0.3">
      <c r="A271" s="167"/>
      <c r="B271" s="14" t="s">
        <v>93</v>
      </c>
      <c r="C271" s="15"/>
      <c r="D271" s="15"/>
      <c r="E271" s="15"/>
      <c r="F271" s="17" t="s">
        <v>99</v>
      </c>
      <c r="G271" s="15"/>
      <c r="H271" s="14" t="s">
        <v>101</v>
      </c>
      <c r="I271" s="162"/>
      <c r="J271" s="162"/>
      <c r="K271" s="162"/>
      <c r="L271" s="162"/>
      <c r="M271" s="162"/>
      <c r="N271" s="162"/>
      <c r="O271" s="162"/>
      <c r="P271" s="162"/>
      <c r="Q271" s="162"/>
      <c r="R271" s="162"/>
      <c r="S271" s="162"/>
      <c r="T271" s="162"/>
      <c r="U271" s="162"/>
      <c r="V271" s="162"/>
      <c r="W271" s="162"/>
      <c r="X271" s="5"/>
    </row>
    <row r="272" spans="1:24" ht="15.6" x14ac:dyDescent="0.3">
      <c r="A272" s="167"/>
      <c r="B272" s="162"/>
      <c r="C272" s="8"/>
      <c r="D272" s="8"/>
      <c r="E272" s="8"/>
      <c r="F272" s="8"/>
      <c r="G272" s="8"/>
      <c r="H272" s="8"/>
      <c r="I272" s="162"/>
      <c r="J272" s="162"/>
      <c r="K272" s="162"/>
      <c r="L272" s="162"/>
      <c r="M272" s="162"/>
      <c r="N272" s="162"/>
      <c r="O272" s="162"/>
      <c r="P272" s="162"/>
      <c r="Q272" s="162"/>
      <c r="R272" s="162"/>
      <c r="S272" s="162"/>
      <c r="T272" s="162"/>
      <c r="U272" s="162"/>
      <c r="V272" s="162"/>
      <c r="W272" s="162"/>
      <c r="X272" s="5"/>
    </row>
    <row r="273" spans="1:24" ht="15.6" x14ac:dyDescent="0.3">
      <c r="A273" s="167"/>
      <c r="B273" s="13" t="s">
        <v>94</v>
      </c>
      <c r="C273" s="13"/>
      <c r="D273" s="13"/>
      <c r="E273" s="13"/>
      <c r="F273" s="130" t="s">
        <v>153</v>
      </c>
      <c r="G273" s="13"/>
      <c r="H273" s="13" t="s">
        <v>157</v>
      </c>
      <c r="I273" s="162"/>
      <c r="J273" s="162"/>
      <c r="K273" s="162"/>
      <c r="L273" s="162"/>
      <c r="M273" s="162"/>
      <c r="N273" s="162"/>
      <c r="O273" s="162"/>
      <c r="P273" s="162"/>
      <c r="Q273" s="162"/>
      <c r="R273" s="162"/>
      <c r="S273" s="162"/>
      <c r="T273" s="162"/>
      <c r="U273" s="162"/>
      <c r="V273" s="162"/>
      <c r="W273" s="162"/>
      <c r="X273" s="5"/>
    </row>
    <row r="274" spans="1:24" ht="15.6" x14ac:dyDescent="0.3">
      <c r="A274" s="167"/>
      <c r="B274" s="13" t="s">
        <v>277</v>
      </c>
      <c r="C274" s="13"/>
      <c r="D274" s="13"/>
      <c r="E274" s="13"/>
      <c r="F274" s="130" t="s">
        <v>278</v>
      </c>
      <c r="G274" s="13"/>
      <c r="H274" s="13" t="s">
        <v>279</v>
      </c>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95</v>
      </c>
      <c r="C275" s="13"/>
      <c r="D275" s="13"/>
      <c r="E275" s="13"/>
      <c r="F275" s="130" t="s">
        <v>152</v>
      </c>
      <c r="G275" s="13"/>
      <c r="H275" s="13" t="s">
        <v>158</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c r="C276" s="13"/>
      <c r="D276" s="13"/>
      <c r="E276" s="13"/>
      <c r="F276" s="13"/>
      <c r="G276" s="99"/>
      <c r="H276" s="162"/>
      <c r="I276" s="162"/>
      <c r="J276" s="162"/>
      <c r="K276" s="162"/>
      <c r="L276" s="162"/>
      <c r="M276" s="162"/>
      <c r="N276" s="162"/>
      <c r="O276" s="162"/>
      <c r="P276" s="162"/>
      <c r="Q276" s="162"/>
      <c r="R276" s="162"/>
      <c r="S276" s="162"/>
      <c r="T276" s="162"/>
      <c r="U276" s="162"/>
      <c r="V276" s="162"/>
      <c r="W276" s="162"/>
      <c r="X276" s="5"/>
    </row>
    <row r="277" spans="1:24" ht="18" thickBot="1" x14ac:dyDescent="0.35">
      <c r="A277" s="167"/>
      <c r="B277" s="49" t="str">
        <f>B194</f>
        <v>PM12 INVESTOR REPORT QUARTER ENDING JANUARY 2007</v>
      </c>
      <c r="C277" s="13"/>
      <c r="D277" s="13"/>
      <c r="E277" s="13"/>
      <c r="F277" s="13"/>
      <c r="G277" s="99"/>
      <c r="H277" s="162"/>
      <c r="I277" s="162"/>
      <c r="J277" s="162"/>
      <c r="K277" s="162"/>
      <c r="L277" s="162"/>
      <c r="M277" s="162"/>
      <c r="N277" s="162"/>
      <c r="O277" s="162"/>
      <c r="P277" s="162"/>
      <c r="Q277" s="162"/>
      <c r="R277" s="162"/>
      <c r="S277" s="162"/>
      <c r="T277" s="162"/>
      <c r="U277" s="162"/>
      <c r="V277" s="162"/>
      <c r="W277" s="162"/>
      <c r="X277" s="5"/>
    </row>
    <row r="278" spans="1:24" x14ac:dyDescent="0.25">
      <c r="A278" s="100"/>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row>
  </sheetData>
  <phoneticPr fontId="0" type="noConversion"/>
  <hyperlinks>
    <hyperlink ref="P230" r:id="rId1" xr:uid="{00000000-0004-0000-0100-000000000000}"/>
    <hyperlink ref="I9" r:id="rId2" xr:uid="{00000000-0004-0000-01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5" max="14" man="1"/>
    <brk id="194" max="14"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2D2926"/>
  </sheetPr>
  <dimension ref="A1:Y291"/>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0.64480000000000004</v>
      </c>
      <c r="T16" s="381" t="s">
        <v>145</v>
      </c>
      <c r="U16" s="380">
        <v>0.35520000000000002</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40772</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220</v>
      </c>
      <c r="E27" s="285"/>
      <c r="F27" s="285" t="s">
        <v>148</v>
      </c>
      <c r="G27" s="285"/>
      <c r="H27" s="285" t="s">
        <v>148</v>
      </c>
      <c r="I27" s="285"/>
      <c r="J27" s="285" t="s">
        <v>148</v>
      </c>
      <c r="K27" s="285"/>
      <c r="L27" s="285" t="s">
        <v>171</v>
      </c>
      <c r="M27" s="285"/>
      <c r="N27" s="285" t="s">
        <v>171</v>
      </c>
      <c r="O27" s="285"/>
      <c r="P27" s="285" t="s">
        <v>149</v>
      </c>
      <c r="Q27" s="285"/>
      <c r="R27" s="285" t="s">
        <v>149</v>
      </c>
      <c r="S27" s="280"/>
      <c r="T27" s="287"/>
      <c r="U27" s="281"/>
      <c r="V27" s="281"/>
      <c r="W27" s="282"/>
      <c r="X27" s="5"/>
    </row>
    <row r="28" spans="1:25" ht="15.6" x14ac:dyDescent="0.3">
      <c r="A28" s="278"/>
      <c r="B28" s="288" t="s">
        <v>198</v>
      </c>
      <c r="C28" s="280"/>
      <c r="D28" s="285" t="s">
        <v>221</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932543.4</v>
      </c>
      <c r="E32" s="289"/>
      <c r="F32" s="290">
        <f>F31*F38</f>
        <v>90145.978000000003</v>
      </c>
      <c r="G32" s="290"/>
      <c r="H32" s="295">
        <f>H31*H38</f>
        <v>152315.61800000002</v>
      </c>
      <c r="I32" s="295"/>
      <c r="J32" s="294">
        <f>J31*J38</f>
        <v>193347.3316</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926317.95</v>
      </c>
      <c r="E33" s="301"/>
      <c r="F33" s="303">
        <f>F37*F31</f>
        <v>89544.199000000008</v>
      </c>
      <c r="G33" s="303"/>
      <c r="H33" s="384">
        <f>H31*H37</f>
        <v>151298.81900000002</v>
      </c>
      <c r="I33" s="384"/>
      <c r="J33" s="383">
        <f>J37*J31</f>
        <v>192056.5883</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506816.82194520003</v>
      </c>
      <c r="E35" s="289"/>
      <c r="F35" s="290">
        <f>F34*F38</f>
        <v>90145.978000000003</v>
      </c>
      <c r="G35" s="290"/>
      <c r="H35" s="290">
        <f>H34*H38</f>
        <v>105045.55392240001</v>
      </c>
      <c r="I35" s="290"/>
      <c r="J35" s="290">
        <f>J34*J38</f>
        <v>105080.23370320001</v>
      </c>
      <c r="K35" s="290"/>
      <c r="L35" s="290">
        <f>+L34</f>
        <v>25000</v>
      </c>
      <c r="M35" s="290"/>
      <c r="N35" s="290">
        <f>+N34</f>
        <v>86897</v>
      </c>
      <c r="O35" s="290"/>
      <c r="P35" s="290">
        <f>+P34</f>
        <v>17000</v>
      </c>
      <c r="Q35" s="290"/>
      <c r="R35" s="290">
        <f>+R34</f>
        <v>73103</v>
      </c>
      <c r="S35" s="290"/>
      <c r="T35" s="290"/>
      <c r="U35" s="291"/>
      <c r="V35" s="290">
        <f>SUM(C35:R35)</f>
        <v>1009088.5875708001</v>
      </c>
      <c r="W35" s="292"/>
      <c r="X35" s="5"/>
    </row>
    <row r="36" spans="1:24" ht="15.6" x14ac:dyDescent="0.3">
      <c r="A36" s="283"/>
      <c r="B36" s="288" t="s">
        <v>295</v>
      </c>
      <c r="C36" s="301"/>
      <c r="D36" s="303">
        <f>D34*D37</f>
        <v>503433.42683009995</v>
      </c>
      <c r="E36" s="301"/>
      <c r="F36" s="303">
        <f>F34*F37</f>
        <v>89544.199000000008</v>
      </c>
      <c r="G36" s="303"/>
      <c r="H36" s="303">
        <f>H34*H37</f>
        <v>104344.3112292</v>
      </c>
      <c r="I36" s="303"/>
      <c r="J36" s="303">
        <f>J34*J37</f>
        <v>104378.74169659999</v>
      </c>
      <c r="K36" s="303"/>
      <c r="L36" s="303">
        <f>+L34</f>
        <v>25000</v>
      </c>
      <c r="M36" s="303"/>
      <c r="N36" s="303">
        <f>+N34</f>
        <v>86897</v>
      </c>
      <c r="O36" s="303"/>
      <c r="P36" s="303">
        <f>+P34</f>
        <v>17000</v>
      </c>
      <c r="Q36" s="303"/>
      <c r="R36" s="303">
        <f>+R34</f>
        <v>73103</v>
      </c>
      <c r="S36" s="302"/>
      <c r="T36" s="302"/>
      <c r="U36" s="291"/>
      <c r="V36" s="303">
        <f>SUM(C36:R36)-1</f>
        <v>1003699.6787558999</v>
      </c>
      <c r="W36" s="292"/>
      <c r="X36" s="5"/>
    </row>
    <row r="37" spans="1:24" ht="15.6" x14ac:dyDescent="0.3">
      <c r="A37" s="278"/>
      <c r="B37" s="304" t="s">
        <v>135</v>
      </c>
      <c r="C37" s="305"/>
      <c r="D37" s="306">
        <v>0.61754529999999996</v>
      </c>
      <c r="E37" s="307"/>
      <c r="F37" s="306">
        <v>0.61754620000000005</v>
      </c>
      <c r="G37" s="306"/>
      <c r="H37" s="306">
        <v>0.61754620000000005</v>
      </c>
      <c r="I37" s="306"/>
      <c r="J37" s="306">
        <v>0.61754529999999996</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0.62169560000000001</v>
      </c>
      <c r="E38" s="307"/>
      <c r="F38" s="306">
        <v>0.62169640000000004</v>
      </c>
      <c r="G38" s="306"/>
      <c r="H38" s="306">
        <v>0.62169640000000004</v>
      </c>
      <c r="I38" s="306"/>
      <c r="J38" s="306">
        <v>0.62169560000000001</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235</v>
      </c>
      <c r="E39" s="279"/>
      <c r="F39" s="287" t="s">
        <v>235</v>
      </c>
      <c r="G39" s="287"/>
      <c r="H39" s="287" t="s">
        <v>235</v>
      </c>
      <c r="I39" s="287"/>
      <c r="J39" s="287" t="s">
        <v>236</v>
      </c>
      <c r="K39" s="287"/>
      <c r="L39" s="287" t="s">
        <v>237</v>
      </c>
      <c r="M39" s="287"/>
      <c r="N39" s="287" t="s">
        <v>237</v>
      </c>
      <c r="O39" s="287"/>
      <c r="P39" s="287" t="s">
        <v>238</v>
      </c>
      <c r="Q39" s="287"/>
      <c r="R39" s="287" t="s">
        <v>238</v>
      </c>
      <c r="S39" s="313"/>
      <c r="T39" s="314"/>
      <c r="U39" s="281"/>
      <c r="V39" s="281"/>
      <c r="W39" s="282"/>
      <c r="X39" s="5"/>
    </row>
    <row r="40" spans="1:24" ht="15.6" x14ac:dyDescent="0.3">
      <c r="A40" s="278"/>
      <c r="B40" s="279" t="s">
        <v>12</v>
      </c>
      <c r="C40" s="279"/>
      <c r="D40" s="314">
        <v>3.065E-3</v>
      </c>
      <c r="E40" s="279"/>
      <c r="F40" s="314">
        <v>9.4187999999999997E-3</v>
      </c>
      <c r="G40" s="313"/>
      <c r="H40" s="314">
        <v>1.54E-2</v>
      </c>
      <c r="I40" s="314"/>
      <c r="J40" s="314">
        <v>3.7074999999999999E-3</v>
      </c>
      <c r="K40" s="313"/>
      <c r="L40" s="314">
        <v>1.0618799999999999E-2</v>
      </c>
      <c r="M40" s="313"/>
      <c r="N40" s="314">
        <v>1.66E-2</v>
      </c>
      <c r="O40" s="313"/>
      <c r="P40" s="314">
        <v>1.28188E-2</v>
      </c>
      <c r="Q40" s="313"/>
      <c r="R40" s="314">
        <v>1.8800000000000001E-2</v>
      </c>
      <c r="S40" s="313"/>
      <c r="T40" s="314"/>
      <c r="U40" s="281"/>
      <c r="V40" s="287"/>
      <c r="W40" s="282"/>
      <c r="X40" s="5"/>
    </row>
    <row r="41" spans="1:24" ht="15.6" x14ac:dyDescent="0.3">
      <c r="A41" s="278"/>
      <c r="B41" s="279" t="s">
        <v>13</v>
      </c>
      <c r="C41" s="279"/>
      <c r="D41" s="314">
        <v>3.3874999999999999E-3</v>
      </c>
      <c r="E41" s="279"/>
      <c r="F41" s="314">
        <v>9.2338000000000003E-3</v>
      </c>
      <c r="G41" s="313"/>
      <c r="H41" s="314">
        <v>1.213E-2</v>
      </c>
      <c r="I41" s="314"/>
      <c r="J41" s="314">
        <v>4.2300000000000003E-3</v>
      </c>
      <c r="K41" s="313"/>
      <c r="L41" s="314">
        <v>1.04338E-2</v>
      </c>
      <c r="M41" s="313"/>
      <c r="N41" s="314">
        <v>1.333E-2</v>
      </c>
      <c r="O41" s="313"/>
      <c r="P41" s="314">
        <v>1.2633800000000001E-2</v>
      </c>
      <c r="Q41" s="313"/>
      <c r="R41" s="314">
        <v>1.553E-2</v>
      </c>
      <c r="S41" s="313"/>
      <c r="T41" s="314"/>
      <c r="U41" s="281"/>
      <c r="V41" s="313" t="s">
        <v>199</v>
      </c>
      <c r="W41" s="282"/>
      <c r="X41" s="5"/>
    </row>
    <row r="42" spans="1:24" ht="15.6" x14ac:dyDescent="0.3">
      <c r="A42" s="278"/>
      <c r="B42" s="279" t="s">
        <v>296</v>
      </c>
      <c r="C42" s="279"/>
      <c r="D42" s="287" t="s">
        <v>286</v>
      </c>
      <c r="E42" s="279"/>
      <c r="F42" s="287" t="s">
        <v>235</v>
      </c>
      <c r="G42" s="287"/>
      <c r="H42" s="287" t="s">
        <v>267</v>
      </c>
      <c r="I42" s="287"/>
      <c r="J42" s="287" t="s">
        <v>266</v>
      </c>
      <c r="K42" s="287"/>
      <c r="L42" s="287" t="s">
        <v>237</v>
      </c>
      <c r="M42" s="287"/>
      <c r="N42" s="287" t="s">
        <v>265</v>
      </c>
      <c r="O42" s="287"/>
      <c r="P42" s="287" t="s">
        <v>238</v>
      </c>
      <c r="Q42" s="287"/>
      <c r="R42" s="287" t="s">
        <v>240</v>
      </c>
      <c r="S42" s="313"/>
      <c r="T42" s="314"/>
      <c r="U42" s="281"/>
      <c r="V42" s="281"/>
      <c r="W42" s="282"/>
      <c r="X42" s="5"/>
    </row>
    <row r="43" spans="1:24" ht="15.6" x14ac:dyDescent="0.3">
      <c r="A43" s="278"/>
      <c r="B43" s="279" t="s">
        <v>297</v>
      </c>
      <c r="C43" s="315"/>
      <c r="D43" s="314">
        <v>9.6220999999999998E-3</v>
      </c>
      <c r="E43" s="314"/>
      <c r="F43" s="314">
        <f>+F40</f>
        <v>9.4187999999999997E-3</v>
      </c>
      <c r="G43" s="314"/>
      <c r="H43" s="314">
        <v>9.3798000000000006E-3</v>
      </c>
      <c r="I43" s="314"/>
      <c r="J43" s="314">
        <v>9.5008000000000002E-3</v>
      </c>
      <c r="K43" s="314"/>
      <c r="L43" s="314">
        <f>+L40</f>
        <v>1.0618799999999999E-2</v>
      </c>
      <c r="M43" s="314"/>
      <c r="N43" s="314">
        <v>1.07198E-2</v>
      </c>
      <c r="O43" s="314"/>
      <c r="P43" s="314">
        <f>+P40</f>
        <v>1.28188E-2</v>
      </c>
      <c r="Q43" s="313"/>
      <c r="R43" s="314">
        <v>1.30548E-2</v>
      </c>
      <c r="S43" s="287"/>
      <c r="T43" s="287"/>
      <c r="U43" s="281"/>
      <c r="V43" s="313">
        <f>SUMPRODUCT(D43:R43,D35:R35)/V35</f>
        <v>9.9878394030165959E-3</v>
      </c>
      <c r="W43" s="282"/>
      <c r="X43" s="5"/>
    </row>
    <row r="44" spans="1:24" ht="15.6" x14ac:dyDescent="0.3">
      <c r="A44" s="278"/>
      <c r="B44" s="279" t="s">
        <v>298</v>
      </c>
      <c r="C44" s="315"/>
      <c r="D44" s="314">
        <v>9.4371000000000003E-3</v>
      </c>
      <c r="E44" s="314"/>
      <c r="F44" s="314">
        <f>+F41</f>
        <v>9.2338000000000003E-3</v>
      </c>
      <c r="G44" s="314"/>
      <c r="H44" s="314">
        <v>9.1947999999999995E-3</v>
      </c>
      <c r="I44" s="314"/>
      <c r="J44" s="314">
        <v>9.3158000000000008E-3</v>
      </c>
      <c r="K44" s="314"/>
      <c r="L44" s="314">
        <f>+L41</f>
        <v>1.04338E-2</v>
      </c>
      <c r="M44" s="314"/>
      <c r="N44" s="314">
        <v>1.05348E-2</v>
      </c>
      <c r="O44" s="314"/>
      <c r="P44" s="314">
        <f>+P41</f>
        <v>1.2633800000000001E-2</v>
      </c>
      <c r="Q44" s="313"/>
      <c r="R44" s="314">
        <v>1.2869800000000001E-2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40770</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123</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206</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0.25196436195297839</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40770</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90</v>
      </c>
      <c r="S57" s="279"/>
      <c r="T57" s="325">
        <v>40589</v>
      </c>
      <c r="U57" s="326"/>
      <c r="V57" s="325">
        <v>40678</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91</v>
      </c>
      <c r="S58" s="279"/>
      <c r="T58" s="325">
        <v>40679</v>
      </c>
      <c r="U58" s="326"/>
      <c r="V58" s="325">
        <v>40769</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40756</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308</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1009088</v>
      </c>
      <c r="O68" s="329"/>
      <c r="P68" s="329">
        <f>5388+220+26</f>
        <v>5634</v>
      </c>
      <c r="Q68" s="329"/>
      <c r="R68" s="329">
        <f>220+26</f>
        <v>246</v>
      </c>
      <c r="S68" s="329"/>
      <c r="T68" s="329">
        <v>0</v>
      </c>
      <c r="U68" s="329"/>
      <c r="V68" s="330">
        <f>+N68-P68+R68-T68</f>
        <v>1003700</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1009088</v>
      </c>
      <c r="O71" s="329"/>
      <c r="P71" s="329">
        <f>SUM(P68:P70)</f>
        <v>5634</v>
      </c>
      <c r="Q71" s="329"/>
      <c r="R71" s="329">
        <f>SUM(R68:R70)</f>
        <v>246</v>
      </c>
      <c r="S71" s="329"/>
      <c r="T71" s="329">
        <f>SUM(T68:T70)</f>
        <v>0</v>
      </c>
      <c r="U71" s="329"/>
      <c r="V71" s="329">
        <f>SUM(V68:V70)</f>
        <v>1003700</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1009088</v>
      </c>
      <c r="O84" s="329"/>
      <c r="P84" s="329"/>
      <c r="Q84" s="329"/>
      <c r="R84" s="329"/>
      <c r="S84" s="329"/>
      <c r="T84" s="329"/>
      <c r="U84" s="329"/>
      <c r="V84" s="329">
        <f>SUM(V71:V83)</f>
        <v>1003700</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+T196</f>
        <v>40753</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5634-38</f>
        <v>5596</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4734+2695-656-276+56</f>
        <v>6553</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9+12</f>
        <v>21</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19</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0</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5596</v>
      </c>
      <c r="U96" s="279"/>
      <c r="V96" s="329">
        <f>SUM(V88:V95)</f>
        <v>6593</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-17</v>
      </c>
      <c r="U97" s="279"/>
      <c r="V97" s="329">
        <v>17</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-124</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5579</v>
      </c>
      <c r="U100" s="279"/>
      <c r="V100" s="329">
        <f>V96+V98+V97+V99</f>
        <v>6486</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259</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210</v>
      </c>
      <c r="C104" s="279"/>
      <c r="D104" s="279"/>
      <c r="E104" s="279"/>
      <c r="F104" s="279"/>
      <c r="G104" s="279"/>
      <c r="H104" s="279"/>
      <c r="I104" s="279"/>
      <c r="J104" s="279"/>
      <c r="K104" s="279"/>
      <c r="L104" s="279"/>
      <c r="M104" s="279"/>
      <c r="N104" s="279"/>
      <c r="O104" s="279"/>
      <c r="P104" s="279"/>
      <c r="Q104" s="279"/>
      <c r="R104" s="279"/>
      <c r="S104" s="279"/>
      <c r="T104" s="279"/>
      <c r="U104" s="279"/>
      <c r="V104" s="330">
        <f>-384-205-12</f>
        <v>-601</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-205</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-1922+212</f>
        <v>-1710</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-212</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-232</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-66</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-238</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-54</v>
      </c>
      <c r="W111" s="282"/>
      <c r="X111" s="5"/>
      <c r="Y111" s="109"/>
    </row>
    <row r="112" spans="1:25" ht="15.6" x14ac:dyDescent="0.3">
      <c r="A112" s="336">
        <v>7</v>
      </c>
      <c r="B112" s="279" t="s">
        <v>35</v>
      </c>
      <c r="C112" s="279"/>
      <c r="D112" s="279"/>
      <c r="E112" s="279"/>
      <c r="F112" s="279"/>
      <c r="G112" s="279"/>
      <c r="H112" s="279"/>
      <c r="I112" s="279"/>
      <c r="J112" s="279"/>
      <c r="K112" s="279"/>
      <c r="L112" s="279"/>
      <c r="M112" s="279"/>
      <c r="N112" s="279"/>
      <c r="O112" s="279"/>
      <c r="P112" s="279"/>
      <c r="Q112" s="279"/>
      <c r="R112" s="279"/>
      <c r="S112" s="279"/>
      <c r="T112" s="279"/>
      <c r="U112" s="279"/>
      <c r="V112" s="330">
        <v>-10</v>
      </c>
      <c r="W112" s="282"/>
      <c r="X112" s="5"/>
    </row>
    <row r="113" spans="1:24" ht="15.6" x14ac:dyDescent="0.3">
      <c r="A113" s="336">
        <f t="shared" ref="A113:A118" si="0">+A112+1</f>
        <v>8</v>
      </c>
      <c r="B113" s="279" t="s">
        <v>46</v>
      </c>
      <c r="C113" s="279"/>
      <c r="D113" s="279"/>
      <c r="E113" s="279"/>
      <c r="F113" s="279"/>
      <c r="G113" s="279"/>
      <c r="H113" s="279"/>
      <c r="I113" s="279"/>
      <c r="J113" s="279"/>
      <c r="K113" s="279"/>
      <c r="L113" s="279"/>
      <c r="M113" s="279"/>
      <c r="N113" s="279"/>
      <c r="O113" s="279"/>
      <c r="P113" s="279"/>
      <c r="Q113" s="279"/>
      <c r="R113" s="279"/>
      <c r="S113" s="279"/>
      <c r="T113" s="329">
        <f>-V113</f>
        <v>38</v>
      </c>
      <c r="U113" s="279"/>
      <c r="V113" s="330">
        <v>-38</v>
      </c>
      <c r="W113" s="282"/>
      <c r="X113" s="5"/>
    </row>
    <row r="114" spans="1:24" ht="15.6" x14ac:dyDescent="0.3">
      <c r="A114" s="336">
        <f t="shared" si="0"/>
        <v>9</v>
      </c>
      <c r="B114" s="279" t="s">
        <v>130</v>
      </c>
      <c r="C114" s="279"/>
      <c r="D114" s="279"/>
      <c r="E114" s="279"/>
      <c r="F114" s="279"/>
      <c r="G114" s="279"/>
      <c r="H114" s="279"/>
      <c r="I114" s="279"/>
      <c r="J114" s="279"/>
      <c r="K114" s="279"/>
      <c r="L114" s="279"/>
      <c r="M114" s="279"/>
      <c r="N114" s="279"/>
      <c r="O114" s="279"/>
      <c r="P114" s="279"/>
      <c r="Q114" s="279"/>
      <c r="R114" s="279"/>
      <c r="S114" s="279"/>
      <c r="T114" s="279"/>
      <c r="U114" s="279"/>
      <c r="V114" s="330">
        <v>0</v>
      </c>
      <c r="W114" s="282"/>
      <c r="X114" s="5"/>
    </row>
    <row r="115" spans="1:24" ht="15.6" x14ac:dyDescent="0.3">
      <c r="A115" s="336">
        <f t="shared" si="0"/>
        <v>10</v>
      </c>
      <c r="B115" s="279" t="s">
        <v>36</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37</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154</v>
      </c>
      <c r="C117" s="279"/>
      <c r="D117" s="279"/>
      <c r="E117" s="279"/>
      <c r="F117" s="279"/>
      <c r="G117" s="279"/>
      <c r="H117" s="279"/>
      <c r="I117" s="279"/>
      <c r="J117" s="279"/>
      <c r="K117" s="279"/>
      <c r="L117" s="279"/>
      <c r="M117" s="279"/>
      <c r="N117" s="279"/>
      <c r="O117" s="279"/>
      <c r="P117" s="279"/>
      <c r="Q117" s="279"/>
      <c r="R117" s="279"/>
      <c r="S117" s="279"/>
      <c r="T117" s="279"/>
      <c r="U117" s="279"/>
      <c r="V117" s="330">
        <v>-384</v>
      </c>
      <c r="W117" s="282"/>
      <c r="X117" s="5"/>
    </row>
    <row r="118" spans="1:24" ht="15.6" x14ac:dyDescent="0.3">
      <c r="A118" s="336">
        <f t="shared" si="0"/>
        <v>13</v>
      </c>
      <c r="B118" s="279" t="s">
        <v>131</v>
      </c>
      <c r="C118" s="279"/>
      <c r="D118" s="279"/>
      <c r="E118" s="279"/>
      <c r="F118" s="279"/>
      <c r="G118" s="279"/>
      <c r="H118" s="279"/>
      <c r="I118" s="279"/>
      <c r="J118" s="279"/>
      <c r="K118" s="279"/>
      <c r="L118" s="279"/>
      <c r="M118" s="279"/>
      <c r="N118" s="279"/>
      <c r="O118" s="279"/>
      <c r="P118" s="279"/>
      <c r="Q118" s="279"/>
      <c r="R118" s="279"/>
      <c r="S118" s="279"/>
      <c r="T118" s="279"/>
      <c r="U118" s="279"/>
      <c r="V118" s="330">
        <f>-V100-SUM(V102:V117)</f>
        <v>-2734</v>
      </c>
      <c r="W118" s="282"/>
      <c r="X118" s="5"/>
    </row>
    <row r="119" spans="1:24" ht="15.6" x14ac:dyDescent="0.3">
      <c r="A119" s="278"/>
      <c r="B119" s="333" t="s">
        <v>38</v>
      </c>
      <c r="C119" s="305"/>
      <c r="D119" s="305"/>
      <c r="E119" s="305"/>
      <c r="F119" s="305"/>
      <c r="G119" s="305"/>
      <c r="H119" s="305"/>
      <c r="I119" s="305"/>
      <c r="J119" s="305"/>
      <c r="K119" s="305"/>
      <c r="L119" s="305"/>
      <c r="M119" s="305"/>
      <c r="N119" s="305"/>
      <c r="O119" s="305"/>
      <c r="P119" s="305"/>
      <c r="Q119" s="305"/>
      <c r="R119" s="305"/>
      <c r="S119" s="305"/>
      <c r="T119" s="305"/>
      <c r="U119" s="305"/>
      <c r="V119" s="337"/>
      <c r="W119" s="310"/>
      <c r="X119" s="5"/>
    </row>
    <row r="120" spans="1:24" ht="15.6" x14ac:dyDescent="0.3">
      <c r="A120" s="278"/>
      <c r="B120" s="279" t="s">
        <v>179</v>
      </c>
      <c r="C120" s="279"/>
      <c r="D120" s="279"/>
      <c r="E120" s="279"/>
      <c r="F120" s="279"/>
      <c r="G120" s="279"/>
      <c r="H120" s="279"/>
      <c r="I120" s="279"/>
      <c r="J120" s="279"/>
      <c r="K120" s="279"/>
      <c r="L120" s="279"/>
      <c r="M120" s="279"/>
      <c r="N120" s="279"/>
      <c r="O120" s="279"/>
      <c r="P120" s="279"/>
      <c r="Q120" s="279"/>
      <c r="R120" s="279"/>
      <c r="S120" s="279"/>
      <c r="T120" s="329">
        <f>-T180</f>
        <v>-64</v>
      </c>
      <c r="U120" s="329"/>
      <c r="V120" s="330"/>
      <c r="W120" s="282"/>
      <c r="X120" s="5"/>
    </row>
    <row r="121" spans="1:24" ht="15.6" x14ac:dyDescent="0.3">
      <c r="A121" s="278"/>
      <c r="B121" s="279" t="s">
        <v>180</v>
      </c>
      <c r="C121" s="279"/>
      <c r="D121" s="279"/>
      <c r="E121" s="279"/>
      <c r="F121" s="279"/>
      <c r="G121" s="279"/>
      <c r="H121" s="279"/>
      <c r="I121" s="279"/>
      <c r="J121" s="279"/>
      <c r="K121" s="279"/>
      <c r="L121" s="279"/>
      <c r="M121" s="279"/>
      <c r="N121" s="279"/>
      <c r="O121" s="279"/>
      <c r="P121" s="279"/>
      <c r="Q121" s="279"/>
      <c r="R121" s="279"/>
      <c r="S121" s="279"/>
      <c r="T121" s="329">
        <v>-9</v>
      </c>
      <c r="U121" s="329"/>
      <c r="V121" s="330"/>
      <c r="W121" s="282"/>
      <c r="X121" s="5"/>
    </row>
    <row r="122" spans="1:24" ht="15.6" x14ac:dyDescent="0.3">
      <c r="A122" s="278"/>
      <c r="B122" s="279" t="s">
        <v>39</v>
      </c>
      <c r="C122" s="279"/>
      <c r="D122" s="279"/>
      <c r="E122" s="279"/>
      <c r="F122" s="279"/>
      <c r="G122" s="279"/>
      <c r="H122" s="279"/>
      <c r="I122" s="279"/>
      <c r="J122" s="279"/>
      <c r="K122" s="279"/>
      <c r="L122" s="279"/>
      <c r="M122" s="279"/>
      <c r="N122" s="279"/>
      <c r="O122" s="279"/>
      <c r="P122" s="279"/>
      <c r="Q122" s="279"/>
      <c r="R122" s="279"/>
      <c r="S122" s="279"/>
      <c r="T122" s="329">
        <f>-S180</f>
        <v>-156</v>
      </c>
      <c r="U122" s="329"/>
      <c r="V122" s="330"/>
      <c r="W122" s="282"/>
      <c r="X122" s="5"/>
    </row>
    <row r="123" spans="1:24" ht="15.6" x14ac:dyDescent="0.3">
      <c r="A123" s="278"/>
      <c r="B123" s="279" t="s">
        <v>203</v>
      </c>
      <c r="C123" s="279"/>
      <c r="D123" s="279"/>
      <c r="E123" s="279"/>
      <c r="F123" s="279"/>
      <c r="G123" s="279"/>
      <c r="H123" s="279"/>
      <c r="I123" s="279"/>
      <c r="J123" s="279"/>
      <c r="K123" s="279"/>
      <c r="L123" s="279"/>
      <c r="M123" s="279"/>
      <c r="N123" s="279"/>
      <c r="O123" s="279"/>
      <c r="P123" s="279"/>
      <c r="Q123" s="279"/>
      <c r="R123" s="279"/>
      <c r="S123" s="279"/>
      <c r="T123" s="329">
        <v>-3383</v>
      </c>
      <c r="U123" s="329"/>
      <c r="V123" s="330"/>
      <c r="W123" s="282"/>
      <c r="X123" s="5"/>
    </row>
    <row r="124" spans="1:24" ht="15.6" x14ac:dyDescent="0.3">
      <c r="A124" s="278"/>
      <c r="B124" s="279" t="s">
        <v>201</v>
      </c>
      <c r="C124" s="279"/>
      <c r="D124" s="279"/>
      <c r="E124" s="279"/>
      <c r="F124" s="279"/>
      <c r="G124" s="279"/>
      <c r="H124" s="279"/>
      <c r="I124" s="279"/>
      <c r="J124" s="279"/>
      <c r="K124" s="279"/>
      <c r="L124" s="279"/>
      <c r="M124" s="279"/>
      <c r="N124" s="279"/>
      <c r="O124" s="279"/>
      <c r="P124" s="279"/>
      <c r="Q124" s="279"/>
      <c r="R124" s="279"/>
      <c r="S124" s="279"/>
      <c r="T124" s="329">
        <v>-602</v>
      </c>
      <c r="U124" s="329"/>
      <c r="V124" s="330"/>
      <c r="W124" s="282"/>
      <c r="X124" s="5"/>
    </row>
    <row r="125" spans="1:24" ht="15.6" x14ac:dyDescent="0.3">
      <c r="A125" s="278"/>
      <c r="B125" s="279" t="s">
        <v>200</v>
      </c>
      <c r="C125" s="279"/>
      <c r="D125" s="279"/>
      <c r="E125" s="279"/>
      <c r="F125" s="279"/>
      <c r="G125" s="279"/>
      <c r="H125" s="279"/>
      <c r="I125" s="279"/>
      <c r="J125" s="279"/>
      <c r="K125" s="279"/>
      <c r="L125" s="279"/>
      <c r="M125" s="279"/>
      <c r="N125" s="279"/>
      <c r="O125" s="279"/>
      <c r="P125" s="279"/>
      <c r="Q125" s="279"/>
      <c r="R125" s="279"/>
      <c r="S125" s="279"/>
      <c r="T125" s="329">
        <v>-701</v>
      </c>
      <c r="U125" s="329"/>
      <c r="V125" s="330"/>
      <c r="W125" s="282"/>
      <c r="X125" s="5"/>
    </row>
    <row r="126" spans="1:24" ht="15.6" x14ac:dyDescent="0.3">
      <c r="A126" s="278"/>
      <c r="B126" s="279" t="s">
        <v>260</v>
      </c>
      <c r="C126" s="279"/>
      <c r="D126" s="279"/>
      <c r="E126" s="279"/>
      <c r="F126" s="279"/>
      <c r="G126" s="279"/>
      <c r="H126" s="279"/>
      <c r="I126" s="279"/>
      <c r="J126" s="279"/>
      <c r="K126" s="279"/>
      <c r="L126" s="279"/>
      <c r="M126" s="279"/>
      <c r="N126" s="279"/>
      <c r="O126" s="279"/>
      <c r="P126" s="279"/>
      <c r="Q126" s="279"/>
      <c r="R126" s="279"/>
      <c r="S126" s="279"/>
      <c r="T126" s="329">
        <v>-702</v>
      </c>
      <c r="U126" s="329"/>
      <c r="V126" s="330"/>
      <c r="W126" s="282"/>
      <c r="X126" s="5"/>
    </row>
    <row r="127" spans="1:24" ht="15.6" x14ac:dyDescent="0.3">
      <c r="A127" s="278"/>
      <c r="B127" s="279" t="s">
        <v>195</v>
      </c>
      <c r="C127" s="279"/>
      <c r="D127" s="279"/>
      <c r="E127" s="279"/>
      <c r="F127" s="279"/>
      <c r="G127" s="279"/>
      <c r="H127" s="279"/>
      <c r="I127" s="279"/>
      <c r="J127" s="279"/>
      <c r="K127" s="279"/>
      <c r="L127" s="279"/>
      <c r="M127" s="279"/>
      <c r="N127" s="279"/>
      <c r="O127" s="279"/>
      <c r="P127" s="279"/>
      <c r="Q127" s="279"/>
      <c r="R127" s="279"/>
      <c r="S127" s="279"/>
      <c r="T127" s="329">
        <v>0</v>
      </c>
      <c r="U127" s="329"/>
      <c r="V127" s="330"/>
      <c r="W127" s="282"/>
      <c r="X127" s="5"/>
    </row>
    <row r="128" spans="1:24" ht="15.6" x14ac:dyDescent="0.3">
      <c r="A128" s="278"/>
      <c r="B128" s="279" t="s">
        <v>194</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261</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193</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40</v>
      </c>
      <c r="C131" s="279"/>
      <c r="D131" s="279"/>
      <c r="E131" s="279"/>
      <c r="F131" s="279"/>
      <c r="G131" s="279"/>
      <c r="H131" s="279"/>
      <c r="I131" s="279"/>
      <c r="J131" s="279"/>
      <c r="K131" s="279"/>
      <c r="L131" s="279"/>
      <c r="M131" s="279"/>
      <c r="N131" s="279"/>
      <c r="O131" s="279"/>
      <c r="P131" s="279"/>
      <c r="Q131" s="279"/>
      <c r="R131" s="279"/>
      <c r="S131" s="279"/>
      <c r="T131" s="329">
        <f>SUM(T120:T130)</f>
        <v>-5617</v>
      </c>
      <c r="U131" s="329"/>
      <c r="V131" s="329">
        <f>SUM(V101:V128)</f>
        <v>-6486</v>
      </c>
      <c r="W131" s="282"/>
      <c r="X131" s="5"/>
    </row>
    <row r="132" spans="1:24" ht="15.6" x14ac:dyDescent="0.3">
      <c r="A132" s="278"/>
      <c r="B132" s="279" t="s">
        <v>41</v>
      </c>
      <c r="C132" s="279"/>
      <c r="D132" s="279"/>
      <c r="E132" s="279"/>
      <c r="F132" s="279"/>
      <c r="G132" s="279"/>
      <c r="H132" s="279"/>
      <c r="I132" s="279"/>
      <c r="J132" s="279"/>
      <c r="K132" s="279"/>
      <c r="L132" s="279"/>
      <c r="M132" s="279"/>
      <c r="N132" s="279"/>
      <c r="O132" s="279"/>
      <c r="P132" s="279"/>
      <c r="Q132" s="279"/>
      <c r="R132" s="279"/>
      <c r="S132" s="279"/>
      <c r="T132" s="329">
        <f>T100+T131+T113</f>
        <v>0</v>
      </c>
      <c r="U132" s="329"/>
      <c r="V132" s="329">
        <f>V100+V131</f>
        <v>0</v>
      </c>
      <c r="W132" s="282"/>
      <c r="X132" s="5"/>
    </row>
    <row r="133" spans="1:24" ht="15.6" x14ac:dyDescent="0.3">
      <c r="A133" s="177"/>
      <c r="B133" s="275"/>
      <c r="C133" s="275"/>
      <c r="D133" s="275"/>
      <c r="E133" s="275"/>
      <c r="F133" s="275"/>
      <c r="G133" s="275"/>
      <c r="H133" s="275"/>
      <c r="I133" s="275"/>
      <c r="J133" s="275"/>
      <c r="K133" s="275"/>
      <c r="L133" s="275"/>
      <c r="M133" s="275"/>
      <c r="N133" s="275"/>
      <c r="O133" s="275"/>
      <c r="P133" s="275"/>
      <c r="Q133" s="275"/>
      <c r="R133" s="275"/>
      <c r="S133" s="275"/>
      <c r="T133" s="327"/>
      <c r="U133" s="327"/>
      <c r="V133" s="327"/>
      <c r="W133" s="275"/>
      <c r="X133" s="5"/>
    </row>
    <row r="134" spans="1:24" ht="15.6" x14ac:dyDescent="0.3">
      <c r="A134" s="177"/>
      <c r="B134" s="179"/>
      <c r="C134" s="179"/>
      <c r="D134" s="179"/>
      <c r="E134" s="179"/>
      <c r="F134" s="179"/>
      <c r="G134" s="179"/>
      <c r="H134" s="179"/>
      <c r="I134" s="179"/>
      <c r="J134" s="179"/>
      <c r="K134" s="179"/>
      <c r="L134" s="179"/>
      <c r="M134" s="179"/>
      <c r="N134" s="179"/>
      <c r="O134" s="179"/>
      <c r="P134" s="179"/>
      <c r="Q134" s="179"/>
      <c r="R134" s="179"/>
      <c r="S134" s="179"/>
      <c r="T134" s="179"/>
      <c r="U134" s="179"/>
      <c r="V134" s="199"/>
      <c r="W134" s="179"/>
      <c r="X134" s="5"/>
    </row>
    <row r="135" spans="1:24" ht="18" thickBot="1" x14ac:dyDescent="0.35">
      <c r="A135" s="194"/>
      <c r="B135" s="264" t="str">
        <f>B64</f>
        <v>PM12 INVESTOR REPORT QUARTER ENDING JULY 2011</v>
      </c>
      <c r="C135" s="195"/>
      <c r="D135" s="195"/>
      <c r="E135" s="195"/>
      <c r="F135" s="195"/>
      <c r="G135" s="195"/>
      <c r="H135" s="195"/>
      <c r="I135" s="195"/>
      <c r="J135" s="195"/>
      <c r="K135" s="195"/>
      <c r="L135" s="195"/>
      <c r="M135" s="195"/>
      <c r="N135" s="195"/>
      <c r="O135" s="195"/>
      <c r="P135" s="195"/>
      <c r="Q135" s="195"/>
      <c r="R135" s="195"/>
      <c r="S135" s="195"/>
      <c r="T135" s="195"/>
      <c r="U135" s="195"/>
      <c r="V135" s="207"/>
      <c r="W135" s="197"/>
      <c r="X135" s="5"/>
    </row>
    <row r="136" spans="1:24" ht="15.6" x14ac:dyDescent="0.3">
      <c r="A136" s="235"/>
      <c r="B136" s="392" t="s">
        <v>42</v>
      </c>
      <c r="C136" s="236"/>
      <c r="D136" s="236"/>
      <c r="E136" s="236"/>
      <c r="F136" s="236"/>
      <c r="G136" s="236"/>
      <c r="H136" s="236"/>
      <c r="I136" s="236"/>
      <c r="J136" s="236"/>
      <c r="K136" s="236"/>
      <c r="L136" s="236"/>
      <c r="M136" s="236"/>
      <c r="N136" s="236"/>
      <c r="O136" s="236"/>
      <c r="P136" s="236"/>
      <c r="Q136" s="236"/>
      <c r="R136" s="236"/>
      <c r="S136" s="236"/>
      <c r="T136" s="236"/>
      <c r="U136" s="236"/>
      <c r="V136" s="237"/>
      <c r="W136" s="236"/>
      <c r="X136" s="5"/>
    </row>
    <row r="137" spans="1:24" ht="15.6" x14ac:dyDescent="0.3">
      <c r="A137" s="177"/>
      <c r="B137" s="186"/>
      <c r="C137" s="179"/>
      <c r="D137" s="179"/>
      <c r="E137" s="179"/>
      <c r="F137" s="179"/>
      <c r="G137" s="179"/>
      <c r="H137" s="179"/>
      <c r="I137" s="179"/>
      <c r="J137" s="179"/>
      <c r="K137" s="179"/>
      <c r="L137" s="179"/>
      <c r="M137" s="179"/>
      <c r="N137" s="179"/>
      <c r="O137" s="179"/>
      <c r="P137" s="179"/>
      <c r="Q137" s="179"/>
      <c r="R137" s="179"/>
      <c r="S137" s="179"/>
      <c r="T137" s="179"/>
      <c r="U137" s="179"/>
      <c r="V137" s="199"/>
      <c r="W137" s="179"/>
      <c r="X137" s="5"/>
    </row>
    <row r="138" spans="1:24" ht="15.6" x14ac:dyDescent="0.3">
      <c r="A138" s="177"/>
      <c r="B138" s="208" t="s">
        <v>43</v>
      </c>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278"/>
      <c r="B139" s="279" t="s">
        <v>44</v>
      </c>
      <c r="C139" s="279"/>
      <c r="D139" s="279"/>
      <c r="E139" s="279"/>
      <c r="F139" s="279"/>
      <c r="G139" s="279"/>
      <c r="H139" s="279"/>
      <c r="I139" s="279"/>
      <c r="J139" s="279"/>
      <c r="K139" s="279"/>
      <c r="L139" s="279"/>
      <c r="M139" s="279"/>
      <c r="N139" s="279"/>
      <c r="O139" s="279"/>
      <c r="P139" s="279"/>
      <c r="Q139" s="279"/>
      <c r="R139" s="279"/>
      <c r="S139" s="279"/>
      <c r="T139" s="279"/>
      <c r="U139" s="279"/>
      <c r="V139" s="330">
        <f>+V34*0.019</f>
        <v>28503.895</v>
      </c>
      <c r="W139" s="310"/>
      <c r="X139" s="5"/>
    </row>
    <row r="140" spans="1:24" ht="15.6" x14ac:dyDescent="0.3">
      <c r="A140" s="278"/>
      <c r="B140" s="279" t="s">
        <v>45</v>
      </c>
      <c r="C140" s="279"/>
      <c r="D140" s="279"/>
      <c r="E140" s="279"/>
      <c r="F140" s="279"/>
      <c r="G140" s="279"/>
      <c r="H140" s="279"/>
      <c r="I140" s="279"/>
      <c r="J140" s="279"/>
      <c r="K140" s="279"/>
      <c r="L140" s="279"/>
      <c r="M140" s="279"/>
      <c r="N140" s="279"/>
      <c r="O140" s="279"/>
      <c r="P140" s="279"/>
      <c r="Q140" s="279"/>
      <c r="R140" s="279"/>
      <c r="S140" s="279"/>
      <c r="T140" s="279"/>
      <c r="U140" s="279"/>
      <c r="V140" s="330">
        <v>28504</v>
      </c>
      <c r="W140" s="310"/>
      <c r="X140" s="5"/>
    </row>
    <row r="141" spans="1:24" ht="15.6" x14ac:dyDescent="0.3">
      <c r="A141" s="278"/>
      <c r="B141" s="279" t="s">
        <v>141</v>
      </c>
      <c r="C141" s="279"/>
      <c r="D141" s="279"/>
      <c r="E141" s="279"/>
      <c r="F141" s="279"/>
      <c r="G141" s="279"/>
      <c r="H141" s="279"/>
      <c r="I141" s="279"/>
      <c r="J141" s="279"/>
      <c r="K141" s="279"/>
      <c r="L141" s="279"/>
      <c r="M141" s="279"/>
      <c r="N141" s="279"/>
      <c r="O141" s="279"/>
      <c r="P141" s="279"/>
      <c r="Q141" s="279"/>
      <c r="R141" s="279"/>
      <c r="S141" s="279"/>
      <c r="T141" s="279"/>
      <c r="U141" s="279"/>
      <c r="V141" s="330">
        <v>0</v>
      </c>
      <c r="W141" s="310"/>
      <c r="X141" s="5"/>
    </row>
    <row r="142" spans="1:24" ht="15.6" x14ac:dyDescent="0.3">
      <c r="A142" s="278"/>
      <c r="B142" s="279" t="s">
        <v>128</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129</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181</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46</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134</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230</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c r="Y147" s="109"/>
    </row>
    <row r="148" spans="1:25" ht="15.6" x14ac:dyDescent="0.3">
      <c r="A148" s="278"/>
      <c r="B148" s="279" t="s">
        <v>47</v>
      </c>
      <c r="C148" s="279"/>
      <c r="D148" s="279"/>
      <c r="E148" s="279"/>
      <c r="F148" s="279"/>
      <c r="G148" s="279"/>
      <c r="H148" s="279"/>
      <c r="I148" s="279"/>
      <c r="J148" s="279"/>
      <c r="K148" s="279"/>
      <c r="L148" s="279"/>
      <c r="M148" s="279"/>
      <c r="N148" s="279"/>
      <c r="O148" s="279"/>
      <c r="P148" s="279"/>
      <c r="Q148" s="279"/>
      <c r="R148" s="279"/>
      <c r="S148" s="279"/>
      <c r="T148" s="279"/>
      <c r="U148" s="279"/>
      <c r="V148" s="330">
        <f>SUM(V140:V147)</f>
        <v>28504</v>
      </c>
      <c r="W148" s="310"/>
      <c r="X148" s="5"/>
    </row>
    <row r="149" spans="1:25" ht="15.6" x14ac:dyDescent="0.3">
      <c r="A149" s="278"/>
      <c r="B149" s="305"/>
      <c r="C149" s="305"/>
      <c r="D149" s="305"/>
      <c r="E149" s="305"/>
      <c r="F149" s="305"/>
      <c r="G149" s="305"/>
      <c r="H149" s="305"/>
      <c r="I149" s="305"/>
      <c r="J149" s="305"/>
      <c r="K149" s="305"/>
      <c r="L149" s="305"/>
      <c r="M149" s="305"/>
      <c r="N149" s="305"/>
      <c r="O149" s="305"/>
      <c r="P149" s="305"/>
      <c r="Q149" s="305"/>
      <c r="R149" s="305"/>
      <c r="S149" s="305"/>
      <c r="T149" s="305"/>
      <c r="U149" s="305"/>
      <c r="V149" s="335"/>
      <c r="W149" s="310"/>
      <c r="X149" s="5"/>
    </row>
    <row r="150" spans="1:25" ht="15.6" x14ac:dyDescent="0.3">
      <c r="A150" s="278"/>
      <c r="B150" s="333" t="s">
        <v>269</v>
      </c>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279" t="s">
        <v>160</v>
      </c>
      <c r="C151" s="279"/>
      <c r="D151" s="279"/>
      <c r="E151" s="279"/>
      <c r="F151" s="279"/>
      <c r="G151" s="279"/>
      <c r="H151" s="279"/>
      <c r="I151" s="279"/>
      <c r="J151" s="279"/>
      <c r="K151" s="279"/>
      <c r="L151" s="279"/>
      <c r="M151" s="279"/>
      <c r="N151" s="279"/>
      <c r="O151" s="279"/>
      <c r="P151" s="279"/>
      <c r="Q151" s="279"/>
      <c r="R151" s="279"/>
      <c r="S151" s="279"/>
      <c r="T151" s="279"/>
      <c r="U151" s="279"/>
      <c r="V151" s="330">
        <v>0</v>
      </c>
      <c r="W151" s="310"/>
      <c r="X151" s="5"/>
    </row>
    <row r="152" spans="1:25" ht="15.6" x14ac:dyDescent="0.3">
      <c r="A152" s="278"/>
      <c r="B152" s="279" t="s">
        <v>178</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270</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305"/>
      <c r="C154" s="305"/>
      <c r="D154" s="305"/>
      <c r="E154" s="305"/>
      <c r="F154" s="305"/>
      <c r="G154" s="305"/>
      <c r="H154" s="305"/>
      <c r="I154" s="305"/>
      <c r="J154" s="305"/>
      <c r="K154" s="305"/>
      <c r="L154" s="305"/>
      <c r="M154" s="305"/>
      <c r="N154" s="305"/>
      <c r="O154" s="305"/>
      <c r="P154" s="305"/>
      <c r="Q154" s="305"/>
      <c r="R154" s="305"/>
      <c r="S154" s="305"/>
      <c r="T154" s="305"/>
      <c r="U154" s="305"/>
      <c r="V154" s="335"/>
      <c r="W154" s="310"/>
      <c r="X154" s="5"/>
    </row>
    <row r="155" spans="1:25" ht="15.6" x14ac:dyDescent="0.3">
      <c r="A155" s="177"/>
      <c r="B155" s="275"/>
      <c r="C155" s="275"/>
      <c r="D155" s="275"/>
      <c r="E155" s="275"/>
      <c r="F155" s="275"/>
      <c r="G155" s="275"/>
      <c r="H155" s="275"/>
      <c r="I155" s="275"/>
      <c r="J155" s="275"/>
      <c r="K155" s="275"/>
      <c r="L155" s="275"/>
      <c r="M155" s="275"/>
      <c r="N155" s="275"/>
      <c r="O155" s="275"/>
      <c r="P155" s="275"/>
      <c r="Q155" s="275"/>
      <c r="R155" s="275"/>
      <c r="S155" s="275"/>
      <c r="T155" s="275"/>
      <c r="U155" s="275"/>
      <c r="V155" s="338"/>
      <c r="W155" s="275"/>
      <c r="X155" s="5"/>
    </row>
    <row r="156" spans="1:25" ht="15.6" x14ac:dyDescent="0.3">
      <c r="A156" s="177"/>
      <c r="B156" s="208" t="s">
        <v>24</v>
      </c>
      <c r="C156" s="179"/>
      <c r="D156" s="179"/>
      <c r="E156" s="179"/>
      <c r="F156" s="179"/>
      <c r="G156" s="179"/>
      <c r="H156" s="179"/>
      <c r="I156" s="179"/>
      <c r="J156" s="179"/>
      <c r="K156" s="179"/>
      <c r="L156" s="179"/>
      <c r="M156" s="179"/>
      <c r="N156" s="179"/>
      <c r="O156" s="179"/>
      <c r="P156" s="179"/>
      <c r="Q156" s="179"/>
      <c r="R156" s="179"/>
      <c r="S156" s="179"/>
      <c r="T156" s="179"/>
      <c r="U156" s="179"/>
      <c r="V156" s="199"/>
      <c r="W156" s="179"/>
      <c r="X156" s="5"/>
    </row>
    <row r="157" spans="1:25" ht="15.6" x14ac:dyDescent="0.3">
      <c r="A157" s="278"/>
      <c r="B157" s="279" t="s">
        <v>48</v>
      </c>
      <c r="C157" s="279"/>
      <c r="D157" s="279"/>
      <c r="E157" s="279"/>
      <c r="F157" s="279"/>
      <c r="G157" s="279"/>
      <c r="H157" s="279"/>
      <c r="I157" s="279"/>
      <c r="J157" s="279"/>
      <c r="K157" s="279"/>
      <c r="L157" s="279"/>
      <c r="M157" s="279"/>
      <c r="N157" s="279"/>
      <c r="O157" s="279"/>
      <c r="P157" s="279"/>
      <c r="Q157" s="279"/>
      <c r="R157" s="279"/>
      <c r="S157" s="279"/>
      <c r="T157" s="279"/>
      <c r="U157" s="279"/>
      <c r="V157" s="339" t="s">
        <v>123</v>
      </c>
      <c r="W157" s="282"/>
      <c r="X157" s="5"/>
    </row>
    <row r="158" spans="1:25" ht="15.6" x14ac:dyDescent="0.3">
      <c r="A158" s="278"/>
      <c r="B158" s="279" t="s">
        <v>49</v>
      </c>
      <c r="C158" s="281"/>
      <c r="D158" s="281"/>
      <c r="E158" s="281"/>
      <c r="F158" s="281"/>
      <c r="G158" s="281"/>
      <c r="H158" s="281"/>
      <c r="I158" s="281"/>
      <c r="J158" s="281"/>
      <c r="K158" s="281"/>
      <c r="L158" s="281"/>
      <c r="M158" s="281"/>
      <c r="N158" s="281"/>
      <c r="O158" s="281"/>
      <c r="P158" s="281"/>
      <c r="Q158" s="281"/>
      <c r="R158" s="281"/>
      <c r="S158" s="281"/>
      <c r="T158" s="281"/>
      <c r="U158" s="281"/>
      <c r="V158" s="339" t="s">
        <v>123</v>
      </c>
      <c r="W158" s="282"/>
      <c r="X158" s="5"/>
    </row>
    <row r="159" spans="1:25" ht="15.6" x14ac:dyDescent="0.3">
      <c r="A159" s="278"/>
      <c r="B159" s="279" t="s">
        <v>50</v>
      </c>
      <c r="C159" s="279"/>
      <c r="D159" s="279"/>
      <c r="E159" s="279"/>
      <c r="F159" s="279"/>
      <c r="G159" s="279"/>
      <c r="H159" s="279"/>
      <c r="I159" s="279"/>
      <c r="J159" s="279"/>
      <c r="K159" s="279"/>
      <c r="L159" s="279"/>
      <c r="M159" s="279"/>
      <c r="N159" s="279"/>
      <c r="O159" s="279"/>
      <c r="P159" s="279"/>
      <c r="Q159" s="279"/>
      <c r="R159" s="279"/>
      <c r="S159" s="279"/>
      <c r="T159" s="279"/>
      <c r="U159" s="279"/>
      <c r="V159" s="339" t="s">
        <v>123</v>
      </c>
      <c r="W159" s="282"/>
      <c r="X159" s="5"/>
    </row>
    <row r="160" spans="1:25" ht="15.6" x14ac:dyDescent="0.3">
      <c r="A160" s="278"/>
      <c r="B160" s="279" t="s">
        <v>51</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177"/>
      <c r="B161" s="275"/>
      <c r="C161" s="275"/>
      <c r="D161" s="275"/>
      <c r="E161" s="275"/>
      <c r="F161" s="275"/>
      <c r="G161" s="275"/>
      <c r="H161" s="275"/>
      <c r="I161" s="275"/>
      <c r="J161" s="275"/>
      <c r="K161" s="275"/>
      <c r="L161" s="275"/>
      <c r="M161" s="275"/>
      <c r="N161" s="275"/>
      <c r="O161" s="275"/>
      <c r="P161" s="275"/>
      <c r="Q161" s="275"/>
      <c r="R161" s="275"/>
      <c r="S161" s="275"/>
      <c r="T161" s="275"/>
      <c r="U161" s="275"/>
      <c r="V161" s="338"/>
      <c r="W161" s="275"/>
      <c r="X161" s="5"/>
    </row>
    <row r="162" spans="1:24" ht="15.6" x14ac:dyDescent="0.3">
      <c r="A162" s="177"/>
      <c r="B162" s="208" t="s">
        <v>52</v>
      </c>
      <c r="C162" s="179"/>
      <c r="D162" s="179"/>
      <c r="E162" s="179"/>
      <c r="F162" s="179"/>
      <c r="G162" s="179"/>
      <c r="H162" s="179"/>
      <c r="I162" s="179"/>
      <c r="J162" s="179"/>
      <c r="K162" s="179"/>
      <c r="L162" s="179"/>
      <c r="M162" s="179"/>
      <c r="N162" s="179"/>
      <c r="O162" s="179"/>
      <c r="P162" s="179"/>
      <c r="Q162" s="179"/>
      <c r="R162" s="179"/>
      <c r="S162" s="179"/>
      <c r="T162" s="179"/>
      <c r="U162" s="179"/>
      <c r="V162" s="209"/>
      <c r="W162" s="179"/>
      <c r="X162" s="5"/>
    </row>
    <row r="163" spans="1:24" ht="15.6" x14ac:dyDescent="0.3">
      <c r="A163" s="278"/>
      <c r="B163" s="279" t="s">
        <v>53</v>
      </c>
      <c r="C163" s="279"/>
      <c r="D163" s="279"/>
      <c r="E163" s="279"/>
      <c r="F163" s="279"/>
      <c r="G163" s="279"/>
      <c r="H163" s="279"/>
      <c r="I163" s="279"/>
      <c r="J163" s="279"/>
      <c r="K163" s="279"/>
      <c r="L163" s="279"/>
      <c r="M163" s="279"/>
      <c r="N163" s="279"/>
      <c r="O163" s="279"/>
      <c r="P163" s="279"/>
      <c r="Q163" s="279"/>
      <c r="R163" s="279"/>
      <c r="S163" s="279"/>
      <c r="T163" s="279"/>
      <c r="U163" s="279"/>
      <c r="V163" s="330">
        <v>0</v>
      </c>
      <c r="W163" s="310"/>
      <c r="X163" s="5"/>
    </row>
    <row r="164" spans="1:24" ht="15.6" x14ac:dyDescent="0.3">
      <c r="A164" s="278"/>
      <c r="B164" s="279" t="s">
        <v>54</v>
      </c>
      <c r="C164" s="279"/>
      <c r="D164" s="279"/>
      <c r="E164" s="279"/>
      <c r="F164" s="279"/>
      <c r="G164" s="279"/>
      <c r="H164" s="279"/>
      <c r="I164" s="279"/>
      <c r="J164" s="279"/>
      <c r="K164" s="279"/>
      <c r="L164" s="279"/>
      <c r="M164" s="279"/>
      <c r="N164" s="279"/>
      <c r="O164" s="279"/>
      <c r="P164" s="279"/>
      <c r="Q164" s="279"/>
      <c r="R164" s="279"/>
      <c r="S164" s="279"/>
      <c r="T164" s="279"/>
      <c r="U164" s="279"/>
      <c r="V164" s="330">
        <f>-V113</f>
        <v>38</v>
      </c>
      <c r="W164" s="310"/>
      <c r="X164" s="5"/>
    </row>
    <row r="165" spans="1:24" ht="15.6" x14ac:dyDescent="0.3">
      <c r="A165" s="278"/>
      <c r="B165" s="279" t="s">
        <v>55</v>
      </c>
      <c r="C165" s="279"/>
      <c r="D165" s="279"/>
      <c r="E165" s="279"/>
      <c r="F165" s="279"/>
      <c r="G165" s="279"/>
      <c r="H165" s="279"/>
      <c r="I165" s="279"/>
      <c r="J165" s="279"/>
      <c r="K165" s="279"/>
      <c r="L165" s="279"/>
      <c r="M165" s="279"/>
      <c r="N165" s="279"/>
      <c r="O165" s="279"/>
      <c r="P165" s="279"/>
      <c r="Q165" s="279"/>
      <c r="R165" s="279"/>
      <c r="S165" s="279"/>
      <c r="T165" s="279"/>
      <c r="U165" s="279"/>
      <c r="V165" s="330">
        <f>V164+V163</f>
        <v>38</v>
      </c>
      <c r="W165" s="310"/>
      <c r="X165" s="5"/>
    </row>
    <row r="166" spans="1:24" ht="15.6" x14ac:dyDescent="0.3">
      <c r="A166" s="278"/>
      <c r="B166" s="399" t="s">
        <v>310</v>
      </c>
      <c r="C166" s="279"/>
      <c r="D166" s="279"/>
      <c r="E166" s="279"/>
      <c r="F166" s="279"/>
      <c r="G166" s="279"/>
      <c r="H166" s="279"/>
      <c r="I166" s="279"/>
      <c r="J166" s="279"/>
      <c r="K166" s="279"/>
      <c r="L166" s="279"/>
      <c r="M166" s="279"/>
      <c r="N166" s="279"/>
      <c r="O166" s="279"/>
      <c r="P166" s="279"/>
      <c r="Q166" s="279"/>
      <c r="R166" s="279"/>
      <c r="S166" s="279"/>
      <c r="T166" s="279"/>
      <c r="U166" s="279"/>
      <c r="V166" s="330">
        <f>V113</f>
        <v>-38</v>
      </c>
      <c r="W166" s="310"/>
      <c r="X166" s="5"/>
    </row>
    <row r="167" spans="1:24" ht="15.6" x14ac:dyDescent="0.3">
      <c r="A167" s="278"/>
      <c r="B167" s="279" t="s">
        <v>56</v>
      </c>
      <c r="C167" s="279"/>
      <c r="D167" s="279"/>
      <c r="E167" s="279"/>
      <c r="F167" s="279"/>
      <c r="G167" s="279"/>
      <c r="H167" s="279"/>
      <c r="I167" s="279"/>
      <c r="J167" s="279"/>
      <c r="K167" s="279"/>
      <c r="L167" s="279"/>
      <c r="M167" s="279"/>
      <c r="N167" s="279"/>
      <c r="O167" s="279"/>
      <c r="P167" s="279"/>
      <c r="Q167" s="279"/>
      <c r="R167" s="279"/>
      <c r="S167" s="279"/>
      <c r="T167" s="279"/>
      <c r="U167" s="279"/>
      <c r="V167" s="330">
        <f>V165+V166</f>
        <v>0</v>
      </c>
      <c r="W167" s="310"/>
      <c r="X167" s="5"/>
    </row>
    <row r="168" spans="1:24" ht="15.6" x14ac:dyDescent="0.3">
      <c r="A168" s="278"/>
      <c r="B168" s="279" t="s">
        <v>282</v>
      </c>
      <c r="C168" s="279"/>
      <c r="D168" s="279"/>
      <c r="E168" s="279"/>
      <c r="F168" s="279"/>
      <c r="G168" s="279"/>
      <c r="H168" s="279"/>
      <c r="I168" s="279"/>
      <c r="J168" s="279"/>
      <c r="K168" s="279"/>
      <c r="L168" s="279"/>
      <c r="M168" s="279"/>
      <c r="N168" s="279"/>
      <c r="O168" s="279"/>
      <c r="P168" s="279"/>
      <c r="Q168" s="279"/>
      <c r="R168" s="279"/>
      <c r="S168" s="279"/>
      <c r="T168" s="279"/>
      <c r="U168" s="279"/>
      <c r="V168" s="330">
        <f>-V99</f>
        <v>124</v>
      </c>
      <c r="W168" s="310"/>
      <c r="X168" s="5"/>
    </row>
    <row r="169" spans="1:24" ht="16.2" thickBot="1" x14ac:dyDescent="0.35">
      <c r="A169" s="177"/>
      <c r="B169" s="275"/>
      <c r="C169" s="275"/>
      <c r="D169" s="275"/>
      <c r="E169" s="275"/>
      <c r="F169" s="275"/>
      <c r="G169" s="275"/>
      <c r="H169" s="275"/>
      <c r="I169" s="275"/>
      <c r="J169" s="275"/>
      <c r="K169" s="275"/>
      <c r="L169" s="275"/>
      <c r="M169" s="275"/>
      <c r="N169" s="275"/>
      <c r="O169" s="275"/>
      <c r="P169" s="275"/>
      <c r="Q169" s="275"/>
      <c r="R169" s="275"/>
      <c r="S169" s="275"/>
      <c r="T169" s="275"/>
      <c r="U169" s="275"/>
      <c r="V169" s="338"/>
      <c r="W169" s="275"/>
      <c r="X169" s="5"/>
    </row>
    <row r="170" spans="1:24"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76"/>
      <c r="U170" s="176"/>
      <c r="V170" s="198"/>
      <c r="W170" s="176"/>
      <c r="X170" s="5"/>
    </row>
    <row r="171" spans="1:24" ht="15.6" x14ac:dyDescent="0.3">
      <c r="A171" s="177"/>
      <c r="B171" s="208" t="s">
        <v>57</v>
      </c>
      <c r="C171" s="179"/>
      <c r="D171" s="179"/>
      <c r="E171" s="179"/>
      <c r="F171" s="179"/>
      <c r="G171" s="179"/>
      <c r="H171" s="179"/>
      <c r="I171" s="179"/>
      <c r="J171" s="179"/>
      <c r="K171" s="179"/>
      <c r="L171" s="179"/>
      <c r="M171" s="179"/>
      <c r="N171" s="179"/>
      <c r="O171" s="179"/>
      <c r="P171" s="179"/>
      <c r="Q171" s="179"/>
      <c r="R171" s="179"/>
      <c r="S171" s="179"/>
      <c r="T171" s="179"/>
      <c r="U171" s="179"/>
      <c r="V171" s="199"/>
      <c r="W171" s="179"/>
      <c r="X171" s="5"/>
    </row>
    <row r="172" spans="1:24" ht="15.6" x14ac:dyDescent="0.3">
      <c r="A172" s="177"/>
      <c r="B172" s="186"/>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278"/>
      <c r="B173" s="279" t="s">
        <v>58</v>
      </c>
      <c r="C173" s="279"/>
      <c r="D173" s="279"/>
      <c r="E173" s="279"/>
      <c r="F173" s="279"/>
      <c r="G173" s="279"/>
      <c r="H173" s="279"/>
      <c r="I173" s="279"/>
      <c r="J173" s="279"/>
      <c r="K173" s="279"/>
      <c r="L173" s="279"/>
      <c r="M173" s="279"/>
      <c r="N173" s="279"/>
      <c r="O173" s="279"/>
      <c r="P173" s="279"/>
      <c r="Q173" s="279"/>
      <c r="R173" s="279"/>
      <c r="S173" s="279"/>
      <c r="T173" s="279"/>
      <c r="U173" s="279"/>
      <c r="V173" s="330">
        <f>V71</f>
        <v>1003700</v>
      </c>
      <c r="W173" s="282"/>
      <c r="X173" s="5"/>
    </row>
    <row r="174" spans="1:24" ht="15.6" x14ac:dyDescent="0.3">
      <c r="A174" s="278"/>
      <c r="B174" s="279" t="s">
        <v>59</v>
      </c>
      <c r="C174" s="279"/>
      <c r="D174" s="279"/>
      <c r="E174" s="279"/>
      <c r="F174" s="279"/>
      <c r="G174" s="279"/>
      <c r="H174" s="279"/>
      <c r="I174" s="279"/>
      <c r="J174" s="279"/>
      <c r="K174" s="279"/>
      <c r="L174" s="279"/>
      <c r="M174" s="279"/>
      <c r="N174" s="279"/>
      <c r="O174" s="279"/>
      <c r="P174" s="279"/>
      <c r="Q174" s="279"/>
      <c r="R174" s="279"/>
      <c r="S174" s="279"/>
      <c r="T174" s="279"/>
      <c r="U174" s="279"/>
      <c r="V174" s="330">
        <f>V84</f>
        <v>1003700</v>
      </c>
      <c r="W174" s="282"/>
      <c r="X174" s="5"/>
    </row>
    <row r="175" spans="1:24" ht="16.2" thickBot="1" x14ac:dyDescent="0.35">
      <c r="A175" s="177"/>
      <c r="B175" s="275"/>
      <c r="C175" s="275"/>
      <c r="D175" s="275"/>
      <c r="E175" s="275"/>
      <c r="F175" s="275"/>
      <c r="G175" s="275"/>
      <c r="H175" s="275"/>
      <c r="I175" s="275"/>
      <c r="J175" s="275"/>
      <c r="K175" s="275"/>
      <c r="L175" s="275"/>
      <c r="M175" s="275"/>
      <c r="N175" s="275"/>
      <c r="O175" s="275"/>
      <c r="P175" s="275"/>
      <c r="Q175" s="275"/>
      <c r="R175" s="275"/>
      <c r="S175" s="275"/>
      <c r="T175" s="275"/>
      <c r="U175" s="275"/>
      <c r="V175" s="338"/>
      <c r="W175" s="275"/>
      <c r="X175" s="5"/>
    </row>
    <row r="176" spans="1:24"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76"/>
      <c r="U176" s="176"/>
      <c r="V176" s="198"/>
      <c r="W176" s="176"/>
      <c r="X176" s="5"/>
    </row>
    <row r="177" spans="1:24" ht="15.6" x14ac:dyDescent="0.3">
      <c r="A177" s="177"/>
      <c r="B177" s="208" t="s">
        <v>60</v>
      </c>
      <c r="C177" s="203"/>
      <c r="D177" s="203"/>
      <c r="E177" s="203"/>
      <c r="F177" s="203"/>
      <c r="G177" s="203"/>
      <c r="H177" s="210"/>
      <c r="I177" s="210"/>
      <c r="J177" s="210"/>
      <c r="K177" s="210"/>
      <c r="L177" s="210"/>
      <c r="M177" s="210"/>
      <c r="N177" s="210"/>
      <c r="O177" s="210"/>
      <c r="P177" s="210"/>
      <c r="Q177" s="210"/>
      <c r="R177" s="210"/>
      <c r="S177" s="210" t="s">
        <v>103</v>
      </c>
      <c r="T177" s="210" t="s">
        <v>182</v>
      </c>
      <c r="U177" s="181"/>
      <c r="V177" s="211" t="s">
        <v>119</v>
      </c>
      <c r="W177" s="212"/>
      <c r="X177" s="5"/>
    </row>
    <row r="178" spans="1:24" ht="15.6" x14ac:dyDescent="0.3">
      <c r="A178" s="278"/>
      <c r="B178" s="279" t="s">
        <v>61</v>
      </c>
      <c r="C178" s="279"/>
      <c r="D178" s="279"/>
      <c r="E178" s="279"/>
      <c r="F178" s="279"/>
      <c r="G178" s="279"/>
      <c r="H178" s="279"/>
      <c r="I178" s="279"/>
      <c r="J178" s="279"/>
      <c r="K178" s="279"/>
      <c r="L178" s="279"/>
      <c r="M178" s="279"/>
      <c r="N178" s="279"/>
      <c r="O178" s="279"/>
      <c r="P178" s="279"/>
      <c r="Q178" s="279"/>
      <c r="R178" s="279"/>
      <c r="S178" s="330">
        <f>+V34*0.16</f>
        <v>240032.80000000002</v>
      </c>
      <c r="T178" s="317"/>
      <c r="U178" s="279"/>
      <c r="V178" s="330"/>
      <c r="W178" s="310"/>
      <c r="X178" s="5"/>
    </row>
    <row r="179" spans="1:24" ht="15.6" x14ac:dyDescent="0.3">
      <c r="A179" s="278"/>
      <c r="B179" s="279" t="s">
        <v>62</v>
      </c>
      <c r="C179" s="279"/>
      <c r="D179" s="279"/>
      <c r="E179" s="279"/>
      <c r="F179" s="279"/>
      <c r="G179" s="279"/>
      <c r="H179" s="279"/>
      <c r="I179" s="279"/>
      <c r="J179" s="279"/>
      <c r="K179" s="279"/>
      <c r="L179" s="279"/>
      <c r="M179" s="279"/>
      <c r="N179" s="279"/>
      <c r="O179" s="279"/>
      <c r="P179" s="279"/>
      <c r="Q179" s="279"/>
      <c r="R179" s="279"/>
      <c r="S179" s="330">
        <f>+'April 11'!S181</f>
        <v>48272</v>
      </c>
      <c r="T179" s="330">
        <f>+'April 11'!T181</f>
        <v>6288</v>
      </c>
      <c r="U179" s="279"/>
      <c r="V179" s="330">
        <f>S179+T179</f>
        <v>54560</v>
      </c>
      <c r="W179" s="310"/>
      <c r="X179" s="5"/>
    </row>
    <row r="180" spans="1:24" ht="15.6" x14ac:dyDescent="0.3">
      <c r="A180" s="278"/>
      <c r="B180" s="279" t="s">
        <v>63</v>
      </c>
      <c r="C180" s="279"/>
      <c r="D180" s="279"/>
      <c r="E180" s="279"/>
      <c r="F180" s="279"/>
      <c r="G180" s="279"/>
      <c r="H180" s="279"/>
      <c r="I180" s="279"/>
      <c r="J180" s="279"/>
      <c r="K180" s="279"/>
      <c r="L180" s="279"/>
      <c r="M180" s="279"/>
      <c r="N180" s="279"/>
      <c r="O180" s="279"/>
      <c r="P180" s="279"/>
      <c r="Q180" s="279"/>
      <c r="R180" s="279"/>
      <c r="S180" s="329">
        <f>156</f>
        <v>156</v>
      </c>
      <c r="T180" s="329">
        <v>64</v>
      </c>
      <c r="U180" s="279"/>
      <c r="V180" s="330">
        <f>S180+T180</f>
        <v>220</v>
      </c>
      <c r="W180" s="310"/>
      <c r="X180" s="5"/>
    </row>
    <row r="181" spans="1:24" ht="15.6" x14ac:dyDescent="0.3">
      <c r="A181" s="278"/>
      <c r="B181" s="279" t="s">
        <v>64</v>
      </c>
      <c r="C181" s="279"/>
      <c r="D181" s="279"/>
      <c r="E181" s="279"/>
      <c r="F181" s="279"/>
      <c r="G181" s="279"/>
      <c r="H181" s="279"/>
      <c r="I181" s="279"/>
      <c r="J181" s="279"/>
      <c r="K181" s="279"/>
      <c r="L181" s="279"/>
      <c r="M181" s="279"/>
      <c r="N181" s="279"/>
      <c r="O181" s="279"/>
      <c r="P181" s="279"/>
      <c r="Q181" s="279"/>
      <c r="R181" s="279"/>
      <c r="S181" s="330">
        <f>S179+S180</f>
        <v>48428</v>
      </c>
      <c r="T181" s="330">
        <f>T180+T179</f>
        <v>6352</v>
      </c>
      <c r="U181" s="279"/>
      <c r="V181" s="330">
        <f>S181+T181</f>
        <v>54780</v>
      </c>
      <c r="W181" s="310"/>
      <c r="X181" s="5"/>
    </row>
    <row r="182" spans="1:24" ht="15.6" x14ac:dyDescent="0.3">
      <c r="A182" s="278"/>
      <c r="B182" s="279" t="s">
        <v>65</v>
      </c>
      <c r="C182" s="279"/>
      <c r="D182" s="279"/>
      <c r="E182" s="279"/>
      <c r="F182" s="279"/>
      <c r="G182" s="279"/>
      <c r="H182" s="279"/>
      <c r="I182" s="279"/>
      <c r="J182" s="279"/>
      <c r="K182" s="279"/>
      <c r="L182" s="279"/>
      <c r="M182" s="279"/>
      <c r="N182" s="279"/>
      <c r="O182" s="279"/>
      <c r="P182" s="279"/>
      <c r="Q182" s="279"/>
      <c r="R182" s="279"/>
      <c r="S182" s="330">
        <f>S178-S181-T181</f>
        <v>185252.80000000002</v>
      </c>
      <c r="T182" s="317"/>
      <c r="U182" s="279"/>
      <c r="V182" s="330"/>
      <c r="W182" s="310"/>
      <c r="X182" s="5"/>
    </row>
    <row r="183" spans="1:24" ht="16.2" thickBot="1" x14ac:dyDescent="0.35">
      <c r="A183" s="177"/>
      <c r="B183" s="275"/>
      <c r="C183" s="275"/>
      <c r="D183" s="275"/>
      <c r="E183" s="275"/>
      <c r="F183" s="275"/>
      <c r="G183" s="275"/>
      <c r="H183" s="275"/>
      <c r="I183" s="275"/>
      <c r="J183" s="275"/>
      <c r="K183" s="275"/>
      <c r="L183" s="275"/>
      <c r="M183" s="275"/>
      <c r="N183" s="275"/>
      <c r="O183" s="275"/>
      <c r="P183" s="275"/>
      <c r="Q183" s="275"/>
      <c r="R183" s="275"/>
      <c r="S183" s="275"/>
      <c r="T183" s="275"/>
      <c r="U183" s="275"/>
      <c r="V183" s="338"/>
      <c r="W183" s="275"/>
      <c r="X183" s="5"/>
    </row>
    <row r="184" spans="1:24"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76"/>
      <c r="U184" s="176"/>
      <c r="V184" s="198"/>
      <c r="W184" s="176"/>
      <c r="X184" s="5"/>
    </row>
    <row r="185" spans="1:24" ht="15.6" x14ac:dyDescent="0.3">
      <c r="A185" s="177"/>
      <c r="B185" s="208" t="s">
        <v>66</v>
      </c>
      <c r="C185" s="179"/>
      <c r="D185" s="179"/>
      <c r="E185" s="179"/>
      <c r="F185" s="179"/>
      <c r="G185" s="179"/>
      <c r="H185" s="179"/>
      <c r="I185" s="179"/>
      <c r="J185" s="179"/>
      <c r="K185" s="179"/>
      <c r="L185" s="179"/>
      <c r="M185" s="179"/>
      <c r="N185" s="179"/>
      <c r="O185" s="179"/>
      <c r="P185" s="179"/>
      <c r="Q185" s="179"/>
      <c r="R185" s="179"/>
      <c r="S185" s="179"/>
      <c r="T185" s="179"/>
      <c r="U185" s="179"/>
      <c r="V185" s="213"/>
      <c r="W185" s="179"/>
      <c r="X185" s="5"/>
    </row>
    <row r="186" spans="1:24" ht="15.6" x14ac:dyDescent="0.3">
      <c r="A186" s="278"/>
      <c r="B186" s="279" t="s">
        <v>67</v>
      </c>
      <c r="C186" s="279"/>
      <c r="D186" s="279"/>
      <c r="E186" s="279"/>
      <c r="F186" s="279"/>
      <c r="G186" s="279"/>
      <c r="H186" s="279"/>
      <c r="I186" s="279"/>
      <c r="J186" s="279"/>
      <c r="K186" s="279"/>
      <c r="L186" s="279"/>
      <c r="M186" s="279"/>
      <c r="N186" s="279"/>
      <c r="O186" s="279"/>
      <c r="P186" s="279"/>
      <c r="Q186" s="279"/>
      <c r="R186" s="279"/>
      <c r="S186" s="279"/>
      <c r="T186" s="279"/>
      <c r="U186" s="279"/>
      <c r="V186" s="339">
        <f>(V100+V102+V103+V104+V105)/-(V106+V107)</f>
        <v>2.9542143600416235</v>
      </c>
      <c r="W186" s="282" t="s">
        <v>120</v>
      </c>
      <c r="X186" s="5"/>
    </row>
    <row r="187" spans="1:24" ht="15.6" x14ac:dyDescent="0.3">
      <c r="A187" s="278"/>
      <c r="B187" s="279" t="s">
        <v>68</v>
      </c>
      <c r="C187" s="279"/>
      <c r="D187" s="279"/>
      <c r="E187" s="279"/>
      <c r="F187" s="279"/>
      <c r="G187" s="279"/>
      <c r="H187" s="279"/>
      <c r="I187" s="279"/>
      <c r="J187" s="279"/>
      <c r="K187" s="279"/>
      <c r="L187" s="279"/>
      <c r="M187" s="279"/>
      <c r="N187" s="279"/>
      <c r="O187" s="279"/>
      <c r="P187" s="279"/>
      <c r="Q187" s="279"/>
      <c r="R187" s="279"/>
      <c r="S187" s="279"/>
      <c r="T187" s="279"/>
      <c r="U187" s="279"/>
      <c r="V187" s="341">
        <v>1.56</v>
      </c>
      <c r="W187" s="282" t="s">
        <v>120</v>
      </c>
      <c r="X187" s="5"/>
    </row>
    <row r="188" spans="1:24" ht="15.6" x14ac:dyDescent="0.3">
      <c r="A188" s="278"/>
      <c r="B188" s="279" t="s">
        <v>69</v>
      </c>
      <c r="C188" s="279"/>
      <c r="D188" s="279"/>
      <c r="E188" s="279"/>
      <c r="F188" s="279"/>
      <c r="G188" s="279"/>
      <c r="H188" s="279"/>
      <c r="I188" s="279"/>
      <c r="J188" s="279"/>
      <c r="K188" s="279"/>
      <c r="L188" s="279"/>
      <c r="M188" s="279"/>
      <c r="N188" s="279"/>
      <c r="O188" s="279"/>
      <c r="P188" s="279"/>
      <c r="Q188" s="279"/>
      <c r="R188" s="279"/>
      <c r="S188" s="279"/>
      <c r="T188" s="279"/>
      <c r="U188" s="279"/>
      <c r="V188" s="339">
        <f>(V100+V102+V103+V104+V105+V106+V107)/-(V108+V109)</f>
        <v>12.604026845637584</v>
      </c>
      <c r="W188" s="282" t="s">
        <v>120</v>
      </c>
      <c r="X188" s="5"/>
    </row>
    <row r="189" spans="1:24" ht="15.6" x14ac:dyDescent="0.3">
      <c r="A189" s="278"/>
      <c r="B189" s="279" t="s">
        <v>70</v>
      </c>
      <c r="C189" s="279"/>
      <c r="D189" s="279"/>
      <c r="E189" s="279"/>
      <c r="F189" s="279"/>
      <c r="G189" s="279"/>
      <c r="H189" s="279"/>
      <c r="I189" s="279"/>
      <c r="J189" s="279"/>
      <c r="K189" s="279"/>
      <c r="L189" s="279"/>
      <c r="M189" s="279"/>
      <c r="N189" s="279"/>
      <c r="O189" s="279"/>
      <c r="P189" s="279"/>
      <c r="Q189" s="279"/>
      <c r="R189" s="279"/>
      <c r="S189" s="279"/>
      <c r="T189" s="279"/>
      <c r="U189" s="279"/>
      <c r="V189" s="341">
        <v>5.28</v>
      </c>
      <c r="W189" s="282" t="s">
        <v>120</v>
      </c>
      <c r="X189" s="5"/>
    </row>
    <row r="190" spans="1:24" ht="15.6" x14ac:dyDescent="0.3">
      <c r="A190" s="278"/>
      <c r="B190" s="279" t="s">
        <v>204</v>
      </c>
      <c r="C190" s="279"/>
      <c r="D190" s="279"/>
      <c r="E190" s="279"/>
      <c r="F190" s="279"/>
      <c r="G190" s="279"/>
      <c r="H190" s="279"/>
      <c r="I190" s="279"/>
      <c r="J190" s="279"/>
      <c r="K190" s="279"/>
      <c r="L190" s="279"/>
      <c r="M190" s="279"/>
      <c r="N190" s="279"/>
      <c r="O190" s="279"/>
      <c r="P190" s="279"/>
      <c r="Q190" s="279"/>
      <c r="R190" s="279"/>
      <c r="S190" s="279"/>
      <c r="T190" s="279"/>
      <c r="U190" s="279"/>
      <c r="V190" s="339">
        <f>(V100+V102+V103+V104+V105+V106+V107+V108+V109)/-(V110+V111)</f>
        <v>11.842465753424657</v>
      </c>
      <c r="W190" s="282" t="s">
        <v>120</v>
      </c>
      <c r="X190" s="5"/>
    </row>
    <row r="191" spans="1:24" ht="15.6" x14ac:dyDescent="0.3">
      <c r="A191" s="278"/>
      <c r="B191" s="279" t="s">
        <v>205</v>
      </c>
      <c r="C191" s="279"/>
      <c r="D191" s="279"/>
      <c r="E191" s="279"/>
      <c r="F191" s="279"/>
      <c r="G191" s="279"/>
      <c r="H191" s="279"/>
      <c r="I191" s="279"/>
      <c r="J191" s="279"/>
      <c r="K191" s="279"/>
      <c r="L191" s="279"/>
      <c r="M191" s="279"/>
      <c r="N191" s="279"/>
      <c r="O191" s="279"/>
      <c r="P191" s="279"/>
      <c r="Q191" s="279"/>
      <c r="R191" s="279"/>
      <c r="S191" s="279"/>
      <c r="T191" s="279"/>
      <c r="U191" s="279"/>
      <c r="V191" s="341">
        <v>4.9800000000000004</v>
      </c>
      <c r="W191" s="282" t="s">
        <v>120</v>
      </c>
      <c r="X191" s="5"/>
    </row>
    <row r="192" spans="1:24" ht="15.6" x14ac:dyDescent="0.3">
      <c r="A192" s="278"/>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82"/>
      <c r="X192" s="5"/>
    </row>
    <row r="193" spans="1:24" ht="15.6" x14ac:dyDescent="0.3">
      <c r="A193" s="177"/>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5"/>
    </row>
    <row r="194" spans="1:24" ht="15.6" x14ac:dyDescent="0.3">
      <c r="A194" s="177"/>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5"/>
    </row>
    <row r="195" spans="1:24" ht="18" thickBot="1" x14ac:dyDescent="0.35">
      <c r="A195" s="194"/>
      <c r="B195" s="264" t="str">
        <f>B135</f>
        <v>PM12 INVESTOR REPORT QUARTER ENDING JULY 2011</v>
      </c>
      <c r="C195" s="265"/>
      <c r="D195" s="265"/>
      <c r="E195" s="265"/>
      <c r="F195" s="265"/>
      <c r="G195" s="265"/>
      <c r="H195" s="265"/>
      <c r="I195" s="265"/>
      <c r="J195" s="265"/>
      <c r="K195" s="265"/>
      <c r="L195" s="265"/>
      <c r="M195" s="265"/>
      <c r="N195" s="265"/>
      <c r="O195" s="265"/>
      <c r="P195" s="265"/>
      <c r="Q195" s="265"/>
      <c r="R195" s="265"/>
      <c r="S195" s="265"/>
      <c r="T195" s="265"/>
      <c r="U195" s="265"/>
      <c r="V195" s="265"/>
      <c r="W195" s="266"/>
      <c r="X195" s="5"/>
    </row>
    <row r="196" spans="1:24" ht="15.6" x14ac:dyDescent="0.3">
      <c r="A196" s="235"/>
      <c r="B196" s="392" t="s">
        <v>71</v>
      </c>
      <c r="C196" s="393"/>
      <c r="D196" s="393"/>
      <c r="E196" s="393"/>
      <c r="F196" s="393"/>
      <c r="G196" s="394"/>
      <c r="H196" s="394"/>
      <c r="I196" s="394"/>
      <c r="J196" s="394"/>
      <c r="K196" s="394"/>
      <c r="L196" s="394"/>
      <c r="M196" s="394"/>
      <c r="N196" s="394"/>
      <c r="O196" s="394"/>
      <c r="P196" s="394"/>
      <c r="Q196" s="394"/>
      <c r="R196" s="394"/>
      <c r="S196" s="394"/>
      <c r="T196" s="394">
        <v>40753</v>
      </c>
      <c r="U196" s="236"/>
      <c r="V196" s="236"/>
      <c r="W196" s="236"/>
      <c r="X196" s="5"/>
    </row>
    <row r="197" spans="1:24" ht="15.6" x14ac:dyDescent="0.3">
      <c r="A197" s="214"/>
      <c r="B197" s="215"/>
      <c r="C197" s="216"/>
      <c r="D197" s="216"/>
      <c r="E197" s="216"/>
      <c r="F197" s="216"/>
      <c r="G197" s="217"/>
      <c r="H197" s="217"/>
      <c r="I197" s="217"/>
      <c r="J197" s="217"/>
      <c r="K197" s="217"/>
      <c r="L197" s="217"/>
      <c r="M197" s="217"/>
      <c r="N197" s="217"/>
      <c r="O197" s="217"/>
      <c r="P197" s="217"/>
      <c r="Q197" s="217"/>
      <c r="R197" s="217"/>
      <c r="S197" s="217"/>
      <c r="T197" s="217"/>
      <c r="U197" s="179"/>
      <c r="V197" s="179"/>
      <c r="W197" s="179"/>
      <c r="X197" s="5"/>
    </row>
    <row r="198" spans="1:24" ht="15.6" x14ac:dyDescent="0.3">
      <c r="A198" s="344"/>
      <c r="B198" s="279" t="s">
        <v>72</v>
      </c>
      <c r="C198" s="395"/>
      <c r="D198" s="395"/>
      <c r="E198" s="395"/>
      <c r="F198" s="395"/>
      <c r="G198" s="386"/>
      <c r="H198" s="386"/>
      <c r="I198" s="386"/>
      <c r="J198" s="386"/>
      <c r="K198" s="386"/>
      <c r="L198" s="386"/>
      <c r="M198" s="386"/>
      <c r="N198" s="386"/>
      <c r="O198" s="386"/>
      <c r="P198" s="386"/>
      <c r="Q198" s="386"/>
      <c r="R198" s="386"/>
      <c r="S198" s="386"/>
      <c r="T198" s="313">
        <v>5.2060000000000002E-2</v>
      </c>
      <c r="U198" s="279"/>
      <c r="V198" s="279"/>
      <c r="W198" s="310"/>
      <c r="X198" s="5"/>
    </row>
    <row r="199" spans="1:24" ht="15.6" x14ac:dyDescent="0.3">
      <c r="A199" s="344"/>
      <c r="B199" s="279" t="s">
        <v>156</v>
      </c>
      <c r="C199" s="395"/>
      <c r="D199" s="395"/>
      <c r="E199" s="395"/>
      <c r="F199" s="395"/>
      <c r="G199" s="386"/>
      <c r="H199" s="386"/>
      <c r="I199" s="386"/>
      <c r="J199" s="386"/>
      <c r="K199" s="386"/>
      <c r="L199" s="386"/>
      <c r="M199" s="386"/>
      <c r="N199" s="386"/>
      <c r="O199" s="386"/>
      <c r="P199" s="386"/>
      <c r="Q199" s="386"/>
      <c r="R199" s="386"/>
      <c r="S199" s="386"/>
      <c r="T199" s="313">
        <f>'Oct 06'!T197</f>
        <v>4.8538814772447772E-2</v>
      </c>
      <c r="U199" s="279"/>
      <c r="V199" s="279"/>
      <c r="W199" s="310"/>
      <c r="X199" s="5"/>
    </row>
    <row r="200" spans="1:24" ht="15.6" x14ac:dyDescent="0.3">
      <c r="A200" s="344"/>
      <c r="B200" s="279" t="s">
        <v>73</v>
      </c>
      <c r="C200" s="395"/>
      <c r="D200" s="395"/>
      <c r="E200" s="395"/>
      <c r="F200" s="395"/>
      <c r="G200" s="386"/>
      <c r="H200" s="386"/>
      <c r="I200" s="386"/>
      <c r="J200" s="386"/>
      <c r="K200" s="386"/>
      <c r="L200" s="386"/>
      <c r="M200" s="386"/>
      <c r="N200" s="386"/>
      <c r="O200" s="386"/>
      <c r="P200" s="386"/>
      <c r="Q200" s="386"/>
      <c r="R200" s="386"/>
      <c r="S200" s="386"/>
      <c r="T200" s="313">
        <f>T198-T199</f>
        <v>3.5211852275522301E-3</v>
      </c>
      <c r="U200" s="279"/>
      <c r="V200" s="279"/>
      <c r="W200" s="310"/>
      <c r="X200" s="5"/>
    </row>
    <row r="201" spans="1:24" ht="15.6" x14ac:dyDescent="0.3">
      <c r="A201" s="344"/>
      <c r="B201" s="279" t="s">
        <v>74</v>
      </c>
      <c r="C201" s="395"/>
      <c r="D201" s="395"/>
      <c r="E201" s="395"/>
      <c r="F201" s="395"/>
      <c r="G201" s="386"/>
      <c r="H201" s="386"/>
      <c r="I201" s="386"/>
      <c r="J201" s="386"/>
      <c r="K201" s="386"/>
      <c r="L201" s="386"/>
      <c r="M201" s="386"/>
      <c r="N201" s="386"/>
      <c r="O201" s="386"/>
      <c r="P201" s="386"/>
      <c r="Q201" s="386"/>
      <c r="R201" s="386"/>
      <c r="S201" s="386"/>
      <c r="T201" s="313">
        <v>2.5340000000000001E-2</v>
      </c>
      <c r="U201" s="279"/>
      <c r="V201" s="279"/>
      <c r="W201" s="310"/>
      <c r="X201" s="5"/>
    </row>
    <row r="202" spans="1:24" ht="15.6" x14ac:dyDescent="0.3">
      <c r="A202" s="344"/>
      <c r="B202" s="279" t="s">
        <v>225</v>
      </c>
      <c r="C202" s="395"/>
      <c r="D202" s="395"/>
      <c r="E202" s="395"/>
      <c r="F202" s="395"/>
      <c r="G202" s="386"/>
      <c r="H202" s="386"/>
      <c r="I202" s="386"/>
      <c r="J202" s="386"/>
      <c r="K202" s="386"/>
      <c r="L202" s="386"/>
      <c r="M202" s="386"/>
      <c r="N202" s="386"/>
      <c r="O202" s="386"/>
      <c r="P202" s="386"/>
      <c r="Q202" s="386"/>
      <c r="R202" s="386"/>
      <c r="S202" s="386"/>
      <c r="T202" s="313">
        <f>V43</f>
        <v>9.9878394030165959E-3</v>
      </c>
      <c r="U202" s="279"/>
      <c r="V202" s="279"/>
      <c r="W202" s="310"/>
      <c r="X202" s="5"/>
    </row>
    <row r="203" spans="1:24" ht="15.6" x14ac:dyDescent="0.3">
      <c r="A203" s="344"/>
      <c r="B203" s="279" t="s">
        <v>75</v>
      </c>
      <c r="C203" s="395"/>
      <c r="D203" s="395"/>
      <c r="E203" s="395"/>
      <c r="F203" s="395"/>
      <c r="G203" s="386"/>
      <c r="H203" s="386"/>
      <c r="I203" s="386"/>
      <c r="J203" s="386"/>
      <c r="K203" s="386"/>
      <c r="L203" s="386"/>
      <c r="M203" s="386"/>
      <c r="N203" s="386"/>
      <c r="O203" s="386"/>
      <c r="P203" s="386"/>
      <c r="Q203" s="386"/>
      <c r="R203" s="386"/>
      <c r="S203" s="386"/>
      <c r="T203" s="313">
        <f>T201-T202</f>
        <v>1.5352160596983406E-2</v>
      </c>
      <c r="U203" s="279"/>
      <c r="V203" s="279"/>
      <c r="W203" s="310"/>
      <c r="X203" s="5"/>
    </row>
    <row r="204" spans="1:24" ht="15.6" x14ac:dyDescent="0.3">
      <c r="A204" s="344"/>
      <c r="B204" s="279" t="s">
        <v>271</v>
      </c>
      <c r="C204" s="395"/>
      <c r="D204" s="395"/>
      <c r="E204" s="395"/>
      <c r="F204" s="395"/>
      <c r="G204" s="386"/>
      <c r="H204" s="386"/>
      <c r="I204" s="386"/>
      <c r="J204" s="386"/>
      <c r="K204" s="386"/>
      <c r="L204" s="386"/>
      <c r="M204" s="386"/>
      <c r="N204" s="386"/>
      <c r="O204" s="386"/>
      <c r="P204" s="386"/>
      <c r="Q204" s="386"/>
      <c r="R204" s="386"/>
      <c r="S204" s="386"/>
      <c r="T204" s="313">
        <f>+V100/N71</f>
        <v>6.4275860975455063E-3</v>
      </c>
      <c r="U204" s="279"/>
      <c r="V204" s="279"/>
      <c r="W204" s="310"/>
      <c r="X204" s="5"/>
    </row>
    <row r="205" spans="1:24" ht="15.6" x14ac:dyDescent="0.3">
      <c r="A205" s="344"/>
      <c r="B205" s="279" t="s">
        <v>214</v>
      </c>
      <c r="C205" s="395"/>
      <c r="D205" s="395"/>
      <c r="E205" s="395"/>
      <c r="F205" s="395"/>
      <c r="G205" s="386"/>
      <c r="H205" s="386"/>
      <c r="I205" s="386"/>
      <c r="J205" s="386"/>
      <c r="K205" s="386"/>
      <c r="L205" s="386"/>
      <c r="M205" s="386"/>
      <c r="N205" s="386"/>
      <c r="O205" s="386"/>
      <c r="P205" s="386"/>
      <c r="Q205" s="386"/>
      <c r="R205" s="386"/>
      <c r="S205" s="386"/>
      <c r="T205" s="346">
        <v>50710</v>
      </c>
      <c r="U205" s="279"/>
      <c r="V205" s="279"/>
      <c r="W205" s="310"/>
      <c r="X205" s="5"/>
    </row>
    <row r="206" spans="1:24" ht="15.6" x14ac:dyDescent="0.3">
      <c r="A206" s="344"/>
      <c r="B206" s="279" t="s">
        <v>215</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216</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76</v>
      </c>
      <c r="C208" s="395"/>
      <c r="D208" s="395"/>
      <c r="E208" s="395"/>
      <c r="F208" s="395"/>
      <c r="G208" s="386"/>
      <c r="H208" s="386"/>
      <c r="I208" s="386"/>
      <c r="J208" s="386"/>
      <c r="K208" s="386"/>
      <c r="L208" s="386"/>
      <c r="M208" s="386"/>
      <c r="N208" s="386"/>
      <c r="O208" s="386"/>
      <c r="P208" s="386"/>
      <c r="Q208" s="386"/>
      <c r="R208" s="386"/>
      <c r="S208" s="386"/>
      <c r="T208" s="319">
        <v>21.06</v>
      </c>
      <c r="U208" s="279" t="s">
        <v>115</v>
      </c>
      <c r="V208" s="279"/>
      <c r="W208" s="310"/>
      <c r="X208" s="5"/>
    </row>
    <row r="209" spans="1:24" ht="15.6" x14ac:dyDescent="0.3">
      <c r="A209" s="344"/>
      <c r="B209" s="279" t="s">
        <v>77</v>
      </c>
      <c r="C209" s="395"/>
      <c r="D209" s="395"/>
      <c r="E209" s="395"/>
      <c r="F209" s="395"/>
      <c r="G209" s="386"/>
      <c r="H209" s="386"/>
      <c r="I209" s="386"/>
      <c r="J209" s="386"/>
      <c r="K209" s="386"/>
      <c r="L209" s="386"/>
      <c r="M209" s="386"/>
      <c r="N209" s="386"/>
      <c r="O209" s="386"/>
      <c r="P209" s="386"/>
      <c r="Q209" s="386"/>
      <c r="R209" s="386"/>
      <c r="S209" s="386"/>
      <c r="T209" s="319">
        <v>16.12</v>
      </c>
      <c r="U209" s="279" t="s">
        <v>115</v>
      </c>
      <c r="V209" s="279"/>
      <c r="W209" s="310"/>
      <c r="X209" s="5"/>
    </row>
    <row r="210" spans="1:24" ht="15.6" x14ac:dyDescent="0.3">
      <c r="A210" s="344"/>
      <c r="B210" s="279" t="s">
        <v>78</v>
      </c>
      <c r="C210" s="395"/>
      <c r="D210" s="395"/>
      <c r="E210" s="395"/>
      <c r="F210" s="395"/>
      <c r="G210" s="386"/>
      <c r="H210" s="386"/>
      <c r="I210" s="386"/>
      <c r="J210" s="386"/>
      <c r="K210" s="386"/>
      <c r="L210" s="386"/>
      <c r="M210" s="386"/>
      <c r="N210" s="386"/>
      <c r="O210" s="386"/>
      <c r="P210" s="386"/>
      <c r="Q210" s="386"/>
      <c r="R210" s="386"/>
      <c r="S210" s="386"/>
      <c r="T210" s="313">
        <f>P68/N68</f>
        <v>5.5832593391260225E-3</v>
      </c>
      <c r="U210" s="279"/>
      <c r="V210" s="279"/>
      <c r="W210" s="310"/>
      <c r="X210" s="5"/>
    </row>
    <row r="211" spans="1:24" ht="15.6" x14ac:dyDescent="0.3">
      <c r="A211" s="344"/>
      <c r="B211" s="279" t="s">
        <v>79</v>
      </c>
      <c r="C211" s="395"/>
      <c r="D211" s="395"/>
      <c r="E211" s="395"/>
      <c r="F211" s="395"/>
      <c r="G211" s="386"/>
      <c r="H211" s="386"/>
      <c r="I211" s="386"/>
      <c r="J211" s="386"/>
      <c r="K211" s="386"/>
      <c r="L211" s="386"/>
      <c r="M211" s="386"/>
      <c r="N211" s="386"/>
      <c r="O211" s="386"/>
      <c r="P211" s="386"/>
      <c r="Q211" s="386"/>
      <c r="R211" s="386"/>
      <c r="S211" s="386"/>
      <c r="T211" s="313">
        <v>8.43E-2</v>
      </c>
      <c r="U211" s="279"/>
      <c r="V211" s="279"/>
      <c r="W211" s="310"/>
      <c r="X211" s="5"/>
    </row>
    <row r="212" spans="1:24" ht="15.6" x14ac:dyDescent="0.3">
      <c r="A212" s="214"/>
      <c r="B212" s="342"/>
      <c r="C212" s="342"/>
      <c r="D212" s="342"/>
      <c r="E212" s="342"/>
      <c r="F212" s="342"/>
      <c r="G212" s="275"/>
      <c r="H212" s="275"/>
      <c r="I212" s="275"/>
      <c r="J212" s="275"/>
      <c r="K212" s="275"/>
      <c r="L212" s="275"/>
      <c r="M212" s="275"/>
      <c r="N212" s="275"/>
      <c r="O212" s="275"/>
      <c r="P212" s="275"/>
      <c r="Q212" s="275"/>
      <c r="R212" s="275"/>
      <c r="S212" s="275"/>
      <c r="T212" s="338"/>
      <c r="U212" s="275"/>
      <c r="V212" s="343"/>
      <c r="W212" s="275"/>
      <c r="X212" s="5"/>
    </row>
    <row r="213" spans="1:24" ht="15.6" x14ac:dyDescent="0.3">
      <c r="A213" s="241"/>
      <c r="B213" s="388" t="s">
        <v>80</v>
      </c>
      <c r="C213" s="389"/>
      <c r="D213" s="389"/>
      <c r="E213" s="389"/>
      <c r="F213" s="396"/>
      <c r="G213" s="389"/>
      <c r="H213" s="389"/>
      <c r="I213" s="389"/>
      <c r="J213" s="389"/>
      <c r="K213" s="389"/>
      <c r="L213" s="389"/>
      <c r="M213" s="389"/>
      <c r="N213" s="389"/>
      <c r="O213" s="389"/>
      <c r="P213" s="389"/>
      <c r="Q213" s="389"/>
      <c r="R213" s="389"/>
      <c r="S213" s="389" t="s">
        <v>104</v>
      </c>
      <c r="T213" s="396" t="s">
        <v>111</v>
      </c>
      <c r="U213" s="224"/>
      <c r="V213" s="224"/>
      <c r="W213" s="224"/>
      <c r="X213" s="5"/>
    </row>
    <row r="214" spans="1:24" ht="15.6" x14ac:dyDescent="0.3">
      <c r="A214" s="219"/>
      <c r="B214" s="248" t="s">
        <v>81</v>
      </c>
      <c r="C214" s="204"/>
      <c r="D214" s="204"/>
      <c r="E214" s="204"/>
      <c r="F214" s="190"/>
      <c r="G214" s="190"/>
      <c r="H214" s="191"/>
      <c r="I214" s="191"/>
      <c r="J214" s="191"/>
      <c r="K214" s="191"/>
      <c r="L214" s="191"/>
      <c r="M214" s="191"/>
      <c r="N214" s="191"/>
      <c r="O214" s="191"/>
      <c r="P214" s="191"/>
      <c r="Q214" s="191"/>
      <c r="R214" s="191"/>
      <c r="S214" s="262">
        <v>4</v>
      </c>
      <c r="T214" s="263">
        <v>1299</v>
      </c>
      <c r="U214" s="190"/>
      <c r="V214" s="218"/>
      <c r="W214" s="220"/>
      <c r="X214" s="5"/>
    </row>
    <row r="215" spans="1:24" ht="15.6" x14ac:dyDescent="0.3">
      <c r="A215" s="352"/>
      <c r="B215" s="279" t="s">
        <v>150</v>
      </c>
      <c r="C215" s="353"/>
      <c r="D215" s="353"/>
      <c r="E215" s="353"/>
      <c r="F215" s="305"/>
      <c r="G215" s="305"/>
      <c r="H215" s="308"/>
      <c r="I215" s="308"/>
      <c r="J215" s="308"/>
      <c r="K215" s="308"/>
      <c r="L215" s="308"/>
      <c r="M215" s="308"/>
      <c r="N215" s="308"/>
      <c r="O215" s="308"/>
      <c r="P215" s="308"/>
      <c r="Q215" s="308"/>
      <c r="R215" s="308"/>
      <c r="S215" s="354">
        <f>+R267</f>
        <v>131</v>
      </c>
      <c r="T215" s="355">
        <f>+T267</f>
        <v>22497</v>
      </c>
      <c r="U215" s="305"/>
      <c r="V215" s="356"/>
      <c r="W215" s="357"/>
      <c r="X215" s="5"/>
    </row>
    <row r="216" spans="1:24" ht="15.6" x14ac:dyDescent="0.3">
      <c r="A216" s="352"/>
      <c r="B216" s="279" t="s">
        <v>82</v>
      </c>
      <c r="C216" s="353"/>
      <c r="D216" s="353"/>
      <c r="E216" s="353"/>
      <c r="F216" s="305"/>
      <c r="G216" s="305"/>
      <c r="H216" s="308"/>
      <c r="I216" s="308"/>
      <c r="J216" s="308"/>
      <c r="K216" s="308"/>
      <c r="L216" s="308"/>
      <c r="M216" s="308"/>
      <c r="N216" s="308"/>
      <c r="O216" s="308"/>
      <c r="P216" s="308"/>
      <c r="Q216" s="308"/>
      <c r="R216" s="308"/>
      <c r="S216" s="354">
        <f>+R279</f>
        <v>0</v>
      </c>
      <c r="T216" s="355">
        <f>+T279</f>
        <v>0</v>
      </c>
      <c r="U216" s="305"/>
      <c r="V216" s="356"/>
      <c r="W216" s="357"/>
      <c r="X216" s="5"/>
    </row>
    <row r="217" spans="1:24" ht="15.6" x14ac:dyDescent="0.3">
      <c r="A217" s="352"/>
      <c r="B217" s="304" t="s">
        <v>83</v>
      </c>
      <c r="C217" s="353"/>
      <c r="D217" s="353"/>
      <c r="E217" s="353"/>
      <c r="F217" s="305"/>
      <c r="G217" s="305"/>
      <c r="H217" s="305"/>
      <c r="I217" s="305"/>
      <c r="J217" s="305"/>
      <c r="K217" s="305"/>
      <c r="L217" s="305"/>
      <c r="M217" s="305"/>
      <c r="N217" s="305"/>
      <c r="O217" s="305"/>
      <c r="P217" s="305"/>
      <c r="Q217" s="305"/>
      <c r="R217" s="305"/>
      <c r="S217" s="279"/>
      <c r="T217" s="355">
        <v>0</v>
      </c>
      <c r="U217" s="305"/>
      <c r="V217" s="356"/>
      <c r="W217" s="357"/>
      <c r="X217" s="5"/>
    </row>
    <row r="218" spans="1:24" ht="15.6" x14ac:dyDescent="0.3">
      <c r="A218" s="352"/>
      <c r="B218" s="304" t="s">
        <v>84</v>
      </c>
      <c r="C218" s="353"/>
      <c r="D218" s="353"/>
      <c r="E218" s="353"/>
      <c r="F218" s="305"/>
      <c r="G218" s="305"/>
      <c r="H218" s="305"/>
      <c r="I218" s="305"/>
      <c r="J218" s="305"/>
      <c r="K218" s="305"/>
      <c r="L218" s="305"/>
      <c r="M218" s="305"/>
      <c r="N218" s="305"/>
      <c r="O218" s="305"/>
      <c r="P218" s="305"/>
      <c r="Q218" s="305"/>
      <c r="R218" s="305"/>
      <c r="S218" s="279"/>
      <c r="T218" s="358" t="s">
        <v>112</v>
      </c>
      <c r="U218" s="305"/>
      <c r="V218" s="356"/>
      <c r="W218" s="357"/>
      <c r="X218" s="5"/>
    </row>
    <row r="219" spans="1:24" ht="15.6" x14ac:dyDescent="0.3">
      <c r="A219" s="359"/>
      <c r="B219" s="304" t="s">
        <v>85</v>
      </c>
      <c r="C219" s="360"/>
      <c r="D219" s="360"/>
      <c r="E219" s="360"/>
      <c r="F219" s="360"/>
      <c r="G219" s="305"/>
      <c r="H219" s="305"/>
      <c r="I219" s="305"/>
      <c r="J219" s="305"/>
      <c r="K219" s="305"/>
      <c r="L219" s="305"/>
      <c r="M219" s="305"/>
      <c r="N219" s="305"/>
      <c r="O219" s="305"/>
      <c r="P219" s="305"/>
      <c r="Q219" s="305"/>
      <c r="R219" s="305"/>
      <c r="S219" s="279"/>
      <c r="T219" s="355"/>
      <c r="U219" s="305"/>
      <c r="V219" s="356"/>
      <c r="W219" s="361"/>
      <c r="X219" s="5"/>
    </row>
    <row r="220" spans="1:24" ht="15.6" x14ac:dyDescent="0.3">
      <c r="A220" s="359"/>
      <c r="B220" s="279" t="s">
        <v>86</v>
      </c>
      <c r="C220" s="360"/>
      <c r="D220" s="360"/>
      <c r="E220" s="360"/>
      <c r="F220" s="360"/>
      <c r="G220" s="305"/>
      <c r="H220" s="305"/>
      <c r="I220" s="305"/>
      <c r="J220" s="305"/>
      <c r="K220" s="305"/>
      <c r="L220" s="305"/>
      <c r="M220" s="305"/>
      <c r="N220" s="305"/>
      <c r="O220" s="305"/>
      <c r="P220" s="305"/>
      <c r="Q220" s="305"/>
      <c r="R220" s="305"/>
      <c r="S220" s="287"/>
      <c r="T220" s="355">
        <f>+V164</f>
        <v>38</v>
      </c>
      <c r="U220" s="305"/>
      <c r="V220" s="356"/>
      <c r="W220" s="361"/>
      <c r="X220" s="5"/>
    </row>
    <row r="221" spans="1:24" ht="15.6" x14ac:dyDescent="0.3">
      <c r="A221" s="352"/>
      <c r="B221" s="279" t="s">
        <v>87</v>
      </c>
      <c r="C221" s="353"/>
      <c r="D221" s="353"/>
      <c r="E221" s="353"/>
      <c r="F221" s="353"/>
      <c r="G221" s="305"/>
      <c r="H221" s="305"/>
      <c r="I221" s="305"/>
      <c r="J221" s="305"/>
      <c r="K221" s="305"/>
      <c r="L221" s="305"/>
      <c r="M221" s="305"/>
      <c r="N221" s="305"/>
      <c r="O221" s="305"/>
      <c r="P221" s="305"/>
      <c r="Q221" s="305"/>
      <c r="R221" s="305"/>
      <c r="S221" s="287"/>
      <c r="T221" s="355">
        <f>'April 11'!T221+'July 11'!T220</f>
        <v>3060</v>
      </c>
      <c r="U221" s="305"/>
      <c r="V221" s="356"/>
      <c r="W221" s="361"/>
      <c r="X221" s="5"/>
    </row>
    <row r="222" spans="1:24" ht="15.6" x14ac:dyDescent="0.3">
      <c r="A222" s="359"/>
      <c r="B222" s="304" t="s">
        <v>292</v>
      </c>
      <c r="C222" s="360"/>
      <c r="D222" s="360"/>
      <c r="E222" s="360"/>
      <c r="F222" s="360"/>
      <c r="G222" s="305"/>
      <c r="H222" s="305"/>
      <c r="I222" s="305"/>
      <c r="J222" s="305"/>
      <c r="K222" s="305"/>
      <c r="L222" s="305"/>
      <c r="M222" s="305"/>
      <c r="N222" s="305"/>
      <c r="O222" s="305"/>
      <c r="P222" s="305"/>
      <c r="Q222" s="305"/>
      <c r="R222" s="305"/>
      <c r="S222" s="287"/>
      <c r="T222" s="355"/>
      <c r="U222" s="305"/>
      <c r="V222" s="356"/>
      <c r="W222" s="361"/>
      <c r="X222" s="5"/>
    </row>
    <row r="223" spans="1:24" ht="15.6" x14ac:dyDescent="0.3">
      <c r="A223" s="359"/>
      <c r="B223" s="279" t="s">
        <v>290</v>
      </c>
      <c r="C223" s="360"/>
      <c r="D223" s="360"/>
      <c r="E223" s="360"/>
      <c r="F223" s="360"/>
      <c r="G223" s="305"/>
      <c r="H223" s="305"/>
      <c r="I223" s="305"/>
      <c r="J223" s="305"/>
      <c r="K223" s="305"/>
      <c r="L223" s="305"/>
      <c r="M223" s="305"/>
      <c r="N223" s="305"/>
      <c r="O223" s="305"/>
      <c r="P223" s="305"/>
      <c r="Q223" s="305"/>
      <c r="R223" s="305"/>
      <c r="S223" s="287">
        <v>0</v>
      </c>
      <c r="T223" s="355">
        <v>0</v>
      </c>
      <c r="U223" s="305"/>
      <c r="V223" s="356"/>
      <c r="W223" s="361"/>
      <c r="X223" s="5"/>
    </row>
    <row r="224" spans="1:24" ht="15.6" x14ac:dyDescent="0.3">
      <c r="A224" s="352"/>
      <c r="B224" s="279" t="s">
        <v>88</v>
      </c>
      <c r="C224" s="362"/>
      <c r="D224" s="362"/>
      <c r="E224" s="362"/>
      <c r="F224" s="363"/>
      <c r="G224" s="305"/>
      <c r="H224" s="305"/>
      <c r="I224" s="305"/>
      <c r="J224" s="305"/>
      <c r="K224" s="305"/>
      <c r="L224" s="305"/>
      <c r="M224" s="305"/>
      <c r="N224" s="305"/>
      <c r="O224" s="305"/>
      <c r="P224" s="305"/>
      <c r="Q224" s="305"/>
      <c r="R224" s="305"/>
      <c r="S224" s="279"/>
      <c r="T224" s="358">
        <v>0</v>
      </c>
      <c r="U224" s="305"/>
      <c r="V224" s="356"/>
      <c r="W224" s="361"/>
      <c r="X224" s="5"/>
    </row>
    <row r="225" spans="1:25" ht="15.6" x14ac:dyDescent="0.3">
      <c r="A225" s="352"/>
      <c r="B225" s="279" t="s">
        <v>89</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304" t="s">
        <v>223</v>
      </c>
      <c r="C226" s="362"/>
      <c r="D226" s="362"/>
      <c r="E226" s="362"/>
      <c r="F226" s="363"/>
      <c r="G226" s="305"/>
      <c r="H226" s="305"/>
      <c r="I226" s="305"/>
      <c r="J226" s="305"/>
      <c r="K226" s="305"/>
      <c r="L226" s="305"/>
      <c r="M226" s="305"/>
      <c r="N226" s="305"/>
      <c r="O226" s="305"/>
      <c r="P226" s="305"/>
      <c r="Q226" s="305"/>
      <c r="R226" s="305"/>
      <c r="S226" s="279"/>
      <c r="T226" s="364"/>
      <c r="U226" s="305"/>
      <c r="V226" s="356"/>
      <c r="W226" s="361"/>
      <c r="X226" s="5"/>
    </row>
    <row r="227" spans="1:25" ht="15.6" x14ac:dyDescent="0.3">
      <c r="A227" s="352"/>
      <c r="B227" s="279" t="s">
        <v>290</v>
      </c>
      <c r="C227" s="362"/>
      <c r="D227" s="362"/>
      <c r="E227" s="362"/>
      <c r="F227" s="363"/>
      <c r="G227" s="305"/>
      <c r="H227" s="305"/>
      <c r="I227" s="305"/>
      <c r="J227" s="305"/>
      <c r="K227" s="305"/>
      <c r="L227" s="305"/>
      <c r="M227" s="305"/>
      <c r="N227" s="305"/>
      <c r="O227" s="305"/>
      <c r="P227" s="305"/>
      <c r="Q227" s="305"/>
      <c r="R227" s="305"/>
      <c r="S227" s="287">
        <v>2</v>
      </c>
      <c r="T227" s="355">
        <v>166</v>
      </c>
      <c r="U227" s="305"/>
      <c r="V227" s="356"/>
      <c r="W227" s="361"/>
      <c r="X227" s="5"/>
    </row>
    <row r="228" spans="1:25" ht="15.6" x14ac:dyDescent="0.3">
      <c r="A228" s="352"/>
      <c r="B228" s="279" t="s">
        <v>224</v>
      </c>
      <c r="C228" s="362"/>
      <c r="D228" s="362"/>
      <c r="E228" s="362"/>
      <c r="F228" s="363"/>
      <c r="G228" s="305"/>
      <c r="H228" s="305"/>
      <c r="I228" s="305"/>
      <c r="J228" s="305"/>
      <c r="K228" s="305"/>
      <c r="L228" s="305"/>
      <c r="M228" s="305"/>
      <c r="N228" s="305"/>
      <c r="O228" s="305"/>
      <c r="P228" s="305"/>
      <c r="Q228" s="305"/>
      <c r="R228" s="305"/>
      <c r="S228" s="279"/>
      <c r="T228" s="358">
        <v>0.06</v>
      </c>
      <c r="U228" s="305"/>
      <c r="V228" s="356"/>
      <c r="W228" s="361"/>
      <c r="X228" s="5"/>
    </row>
    <row r="229" spans="1:25" ht="15.6" x14ac:dyDescent="0.3">
      <c r="A229" s="352"/>
      <c r="B229" s="360"/>
      <c r="C229" s="362"/>
      <c r="D229" s="362"/>
      <c r="E229" s="362"/>
      <c r="F229" s="363"/>
      <c r="G229" s="305"/>
      <c r="H229" s="305"/>
      <c r="I229" s="305"/>
      <c r="J229" s="305"/>
      <c r="K229" s="305"/>
      <c r="L229" s="305"/>
      <c r="M229" s="305"/>
      <c r="N229" s="305"/>
      <c r="O229" s="305"/>
      <c r="P229" s="305"/>
      <c r="Q229" s="305"/>
      <c r="R229" s="305"/>
      <c r="S229" s="279"/>
      <c r="T229" s="364"/>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305"/>
      <c r="T230" s="365"/>
      <c r="U230" s="305"/>
      <c r="V230" s="356"/>
      <c r="W230" s="361"/>
      <c r="X230" s="5"/>
    </row>
    <row r="231" spans="1:25" ht="17.399999999999999" x14ac:dyDescent="0.3">
      <c r="A231" s="352"/>
      <c r="B231" s="366" t="s">
        <v>174</v>
      </c>
      <c r="C231" s="362"/>
      <c r="D231" s="362"/>
      <c r="E231" s="362"/>
      <c r="F231" s="363"/>
      <c r="G231" s="305"/>
      <c r="H231" s="305"/>
      <c r="I231" s="305"/>
      <c r="J231" s="305"/>
      <c r="K231" s="305"/>
      <c r="L231" s="305"/>
      <c r="M231" s="305"/>
      <c r="N231" s="305"/>
      <c r="O231" s="305"/>
      <c r="P231" s="367" t="s">
        <v>173</v>
      </c>
      <c r="Q231" s="305"/>
      <c r="R231" s="305"/>
      <c r="S231" s="305"/>
      <c r="T231" s="365"/>
      <c r="U231" s="305"/>
      <c r="V231" s="356"/>
      <c r="W231" s="361"/>
      <c r="X231" s="5"/>
    </row>
    <row r="232" spans="1:25" ht="15.6" x14ac:dyDescent="0.3">
      <c r="A232" s="347"/>
      <c r="B232" s="342"/>
      <c r="C232" s="348"/>
      <c r="D232" s="348"/>
      <c r="E232" s="348"/>
      <c r="F232" s="349"/>
      <c r="G232" s="275"/>
      <c r="H232" s="275"/>
      <c r="I232" s="275"/>
      <c r="J232" s="275"/>
      <c r="K232" s="275"/>
      <c r="L232" s="275"/>
      <c r="M232" s="275"/>
      <c r="N232" s="275"/>
      <c r="O232" s="275"/>
      <c r="P232" s="275"/>
      <c r="Q232" s="275"/>
      <c r="R232" s="275"/>
      <c r="S232" s="275"/>
      <c r="T232" s="350"/>
      <c r="U232" s="275"/>
      <c r="V232" s="343"/>
      <c r="W232" s="351"/>
      <c r="X232" s="5"/>
    </row>
    <row r="233" spans="1:25" ht="15.6" x14ac:dyDescent="0.3">
      <c r="A233" s="223"/>
      <c r="B233" s="388" t="s">
        <v>304</v>
      </c>
      <c r="C233" s="389"/>
      <c r="D233" s="389"/>
      <c r="E233" s="389"/>
      <c r="F233" s="396"/>
      <c r="G233" s="389"/>
      <c r="H233" s="389"/>
      <c r="I233" s="389"/>
      <c r="J233" s="389"/>
      <c r="K233" s="389"/>
      <c r="L233" s="389"/>
      <c r="M233" s="389"/>
      <c r="N233" s="389"/>
      <c r="O233" s="389"/>
      <c r="P233" s="389"/>
      <c r="Q233" s="389"/>
      <c r="R233" s="396" t="s">
        <v>104</v>
      </c>
      <c r="S233" s="389" t="s">
        <v>105</v>
      </c>
      <c r="T233" s="396" t="s">
        <v>113</v>
      </c>
      <c r="U233" s="389" t="s">
        <v>105</v>
      </c>
      <c r="V233" s="224"/>
      <c r="W233" s="388"/>
      <c r="X233" s="5"/>
    </row>
    <row r="234" spans="1:25" ht="15.6" x14ac:dyDescent="0.3">
      <c r="A234" s="189"/>
      <c r="B234" s="247" t="s">
        <v>90</v>
      </c>
      <c r="C234" s="261"/>
      <c r="D234" s="261"/>
      <c r="E234" s="261"/>
      <c r="F234" s="248"/>
      <c r="G234" s="261"/>
      <c r="H234" s="261"/>
      <c r="I234" s="261"/>
      <c r="J234" s="261"/>
      <c r="K234" s="261"/>
      <c r="L234" s="261"/>
      <c r="M234" s="261"/>
      <c r="N234" s="261"/>
      <c r="O234" s="261"/>
      <c r="P234" s="261"/>
      <c r="Q234" s="261"/>
      <c r="R234" s="329">
        <f t="shared" ref="R234:R241" si="1">+R246+R258+R270</f>
        <v>7398</v>
      </c>
      <c r="S234" s="372">
        <f t="shared" ref="S234:S241" si="2">R234/$R$243</f>
        <v>0.98916967509025266</v>
      </c>
      <c r="T234" s="330">
        <f t="shared" ref="T234:T241" si="3">+T246+T258+T270</f>
        <v>989949</v>
      </c>
      <c r="U234" s="372">
        <f t="shared" ref="U234:U241" si="4">T234/$T$243</f>
        <v>0.98629969114277172</v>
      </c>
      <c r="V234" s="218"/>
      <c r="W234" s="221"/>
      <c r="X234" s="5"/>
    </row>
    <row r="235" spans="1:25" ht="15.6" x14ac:dyDescent="0.3">
      <c r="A235" s="278"/>
      <c r="B235" s="329" t="s">
        <v>91</v>
      </c>
      <c r="C235" s="371"/>
      <c r="D235" s="371"/>
      <c r="E235" s="371"/>
      <c r="F235" s="279"/>
      <c r="G235" s="372"/>
      <c r="H235" s="371"/>
      <c r="I235" s="371"/>
      <c r="J235" s="371"/>
      <c r="K235" s="371"/>
      <c r="L235" s="371"/>
      <c r="M235" s="371"/>
      <c r="N235" s="371"/>
      <c r="O235" s="371"/>
      <c r="P235" s="371"/>
      <c r="Q235" s="371"/>
      <c r="R235" s="329">
        <f t="shared" si="1"/>
        <v>39</v>
      </c>
      <c r="S235" s="372">
        <f t="shared" si="2"/>
        <v>5.2146008824709182E-3</v>
      </c>
      <c r="T235" s="330">
        <f t="shared" si="3"/>
        <v>6655</v>
      </c>
      <c r="U235" s="372">
        <f t="shared" si="4"/>
        <v>6.630467271096941E-3</v>
      </c>
      <c r="V235" s="356"/>
      <c r="W235" s="361"/>
      <c r="X235" s="5"/>
      <c r="Y235" s="109"/>
    </row>
    <row r="236" spans="1:25" ht="15.6" x14ac:dyDescent="0.3">
      <c r="A236" s="278"/>
      <c r="B236" s="329" t="s">
        <v>92</v>
      </c>
      <c r="C236" s="371"/>
      <c r="D236" s="371"/>
      <c r="E236" s="371"/>
      <c r="F236" s="279"/>
      <c r="G236" s="372"/>
      <c r="H236" s="371"/>
      <c r="I236" s="371"/>
      <c r="J236" s="371"/>
      <c r="K236" s="371"/>
      <c r="L236" s="371"/>
      <c r="M236" s="371"/>
      <c r="N236" s="371"/>
      <c r="O236" s="371"/>
      <c r="P236" s="371"/>
      <c r="Q236" s="371"/>
      <c r="R236" s="329">
        <f t="shared" si="1"/>
        <v>16</v>
      </c>
      <c r="S236" s="372">
        <f t="shared" si="2"/>
        <v>2.1393234389624283E-3</v>
      </c>
      <c r="T236" s="330">
        <f t="shared" si="3"/>
        <v>2232</v>
      </c>
      <c r="U236" s="372">
        <f t="shared" si="4"/>
        <v>2.2237720434392745E-3</v>
      </c>
      <c r="V236" s="356"/>
      <c r="W236" s="361"/>
      <c r="X236" s="5"/>
    </row>
    <row r="237" spans="1:25" ht="15.6" x14ac:dyDescent="0.3">
      <c r="A237" s="278"/>
      <c r="B237" s="329" t="s">
        <v>161</v>
      </c>
      <c r="C237" s="371"/>
      <c r="D237" s="371"/>
      <c r="E237" s="371"/>
      <c r="F237" s="279"/>
      <c r="G237" s="372"/>
      <c r="H237" s="371"/>
      <c r="I237" s="371"/>
      <c r="J237" s="371"/>
      <c r="K237" s="371"/>
      <c r="L237" s="371"/>
      <c r="M237" s="371"/>
      <c r="N237" s="371"/>
      <c r="O237" s="371"/>
      <c r="P237" s="371"/>
      <c r="Q237" s="371"/>
      <c r="R237" s="329">
        <f t="shared" si="1"/>
        <v>5</v>
      </c>
      <c r="S237" s="372">
        <f t="shared" si="2"/>
        <v>6.6853857467575879E-4</v>
      </c>
      <c r="T237" s="330">
        <f t="shared" si="3"/>
        <v>897</v>
      </c>
      <c r="U237" s="372">
        <f t="shared" si="4"/>
        <v>8.9369333466175153E-4</v>
      </c>
      <c r="V237" s="356"/>
      <c r="W237" s="361"/>
      <c r="X237" s="5"/>
      <c r="Y237" s="109"/>
    </row>
    <row r="238" spans="1:25" ht="15.6" x14ac:dyDescent="0.3">
      <c r="A238" s="278"/>
      <c r="B238" s="329" t="s">
        <v>162</v>
      </c>
      <c r="C238" s="371"/>
      <c r="D238" s="371"/>
      <c r="E238" s="371"/>
      <c r="F238" s="279"/>
      <c r="G238" s="372"/>
      <c r="H238" s="371"/>
      <c r="I238" s="371"/>
      <c r="J238" s="371"/>
      <c r="K238" s="371"/>
      <c r="L238" s="371"/>
      <c r="M238" s="371"/>
      <c r="N238" s="371"/>
      <c r="O238" s="371"/>
      <c r="P238" s="371"/>
      <c r="Q238" s="371"/>
      <c r="R238" s="329">
        <f t="shared" si="1"/>
        <v>1</v>
      </c>
      <c r="S238" s="372">
        <f t="shared" si="2"/>
        <v>1.3370771493515177E-4</v>
      </c>
      <c r="T238" s="330">
        <f t="shared" si="3"/>
        <v>324</v>
      </c>
      <c r="U238" s="372">
        <f t="shared" si="4"/>
        <v>3.2280561920892698E-4</v>
      </c>
      <c r="V238" s="356"/>
      <c r="W238" s="361"/>
      <c r="X238" s="5"/>
    </row>
    <row r="239" spans="1:25" ht="15.6" x14ac:dyDescent="0.3">
      <c r="A239" s="278"/>
      <c r="B239" s="329" t="s">
        <v>163</v>
      </c>
      <c r="C239" s="371"/>
      <c r="D239" s="371"/>
      <c r="E239" s="371"/>
      <c r="F239" s="279"/>
      <c r="G239" s="372"/>
      <c r="H239" s="371"/>
      <c r="I239" s="371"/>
      <c r="J239" s="371"/>
      <c r="K239" s="371"/>
      <c r="L239" s="371"/>
      <c r="M239" s="371"/>
      <c r="N239" s="371"/>
      <c r="O239" s="371"/>
      <c r="P239" s="371"/>
      <c r="Q239" s="371"/>
      <c r="R239" s="329">
        <f t="shared" si="1"/>
        <v>5</v>
      </c>
      <c r="S239" s="372">
        <f t="shared" si="2"/>
        <v>6.6853857467575879E-4</v>
      </c>
      <c r="T239" s="330">
        <f t="shared" si="3"/>
        <v>704</v>
      </c>
      <c r="U239" s="372">
        <f t="shared" si="4"/>
        <v>7.0140480223174261E-4</v>
      </c>
      <c r="V239" s="356"/>
      <c r="W239" s="361"/>
      <c r="X239" s="5"/>
      <c r="Y239" s="109"/>
    </row>
    <row r="240" spans="1:25" ht="15.6" x14ac:dyDescent="0.3">
      <c r="A240" s="278"/>
      <c r="B240" s="329" t="s">
        <v>164</v>
      </c>
      <c r="C240" s="371"/>
      <c r="D240" s="371"/>
      <c r="E240" s="371"/>
      <c r="F240" s="279"/>
      <c r="G240" s="372"/>
      <c r="H240" s="371"/>
      <c r="I240" s="371"/>
      <c r="J240" s="371"/>
      <c r="K240" s="371"/>
      <c r="L240" s="371"/>
      <c r="M240" s="371"/>
      <c r="N240" s="371"/>
      <c r="O240" s="371"/>
      <c r="P240" s="371"/>
      <c r="Q240" s="371"/>
      <c r="R240" s="329">
        <f t="shared" si="1"/>
        <v>2</v>
      </c>
      <c r="S240" s="372">
        <f t="shared" si="2"/>
        <v>2.6741542987030354E-4</v>
      </c>
      <c r="T240" s="330">
        <f t="shared" si="3"/>
        <v>316</v>
      </c>
      <c r="U240" s="372">
        <f t="shared" si="4"/>
        <v>3.1483511009265718E-4</v>
      </c>
      <c r="V240" s="356"/>
      <c r="W240" s="361"/>
      <c r="X240" s="5"/>
    </row>
    <row r="241" spans="1:25" ht="15.6" x14ac:dyDescent="0.3">
      <c r="A241" s="278"/>
      <c r="B241" s="329" t="s">
        <v>165</v>
      </c>
      <c r="C241" s="371"/>
      <c r="D241" s="371"/>
      <c r="E241" s="371"/>
      <c r="F241" s="279"/>
      <c r="G241" s="372"/>
      <c r="H241" s="371"/>
      <c r="I241" s="371"/>
      <c r="J241" s="371"/>
      <c r="K241" s="371"/>
      <c r="L241" s="371"/>
      <c r="M241" s="371"/>
      <c r="N241" s="371"/>
      <c r="O241" s="371"/>
      <c r="P241" s="371"/>
      <c r="Q241" s="371"/>
      <c r="R241" s="329">
        <f t="shared" si="1"/>
        <v>13</v>
      </c>
      <c r="S241" s="372">
        <f t="shared" si="2"/>
        <v>1.7382002941569729E-3</v>
      </c>
      <c r="T241" s="330">
        <f t="shared" si="3"/>
        <v>2623</v>
      </c>
      <c r="U241" s="372">
        <f t="shared" si="4"/>
        <v>2.6133306764969614E-3</v>
      </c>
      <c r="V241" s="356"/>
      <c r="W241" s="361"/>
      <c r="X241" s="5"/>
      <c r="Y241" s="109"/>
    </row>
    <row r="242" spans="1:25" ht="15.6" x14ac:dyDescent="0.3">
      <c r="A242" s="278"/>
      <c r="B242" s="329"/>
      <c r="C242" s="371"/>
      <c r="D242" s="371"/>
      <c r="E242" s="371"/>
      <c r="F242" s="279"/>
      <c r="G242" s="372"/>
      <c r="H242" s="371"/>
      <c r="I242" s="371"/>
      <c r="J242" s="371"/>
      <c r="K242" s="371"/>
      <c r="L242" s="371"/>
      <c r="M242" s="371"/>
      <c r="N242" s="371"/>
      <c r="O242" s="371"/>
      <c r="P242" s="371"/>
      <c r="Q242" s="371"/>
      <c r="R242" s="329"/>
      <c r="S242" s="372"/>
      <c r="T242" s="330"/>
      <c r="U242" s="372"/>
      <c r="V242" s="356"/>
      <c r="W242" s="361"/>
      <c r="X242" s="5"/>
    </row>
    <row r="243" spans="1:25" ht="15.6" x14ac:dyDescent="0.3">
      <c r="A243" s="278"/>
      <c r="B243" s="279" t="s">
        <v>119</v>
      </c>
      <c r="C243" s="279"/>
      <c r="D243" s="279"/>
      <c r="E243" s="279"/>
      <c r="F243" s="279"/>
      <c r="G243" s="279"/>
      <c r="H243" s="373"/>
      <c r="I243" s="373"/>
      <c r="J243" s="373"/>
      <c r="K243" s="373"/>
      <c r="L243" s="373"/>
      <c r="M243" s="373"/>
      <c r="N243" s="373"/>
      <c r="O243" s="373"/>
      <c r="P243" s="373"/>
      <c r="Q243" s="373"/>
      <c r="R243" s="329">
        <f>SUM(R234:R242)</f>
        <v>7479</v>
      </c>
      <c r="S243" s="372">
        <f>SUM(S234:S242)</f>
        <v>0.99999999999999989</v>
      </c>
      <c r="T243" s="330">
        <f>SUM(T234:T242)</f>
        <v>1003700</v>
      </c>
      <c r="U243" s="372">
        <f>SUM(U234:U242)</f>
        <v>1</v>
      </c>
      <c r="V243" s="305"/>
      <c r="W243" s="310"/>
      <c r="X243" s="5"/>
    </row>
    <row r="244" spans="1:25" ht="15.6" x14ac:dyDescent="0.3">
      <c r="A244" s="347"/>
      <c r="B244" s="342"/>
      <c r="C244" s="348"/>
      <c r="D244" s="348"/>
      <c r="E244" s="348"/>
      <c r="F244" s="349"/>
      <c r="G244" s="275"/>
      <c r="H244" s="275"/>
      <c r="I244" s="275"/>
      <c r="J244" s="275"/>
      <c r="K244" s="275"/>
      <c r="L244" s="275"/>
      <c r="M244" s="275"/>
      <c r="N244" s="275"/>
      <c r="O244" s="275"/>
      <c r="P244" s="275"/>
      <c r="Q244" s="275"/>
      <c r="R244" s="275"/>
      <c r="S244" s="275"/>
      <c r="T244" s="350"/>
      <c r="U244" s="275"/>
      <c r="V244" s="343"/>
      <c r="W244" s="351"/>
      <c r="X244" s="5"/>
    </row>
    <row r="245" spans="1:25" ht="15.6" x14ac:dyDescent="0.3">
      <c r="A245" s="223"/>
      <c r="B245" s="388" t="s">
        <v>167</v>
      </c>
      <c r="C245" s="389"/>
      <c r="D245" s="389"/>
      <c r="E245" s="389"/>
      <c r="F245" s="396"/>
      <c r="G245" s="389"/>
      <c r="H245" s="389"/>
      <c r="I245" s="389"/>
      <c r="J245" s="389"/>
      <c r="K245" s="389"/>
      <c r="L245" s="389"/>
      <c r="M245" s="389"/>
      <c r="N245" s="389"/>
      <c r="O245" s="389"/>
      <c r="P245" s="389"/>
      <c r="Q245" s="389"/>
      <c r="R245" s="396" t="s">
        <v>104</v>
      </c>
      <c r="S245" s="389" t="s">
        <v>105</v>
      </c>
      <c r="T245" s="396" t="s">
        <v>113</v>
      </c>
      <c r="U245" s="389" t="s">
        <v>105</v>
      </c>
      <c r="V245" s="224"/>
      <c r="W245" s="388"/>
      <c r="X245" s="5"/>
    </row>
    <row r="246" spans="1:25" ht="15.6" x14ac:dyDescent="0.3">
      <c r="A246" s="189"/>
      <c r="B246" s="247" t="s">
        <v>90</v>
      </c>
      <c r="C246" s="261"/>
      <c r="D246" s="261"/>
      <c r="E246" s="261"/>
      <c r="F246" s="248"/>
      <c r="G246" s="261"/>
      <c r="H246" s="261"/>
      <c r="I246" s="261"/>
      <c r="J246" s="261"/>
      <c r="K246" s="261"/>
      <c r="L246" s="261"/>
      <c r="M246" s="261"/>
      <c r="N246" s="261"/>
      <c r="O246" s="261"/>
      <c r="P246" s="261"/>
      <c r="Q246" s="261"/>
      <c r="R246" s="247">
        <v>7297</v>
      </c>
      <c r="S246" s="250">
        <f t="shared" ref="S246:S253" si="5">R246/$R$255</f>
        <v>0.99305933587370709</v>
      </c>
      <c r="T246" s="251">
        <v>972347</v>
      </c>
      <c r="U246" s="250">
        <f t="shared" ref="U246:U253" si="6">T246/$T$255</f>
        <v>0.99097434475842405</v>
      </c>
      <c r="V246" s="218"/>
      <c r="W246" s="221"/>
      <c r="X246" s="5"/>
    </row>
    <row r="247" spans="1:25" ht="15.6" x14ac:dyDescent="0.3">
      <c r="A247" s="278"/>
      <c r="B247" s="329" t="s">
        <v>91</v>
      </c>
      <c r="C247" s="371"/>
      <c r="D247" s="371"/>
      <c r="E247" s="371"/>
      <c r="F247" s="279"/>
      <c r="G247" s="372"/>
      <c r="H247" s="371"/>
      <c r="I247" s="371"/>
      <c r="J247" s="371"/>
      <c r="K247" s="371"/>
      <c r="L247" s="371"/>
      <c r="M247" s="371"/>
      <c r="N247" s="371"/>
      <c r="O247" s="371"/>
      <c r="P247" s="371"/>
      <c r="Q247" s="371"/>
      <c r="R247" s="329">
        <v>36</v>
      </c>
      <c r="S247" s="372">
        <f t="shared" si="5"/>
        <v>4.8992923244420249E-3</v>
      </c>
      <c r="T247" s="330">
        <v>6199</v>
      </c>
      <c r="U247" s="372">
        <f t="shared" si="6"/>
        <v>6.3177548376839449E-3</v>
      </c>
      <c r="V247" s="356"/>
      <c r="W247" s="361"/>
      <c r="X247" s="5"/>
      <c r="Y247" s="109"/>
    </row>
    <row r="248" spans="1:25" ht="15.6" x14ac:dyDescent="0.3">
      <c r="A248" s="278"/>
      <c r="B248" s="329" t="s">
        <v>92</v>
      </c>
      <c r="C248" s="371"/>
      <c r="D248" s="371"/>
      <c r="E248" s="371"/>
      <c r="F248" s="279"/>
      <c r="G248" s="372"/>
      <c r="H248" s="371"/>
      <c r="I248" s="371"/>
      <c r="J248" s="371"/>
      <c r="K248" s="371"/>
      <c r="L248" s="371"/>
      <c r="M248" s="371"/>
      <c r="N248" s="371"/>
      <c r="O248" s="371"/>
      <c r="P248" s="371"/>
      <c r="Q248" s="371"/>
      <c r="R248" s="329">
        <v>8</v>
      </c>
      <c r="S248" s="372">
        <f t="shared" si="5"/>
        <v>1.0887316276537834E-3</v>
      </c>
      <c r="T248" s="330">
        <v>1323</v>
      </c>
      <c r="U248" s="372">
        <f t="shared" si="6"/>
        <v>1.3483448379183513E-3</v>
      </c>
      <c r="V248" s="356"/>
      <c r="W248" s="361"/>
      <c r="X248" s="5"/>
    </row>
    <row r="249" spans="1:25" ht="15.6" x14ac:dyDescent="0.3">
      <c r="A249" s="278"/>
      <c r="B249" s="329" t="s">
        <v>161</v>
      </c>
      <c r="C249" s="371"/>
      <c r="D249" s="371"/>
      <c r="E249" s="371"/>
      <c r="F249" s="279"/>
      <c r="G249" s="372"/>
      <c r="H249" s="371"/>
      <c r="I249" s="371"/>
      <c r="J249" s="371"/>
      <c r="K249" s="371"/>
      <c r="L249" s="371"/>
      <c r="M249" s="371"/>
      <c r="N249" s="371"/>
      <c r="O249" s="371"/>
      <c r="P249" s="371"/>
      <c r="Q249" s="371"/>
      <c r="R249" s="329">
        <v>3</v>
      </c>
      <c r="S249" s="372">
        <f t="shared" si="5"/>
        <v>4.0827436037016874E-4</v>
      </c>
      <c r="T249" s="330">
        <v>658</v>
      </c>
      <c r="U249" s="372">
        <f t="shared" si="6"/>
        <v>6.7060536912341283E-4</v>
      </c>
      <c r="V249" s="356"/>
      <c r="W249" s="361"/>
      <c r="X249" s="5"/>
      <c r="Y249" s="109"/>
    </row>
    <row r="250" spans="1:25" ht="15.6" x14ac:dyDescent="0.3">
      <c r="A250" s="278"/>
      <c r="B250" s="329" t="s">
        <v>162</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row>
    <row r="251" spans="1:25" ht="15.6" x14ac:dyDescent="0.3">
      <c r="A251" s="278"/>
      <c r="B251" s="329" t="s">
        <v>163</v>
      </c>
      <c r="C251" s="371"/>
      <c r="D251" s="371"/>
      <c r="E251" s="371"/>
      <c r="F251" s="279"/>
      <c r="G251" s="372"/>
      <c r="H251" s="371"/>
      <c r="I251" s="371"/>
      <c r="J251" s="371"/>
      <c r="K251" s="371"/>
      <c r="L251" s="371"/>
      <c r="M251" s="371"/>
      <c r="N251" s="371"/>
      <c r="O251" s="371"/>
      <c r="P251" s="371"/>
      <c r="Q251" s="371"/>
      <c r="R251" s="329">
        <v>3</v>
      </c>
      <c r="S251" s="372">
        <f t="shared" si="5"/>
        <v>4.0827436037016874E-4</v>
      </c>
      <c r="T251" s="330">
        <v>512</v>
      </c>
      <c r="U251" s="372">
        <f t="shared" si="6"/>
        <v>5.2180843311730603E-4</v>
      </c>
      <c r="V251" s="356"/>
      <c r="W251" s="361"/>
      <c r="X251" s="5"/>
      <c r="Y251" s="109"/>
    </row>
    <row r="252" spans="1:25" ht="15.6" x14ac:dyDescent="0.3">
      <c r="A252" s="278"/>
      <c r="B252" s="329" t="s">
        <v>164</v>
      </c>
      <c r="C252" s="371"/>
      <c r="D252" s="371"/>
      <c r="E252" s="371"/>
      <c r="F252" s="279"/>
      <c r="G252" s="372"/>
      <c r="H252" s="371"/>
      <c r="I252" s="371"/>
      <c r="J252" s="371"/>
      <c r="K252" s="371"/>
      <c r="L252" s="371"/>
      <c r="M252" s="371"/>
      <c r="N252" s="371"/>
      <c r="O252" s="371"/>
      <c r="P252" s="371"/>
      <c r="Q252" s="371"/>
      <c r="R252" s="329">
        <v>1</v>
      </c>
      <c r="S252" s="372">
        <f t="shared" si="5"/>
        <v>1.3609145345672293E-4</v>
      </c>
      <c r="T252" s="330">
        <v>164</v>
      </c>
      <c r="U252" s="372">
        <f t="shared" si="6"/>
        <v>1.6714176373288709E-4</v>
      </c>
      <c r="V252" s="356"/>
      <c r="W252" s="361"/>
      <c r="X252" s="5"/>
    </row>
    <row r="253" spans="1:25" ht="15.6" x14ac:dyDescent="0.3">
      <c r="A253" s="278"/>
      <c r="B253" s="329" t="s">
        <v>165</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c r="Y253" s="109"/>
    </row>
    <row r="254" spans="1:25" ht="15.6" x14ac:dyDescent="0.3">
      <c r="A254" s="278"/>
      <c r="B254" s="329"/>
      <c r="C254" s="371"/>
      <c r="D254" s="371"/>
      <c r="E254" s="371"/>
      <c r="F254" s="279"/>
      <c r="G254" s="372"/>
      <c r="H254" s="371"/>
      <c r="I254" s="371"/>
      <c r="J254" s="371"/>
      <c r="K254" s="371"/>
      <c r="L254" s="371"/>
      <c r="M254" s="371"/>
      <c r="N254" s="371"/>
      <c r="O254" s="371"/>
      <c r="P254" s="371"/>
      <c r="Q254" s="371"/>
      <c r="R254" s="329"/>
      <c r="S254" s="372"/>
      <c r="T254" s="330"/>
      <c r="U254" s="372"/>
      <c r="V254" s="356"/>
      <c r="W254" s="361"/>
      <c r="X254" s="5"/>
    </row>
    <row r="255" spans="1:25" ht="15.6" x14ac:dyDescent="0.3">
      <c r="A255" s="278"/>
      <c r="B255" s="279" t="s">
        <v>119</v>
      </c>
      <c r="C255" s="279"/>
      <c r="D255" s="279"/>
      <c r="E255" s="279"/>
      <c r="F255" s="279"/>
      <c r="G255" s="279"/>
      <c r="H255" s="373"/>
      <c r="I255" s="373"/>
      <c r="J255" s="373"/>
      <c r="K255" s="373"/>
      <c r="L255" s="373"/>
      <c r="M255" s="373"/>
      <c r="N255" s="373"/>
      <c r="O255" s="373"/>
      <c r="P255" s="373"/>
      <c r="Q255" s="373"/>
      <c r="R255" s="329">
        <f>SUM(R246:R254)</f>
        <v>7348</v>
      </c>
      <c r="S255" s="372">
        <f>SUM(S246:S254)</f>
        <v>0.99999999999999989</v>
      </c>
      <c r="T255" s="330">
        <f>SUM(T246:T254)</f>
        <v>981203</v>
      </c>
      <c r="U255" s="372">
        <f>SUM(U246:U254)</f>
        <v>1</v>
      </c>
      <c r="V255" s="305"/>
      <c r="W255" s="310"/>
      <c r="X255" s="5"/>
    </row>
    <row r="256" spans="1:25" ht="15.6" x14ac:dyDescent="0.3">
      <c r="A256" s="177"/>
      <c r="B256" s="275"/>
      <c r="C256" s="275"/>
      <c r="D256" s="275"/>
      <c r="E256" s="275"/>
      <c r="F256" s="275"/>
      <c r="G256" s="275"/>
      <c r="H256" s="368"/>
      <c r="I256" s="368"/>
      <c r="J256" s="368"/>
      <c r="K256" s="368"/>
      <c r="L256" s="368"/>
      <c r="M256" s="368"/>
      <c r="N256" s="368"/>
      <c r="O256" s="368"/>
      <c r="P256" s="368"/>
      <c r="Q256" s="368"/>
      <c r="R256" s="327"/>
      <c r="S256" s="369"/>
      <c r="T256" s="370"/>
      <c r="U256" s="369"/>
      <c r="V256" s="275"/>
      <c r="W256" s="275"/>
      <c r="X256" s="5"/>
    </row>
    <row r="257" spans="1:24" ht="15.6" x14ac:dyDescent="0.3">
      <c r="A257" s="243"/>
      <c r="B257" s="388" t="s">
        <v>283</v>
      </c>
      <c r="C257" s="389"/>
      <c r="D257" s="389"/>
      <c r="E257" s="389"/>
      <c r="F257" s="396"/>
      <c r="G257" s="389"/>
      <c r="H257" s="389"/>
      <c r="I257" s="389"/>
      <c r="J257" s="389"/>
      <c r="K257" s="389"/>
      <c r="L257" s="389"/>
      <c r="M257" s="389"/>
      <c r="N257" s="389"/>
      <c r="O257" s="389"/>
      <c r="P257" s="389"/>
      <c r="Q257" s="389"/>
      <c r="R257" s="396" t="s">
        <v>104</v>
      </c>
      <c r="S257" s="389" t="s">
        <v>105</v>
      </c>
      <c r="T257" s="396" t="s">
        <v>113</v>
      </c>
      <c r="U257" s="389" t="s">
        <v>105</v>
      </c>
      <c r="V257" s="244"/>
      <c r="W257" s="245"/>
      <c r="X257" s="5"/>
    </row>
    <row r="258" spans="1:24" ht="15.6" x14ac:dyDescent="0.3">
      <c r="A258" s="189"/>
      <c r="B258" s="247" t="s">
        <v>90</v>
      </c>
      <c r="C258" s="261"/>
      <c r="D258" s="261"/>
      <c r="E258" s="261"/>
      <c r="F258" s="248"/>
      <c r="G258" s="261"/>
      <c r="H258" s="261"/>
      <c r="I258" s="261"/>
      <c r="J258" s="261"/>
      <c r="K258" s="261"/>
      <c r="L258" s="261"/>
      <c r="M258" s="261"/>
      <c r="N258" s="261"/>
      <c r="O258" s="261"/>
      <c r="P258" s="261"/>
      <c r="Q258" s="261"/>
      <c r="R258" s="247">
        <v>101</v>
      </c>
      <c r="S258" s="250">
        <f t="shared" ref="S258:S265" si="7">R258/$R$267</f>
        <v>0.77099236641221369</v>
      </c>
      <c r="T258" s="251">
        <v>17602</v>
      </c>
      <c r="U258" s="250">
        <f t="shared" ref="U258:U265" si="8">T258/$T$267</f>
        <v>0.78241543316886697</v>
      </c>
      <c r="V258" s="190"/>
      <c r="W258" s="190"/>
      <c r="X258" s="5"/>
    </row>
    <row r="259" spans="1:24" ht="15.6" x14ac:dyDescent="0.3">
      <c r="A259" s="278"/>
      <c r="B259" s="329" t="s">
        <v>91</v>
      </c>
      <c r="C259" s="371"/>
      <c r="D259" s="371"/>
      <c r="E259" s="371"/>
      <c r="F259" s="279"/>
      <c r="G259" s="372"/>
      <c r="H259" s="371"/>
      <c r="I259" s="371"/>
      <c r="J259" s="371"/>
      <c r="K259" s="371"/>
      <c r="L259" s="371"/>
      <c r="M259" s="371"/>
      <c r="N259" s="371"/>
      <c r="O259" s="371"/>
      <c r="P259" s="371"/>
      <c r="Q259" s="371"/>
      <c r="R259" s="329">
        <v>3</v>
      </c>
      <c r="S259" s="372">
        <f t="shared" si="7"/>
        <v>2.2900763358778626E-2</v>
      </c>
      <c r="T259" s="330">
        <v>456</v>
      </c>
      <c r="U259" s="372">
        <f t="shared" si="8"/>
        <v>2.026936924923323E-2</v>
      </c>
      <c r="V259" s="305"/>
      <c r="W259" s="310"/>
      <c r="X259" s="5"/>
    </row>
    <row r="260" spans="1:24" ht="15.6" x14ac:dyDescent="0.3">
      <c r="A260" s="278"/>
      <c r="B260" s="329" t="s">
        <v>92</v>
      </c>
      <c r="C260" s="371"/>
      <c r="D260" s="371"/>
      <c r="E260" s="371"/>
      <c r="F260" s="279"/>
      <c r="G260" s="372"/>
      <c r="H260" s="371"/>
      <c r="I260" s="371"/>
      <c r="J260" s="371"/>
      <c r="K260" s="371"/>
      <c r="L260" s="371"/>
      <c r="M260" s="371"/>
      <c r="N260" s="371"/>
      <c r="O260" s="371"/>
      <c r="P260" s="371"/>
      <c r="Q260" s="371"/>
      <c r="R260" s="329">
        <v>8</v>
      </c>
      <c r="S260" s="372">
        <f t="shared" si="7"/>
        <v>6.1068702290076333E-2</v>
      </c>
      <c r="T260" s="330">
        <v>909</v>
      </c>
      <c r="U260" s="372">
        <f t="shared" si="8"/>
        <v>4.0405387384984663E-2</v>
      </c>
      <c r="V260" s="305"/>
      <c r="W260" s="310"/>
      <c r="X260" s="5"/>
    </row>
    <row r="261" spans="1:24" ht="15.6" x14ac:dyDescent="0.3">
      <c r="A261" s="278"/>
      <c r="B261" s="329" t="s">
        <v>161</v>
      </c>
      <c r="C261" s="371"/>
      <c r="D261" s="371"/>
      <c r="E261" s="371"/>
      <c r="F261" s="279"/>
      <c r="G261" s="372"/>
      <c r="H261" s="371"/>
      <c r="I261" s="371"/>
      <c r="J261" s="371"/>
      <c r="K261" s="371"/>
      <c r="L261" s="371"/>
      <c r="M261" s="371"/>
      <c r="N261" s="371"/>
      <c r="O261" s="371"/>
      <c r="P261" s="371"/>
      <c r="Q261" s="371"/>
      <c r="R261" s="329">
        <v>2</v>
      </c>
      <c r="S261" s="372">
        <f t="shared" si="7"/>
        <v>1.5267175572519083E-2</v>
      </c>
      <c r="T261" s="330">
        <v>239</v>
      </c>
      <c r="U261" s="372">
        <f t="shared" si="8"/>
        <v>1.0623638707383207E-2</v>
      </c>
      <c r="V261" s="305"/>
      <c r="W261" s="310"/>
      <c r="X261" s="5"/>
    </row>
    <row r="262" spans="1:24" ht="15.6" x14ac:dyDescent="0.3">
      <c r="A262" s="278"/>
      <c r="B262" s="329" t="s">
        <v>162</v>
      </c>
      <c r="C262" s="371"/>
      <c r="D262" s="371"/>
      <c r="E262" s="371"/>
      <c r="F262" s="279"/>
      <c r="G262" s="372"/>
      <c r="H262" s="371"/>
      <c r="I262" s="371"/>
      <c r="J262" s="371"/>
      <c r="K262" s="371"/>
      <c r="L262" s="371"/>
      <c r="M262" s="371"/>
      <c r="N262" s="371"/>
      <c r="O262" s="371"/>
      <c r="P262" s="371"/>
      <c r="Q262" s="371"/>
      <c r="R262" s="329">
        <v>1</v>
      </c>
      <c r="S262" s="372">
        <f t="shared" si="7"/>
        <v>7.6335877862595417E-3</v>
      </c>
      <c r="T262" s="330">
        <v>324</v>
      </c>
      <c r="U262" s="372">
        <f t="shared" si="8"/>
        <v>1.4401920256034139E-2</v>
      </c>
      <c r="V262" s="305"/>
      <c r="W262" s="310"/>
      <c r="X262" s="5"/>
    </row>
    <row r="263" spans="1:24" ht="15.6" x14ac:dyDescent="0.3">
      <c r="A263" s="278"/>
      <c r="B263" s="329" t="s">
        <v>163</v>
      </c>
      <c r="C263" s="371"/>
      <c r="D263" s="371"/>
      <c r="E263" s="371"/>
      <c r="F263" s="279"/>
      <c r="G263" s="372"/>
      <c r="H263" s="371"/>
      <c r="I263" s="371"/>
      <c r="J263" s="371"/>
      <c r="K263" s="371"/>
      <c r="L263" s="371"/>
      <c r="M263" s="371"/>
      <c r="N263" s="371"/>
      <c r="O263" s="371"/>
      <c r="P263" s="371"/>
      <c r="Q263" s="371"/>
      <c r="R263" s="329">
        <v>2</v>
      </c>
      <c r="S263" s="372">
        <f t="shared" si="7"/>
        <v>1.5267175572519083E-2</v>
      </c>
      <c r="T263" s="330">
        <v>192</v>
      </c>
      <c r="U263" s="372">
        <f t="shared" si="8"/>
        <v>8.5344712628350455E-3</v>
      </c>
      <c r="V263" s="305"/>
      <c r="W263" s="310"/>
      <c r="X263" s="5"/>
    </row>
    <row r="264" spans="1:24" ht="15.6" x14ac:dyDescent="0.3">
      <c r="A264" s="278"/>
      <c r="B264" s="329" t="s">
        <v>164</v>
      </c>
      <c r="C264" s="371"/>
      <c r="D264" s="371"/>
      <c r="E264" s="371"/>
      <c r="F264" s="279"/>
      <c r="G264" s="372"/>
      <c r="H264" s="371"/>
      <c r="I264" s="371"/>
      <c r="J264" s="371"/>
      <c r="K264" s="371"/>
      <c r="L264" s="371"/>
      <c r="M264" s="371"/>
      <c r="N264" s="371"/>
      <c r="O264" s="371"/>
      <c r="P264" s="371"/>
      <c r="Q264" s="371"/>
      <c r="R264" s="329">
        <v>1</v>
      </c>
      <c r="S264" s="372">
        <f t="shared" si="7"/>
        <v>7.6335877862595417E-3</v>
      </c>
      <c r="T264" s="330">
        <v>152</v>
      </c>
      <c r="U264" s="372">
        <f t="shared" si="8"/>
        <v>6.7564564164110767E-3</v>
      </c>
      <c r="V264" s="305"/>
      <c r="W264" s="310"/>
      <c r="X264" s="5"/>
    </row>
    <row r="265" spans="1:24" ht="15.6" x14ac:dyDescent="0.3">
      <c r="A265" s="278"/>
      <c r="B265" s="329" t="s">
        <v>165</v>
      </c>
      <c r="C265" s="371"/>
      <c r="D265" s="371"/>
      <c r="E265" s="371"/>
      <c r="F265" s="279"/>
      <c r="G265" s="372"/>
      <c r="H265" s="371"/>
      <c r="I265" s="371"/>
      <c r="J265" s="371"/>
      <c r="K265" s="371"/>
      <c r="L265" s="371"/>
      <c r="M265" s="371"/>
      <c r="N265" s="371"/>
      <c r="O265" s="371"/>
      <c r="P265" s="371"/>
      <c r="Q265" s="371"/>
      <c r="R265" s="329">
        <v>13</v>
      </c>
      <c r="S265" s="372">
        <f t="shared" si="7"/>
        <v>9.9236641221374045E-2</v>
      </c>
      <c r="T265" s="330">
        <v>2623</v>
      </c>
      <c r="U265" s="372">
        <f t="shared" si="8"/>
        <v>0.11659332355425168</v>
      </c>
      <c r="V265" s="305"/>
      <c r="W265" s="310"/>
      <c r="X265" s="5"/>
    </row>
    <row r="266" spans="1:24" ht="15.6" x14ac:dyDescent="0.3">
      <c r="A266" s="278"/>
      <c r="B266" s="329"/>
      <c r="C266" s="371"/>
      <c r="D266" s="371"/>
      <c r="E266" s="371"/>
      <c r="F266" s="279"/>
      <c r="G266" s="372"/>
      <c r="H266" s="371"/>
      <c r="I266" s="371"/>
      <c r="J266" s="371"/>
      <c r="K266" s="371"/>
      <c r="L266" s="371"/>
      <c r="M266" s="371"/>
      <c r="N266" s="371"/>
      <c r="O266" s="371"/>
      <c r="P266" s="371"/>
      <c r="Q266" s="371"/>
      <c r="R266" s="329"/>
      <c r="S266" s="372"/>
      <c r="T266" s="330"/>
      <c r="U266" s="372"/>
      <c r="V266" s="305"/>
      <c r="W266" s="310"/>
      <c r="X266" s="5"/>
    </row>
    <row r="267" spans="1:24" ht="15.6" x14ac:dyDescent="0.3">
      <c r="A267" s="278"/>
      <c r="B267" s="279" t="s">
        <v>119</v>
      </c>
      <c r="C267" s="279"/>
      <c r="D267" s="279"/>
      <c r="E267" s="279"/>
      <c r="F267" s="279"/>
      <c r="G267" s="279"/>
      <c r="H267" s="373"/>
      <c r="I267" s="373"/>
      <c r="J267" s="373"/>
      <c r="K267" s="373"/>
      <c r="L267" s="373"/>
      <c r="M267" s="373"/>
      <c r="N267" s="373"/>
      <c r="O267" s="373"/>
      <c r="P267" s="373"/>
      <c r="Q267" s="373"/>
      <c r="R267" s="329">
        <f>SUM(R258:R266)</f>
        <v>131</v>
      </c>
      <c r="S267" s="372">
        <f>SUM(S258:S266)</f>
        <v>1</v>
      </c>
      <c r="T267" s="330">
        <f>SUM(T258:T266)</f>
        <v>22497</v>
      </c>
      <c r="U267" s="372">
        <f>SUM(U258:U266)</f>
        <v>1.0000000000000002</v>
      </c>
      <c r="V267" s="305"/>
      <c r="W267" s="310"/>
      <c r="X267" s="5"/>
    </row>
    <row r="268" spans="1:24" ht="15.6" x14ac:dyDescent="0.3">
      <c r="A268" s="177"/>
      <c r="B268" s="275"/>
      <c r="C268" s="275"/>
      <c r="D268" s="275"/>
      <c r="E268" s="275"/>
      <c r="F268" s="275"/>
      <c r="G268" s="275"/>
      <c r="H268" s="368"/>
      <c r="I268" s="368"/>
      <c r="J268" s="368"/>
      <c r="K268" s="368"/>
      <c r="L268" s="368"/>
      <c r="M268" s="368"/>
      <c r="N268" s="368"/>
      <c r="O268" s="368"/>
      <c r="P268" s="368"/>
      <c r="Q268" s="368"/>
      <c r="R268" s="327"/>
      <c r="S268" s="369"/>
      <c r="T268" s="370"/>
      <c r="U268" s="369"/>
      <c r="V268" s="275"/>
      <c r="W268" s="275"/>
      <c r="X268" s="5"/>
    </row>
    <row r="269" spans="1:24" ht="15.6" x14ac:dyDescent="0.3">
      <c r="A269" s="243"/>
      <c r="B269" s="388" t="s">
        <v>169</v>
      </c>
      <c r="C269" s="244"/>
      <c r="D269" s="244"/>
      <c r="E269" s="244"/>
      <c r="F269" s="244"/>
      <c r="G269" s="244"/>
      <c r="H269" s="246"/>
      <c r="I269" s="246"/>
      <c r="J269" s="246"/>
      <c r="K269" s="246"/>
      <c r="L269" s="246"/>
      <c r="M269" s="246"/>
      <c r="N269" s="246"/>
      <c r="O269" s="246"/>
      <c r="P269" s="246"/>
      <c r="Q269" s="246"/>
      <c r="R269" s="396" t="s">
        <v>104</v>
      </c>
      <c r="S269" s="389" t="s">
        <v>105</v>
      </c>
      <c r="T269" s="396" t="s">
        <v>113</v>
      </c>
      <c r="U269" s="389" t="s">
        <v>105</v>
      </c>
      <c r="V269" s="244"/>
      <c r="W269" s="245"/>
      <c r="X269" s="5"/>
    </row>
    <row r="270" spans="1:24" ht="15.6" x14ac:dyDescent="0.3">
      <c r="A270" s="189"/>
      <c r="B270" s="247" t="s">
        <v>90</v>
      </c>
      <c r="C270" s="248"/>
      <c r="D270" s="248"/>
      <c r="E270" s="248"/>
      <c r="F270" s="248"/>
      <c r="G270" s="248"/>
      <c r="H270" s="249"/>
      <c r="I270" s="249"/>
      <c r="J270" s="249"/>
      <c r="K270" s="249"/>
      <c r="L270" s="249"/>
      <c r="M270" s="249"/>
      <c r="N270" s="249"/>
      <c r="O270" s="249"/>
      <c r="P270" s="249"/>
      <c r="Q270" s="249"/>
      <c r="R270" s="247">
        <v>0</v>
      </c>
      <c r="S270" s="250">
        <v>0</v>
      </c>
      <c r="T270" s="251">
        <v>0</v>
      </c>
      <c r="U270" s="250">
        <v>0</v>
      </c>
      <c r="V270" s="248"/>
      <c r="W270" s="190"/>
      <c r="X270" s="5"/>
    </row>
    <row r="271" spans="1:24" ht="15.6" x14ac:dyDescent="0.3">
      <c r="A271" s="278"/>
      <c r="B271" s="329" t="s">
        <v>91</v>
      </c>
      <c r="C271" s="279"/>
      <c r="D271" s="279"/>
      <c r="E271" s="279"/>
      <c r="F271" s="279"/>
      <c r="G271" s="279"/>
      <c r="H271" s="373"/>
      <c r="I271" s="373"/>
      <c r="J271" s="373"/>
      <c r="K271" s="373"/>
      <c r="L271" s="373"/>
      <c r="M271" s="373"/>
      <c r="N271" s="373"/>
      <c r="O271" s="373"/>
      <c r="P271" s="373"/>
      <c r="Q271" s="373"/>
      <c r="R271" s="329">
        <v>0</v>
      </c>
      <c r="S271" s="372">
        <v>0</v>
      </c>
      <c r="T271" s="330">
        <v>0</v>
      </c>
      <c r="U271" s="372">
        <v>0</v>
      </c>
      <c r="V271" s="279"/>
      <c r="W271" s="310"/>
      <c r="X271" s="5"/>
    </row>
    <row r="272" spans="1:24" ht="15.6" x14ac:dyDescent="0.3">
      <c r="A272" s="278"/>
      <c r="B272" s="329" t="s">
        <v>92</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161</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162</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163</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164</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165</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c r="C278" s="279"/>
      <c r="D278" s="279"/>
      <c r="E278" s="279"/>
      <c r="F278" s="279"/>
      <c r="G278" s="279"/>
      <c r="H278" s="373"/>
      <c r="I278" s="373"/>
      <c r="J278" s="373"/>
      <c r="K278" s="373"/>
      <c r="L278" s="373"/>
      <c r="M278" s="373"/>
      <c r="N278" s="373"/>
      <c r="O278" s="373"/>
      <c r="P278" s="373"/>
      <c r="Q278" s="373"/>
      <c r="R278" s="329"/>
      <c r="S278" s="372"/>
      <c r="T278" s="330"/>
      <c r="U278" s="372"/>
      <c r="V278" s="279"/>
      <c r="W278" s="310"/>
      <c r="X278" s="5"/>
    </row>
    <row r="279" spans="1:24" ht="15.6" x14ac:dyDescent="0.3">
      <c r="A279" s="278"/>
      <c r="B279" s="279" t="s">
        <v>119</v>
      </c>
      <c r="C279" s="279"/>
      <c r="D279" s="279"/>
      <c r="E279" s="279"/>
      <c r="F279" s="279"/>
      <c r="G279" s="279"/>
      <c r="H279" s="373"/>
      <c r="I279" s="373"/>
      <c r="J279" s="373"/>
      <c r="K279" s="373"/>
      <c r="L279" s="373"/>
      <c r="M279" s="373"/>
      <c r="N279" s="373"/>
      <c r="O279" s="373"/>
      <c r="P279" s="373"/>
      <c r="Q279" s="373"/>
      <c r="R279" s="329">
        <f>SUM(R270:R277)</f>
        <v>0</v>
      </c>
      <c r="S279" s="372">
        <f>SUM(S270:S278)</f>
        <v>0</v>
      </c>
      <c r="T279" s="330">
        <f>SUM(T270:T277)</f>
        <v>0</v>
      </c>
      <c r="U279" s="372">
        <f>SUM(U270:U278)</f>
        <v>0</v>
      </c>
      <c r="V279" s="279"/>
      <c r="W279" s="310"/>
      <c r="X279" s="5"/>
    </row>
    <row r="280" spans="1:24" ht="15.6" x14ac:dyDescent="0.3">
      <c r="A280" s="278"/>
      <c r="B280" s="279"/>
      <c r="C280" s="279"/>
      <c r="D280" s="279"/>
      <c r="E280" s="279"/>
      <c r="F280" s="279"/>
      <c r="G280" s="279"/>
      <c r="H280" s="373"/>
      <c r="I280" s="373"/>
      <c r="J280" s="373"/>
      <c r="K280" s="373"/>
      <c r="L280" s="373"/>
      <c r="M280" s="373"/>
      <c r="N280" s="373"/>
      <c r="O280" s="373"/>
      <c r="P280" s="373"/>
      <c r="Q280" s="373"/>
      <c r="R280" s="329"/>
      <c r="S280" s="372"/>
      <c r="T280" s="330"/>
      <c r="U280" s="372"/>
      <c r="V280" s="279"/>
      <c r="W280" s="310"/>
      <c r="X280" s="5"/>
    </row>
    <row r="281" spans="1:24" ht="15.6" x14ac:dyDescent="0.3">
      <c r="A281" s="278"/>
      <c r="B281" s="288" t="s">
        <v>170</v>
      </c>
      <c r="C281" s="279"/>
      <c r="D281" s="279"/>
      <c r="E281" s="279"/>
      <c r="F281" s="279"/>
      <c r="G281" s="279"/>
      <c r="H281" s="373"/>
      <c r="I281" s="373"/>
      <c r="J281" s="373"/>
      <c r="K281" s="373"/>
      <c r="L281" s="373"/>
      <c r="M281" s="373"/>
      <c r="N281" s="373"/>
      <c r="O281" s="373"/>
      <c r="P281" s="373"/>
      <c r="Q281" s="373"/>
      <c r="R281" s="376">
        <f>R279+R267+R255</f>
        <v>7479</v>
      </c>
      <c r="S281" s="372"/>
      <c r="T281" s="397">
        <f>+T279+T267+T255</f>
        <v>1003700</v>
      </c>
      <c r="U281" s="372"/>
      <c r="V281" s="279"/>
      <c r="W281" s="310"/>
      <c r="X281" s="5"/>
    </row>
    <row r="282" spans="1:24" ht="15.6" x14ac:dyDescent="0.3">
      <c r="A282" s="177"/>
      <c r="B282" s="340"/>
      <c r="C282" s="340"/>
      <c r="D282" s="340"/>
      <c r="E282" s="340"/>
      <c r="F282" s="340"/>
      <c r="G282" s="340"/>
      <c r="H282" s="374"/>
      <c r="I282" s="374"/>
      <c r="J282" s="374"/>
      <c r="K282" s="374"/>
      <c r="L282" s="374"/>
      <c r="M282" s="374"/>
      <c r="N282" s="374"/>
      <c r="O282" s="374"/>
      <c r="P282" s="374"/>
      <c r="Q282" s="374"/>
      <c r="R282" s="374"/>
      <c r="S282" s="374"/>
      <c r="T282" s="375"/>
      <c r="U282" s="374"/>
      <c r="V282" s="340"/>
      <c r="W282" s="275"/>
      <c r="X282" s="5"/>
    </row>
    <row r="283" spans="1:24" ht="15.6" x14ac:dyDescent="0.3">
      <c r="A283" s="177"/>
      <c r="B283" s="252"/>
      <c r="C283" s="252"/>
      <c r="D283" s="252"/>
      <c r="E283" s="252"/>
      <c r="F283" s="252"/>
      <c r="G283" s="252"/>
      <c r="H283" s="253"/>
      <c r="I283" s="253"/>
      <c r="J283" s="253"/>
      <c r="K283" s="253"/>
      <c r="L283" s="253"/>
      <c r="M283" s="253"/>
      <c r="N283" s="253"/>
      <c r="O283" s="253"/>
      <c r="P283" s="253"/>
      <c r="Q283" s="253"/>
      <c r="R283" s="253"/>
      <c r="S283" s="253"/>
      <c r="T283" s="254"/>
      <c r="U283" s="253"/>
      <c r="V283" s="252"/>
      <c r="W283" s="179"/>
      <c r="X283" s="5"/>
    </row>
    <row r="284" spans="1:24" ht="15.6" x14ac:dyDescent="0.3">
      <c r="A284" s="222"/>
      <c r="B284" s="378" t="s">
        <v>93</v>
      </c>
      <c r="C284" s="252"/>
      <c r="D284" s="252"/>
      <c r="E284" s="252"/>
      <c r="F284" s="381" t="s">
        <v>99</v>
      </c>
      <c r="G284" s="252"/>
      <c r="H284" s="378" t="s">
        <v>101</v>
      </c>
      <c r="I284" s="257"/>
      <c r="J284" s="257"/>
      <c r="K284" s="257"/>
      <c r="L284" s="257"/>
      <c r="M284" s="257"/>
      <c r="N284" s="257"/>
      <c r="O284" s="257"/>
      <c r="P284" s="257"/>
      <c r="Q284" s="257"/>
      <c r="R284" s="257"/>
      <c r="S284" s="257"/>
      <c r="T284" s="257"/>
      <c r="U284" s="257"/>
      <c r="V284" s="257"/>
      <c r="W284" s="187"/>
      <c r="X284" s="5"/>
    </row>
    <row r="285" spans="1:24" ht="15.6" x14ac:dyDescent="0.3">
      <c r="A285" s="222"/>
      <c r="B285" s="257"/>
      <c r="C285" s="252"/>
      <c r="D285" s="252"/>
      <c r="E285" s="252"/>
      <c r="F285" s="252"/>
      <c r="G285" s="252"/>
      <c r="H285" s="252"/>
      <c r="I285" s="257"/>
      <c r="J285" s="257"/>
      <c r="K285" s="257"/>
      <c r="L285" s="257"/>
      <c r="M285" s="257"/>
      <c r="N285" s="257"/>
      <c r="O285" s="257"/>
      <c r="P285" s="257"/>
      <c r="Q285" s="257"/>
      <c r="R285" s="257"/>
      <c r="S285" s="257"/>
      <c r="T285" s="257"/>
      <c r="U285" s="257"/>
      <c r="V285" s="257"/>
      <c r="W285" s="187"/>
      <c r="X285" s="5"/>
    </row>
    <row r="286" spans="1:24" ht="15.6" x14ac:dyDescent="0.3">
      <c r="A286" s="222"/>
      <c r="B286" s="378" t="s">
        <v>94</v>
      </c>
      <c r="C286" s="378"/>
      <c r="D286" s="378"/>
      <c r="E286" s="378"/>
      <c r="F286" s="398" t="s">
        <v>153</v>
      </c>
      <c r="G286" s="378"/>
      <c r="H286" s="378" t="s">
        <v>157</v>
      </c>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277</v>
      </c>
      <c r="C287" s="378"/>
      <c r="D287" s="378"/>
      <c r="E287" s="378"/>
      <c r="F287" s="398" t="s">
        <v>278</v>
      </c>
      <c r="G287" s="378"/>
      <c r="H287" s="378" t="s">
        <v>279</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95</v>
      </c>
      <c r="C288" s="378"/>
      <c r="D288" s="378"/>
      <c r="E288" s="378"/>
      <c r="F288" s="398" t="s">
        <v>152</v>
      </c>
      <c r="G288" s="378"/>
      <c r="H288" s="378" t="s">
        <v>158</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c r="C289" s="378"/>
      <c r="D289" s="378"/>
      <c r="E289" s="378"/>
      <c r="F289" s="378"/>
      <c r="G289" s="259"/>
      <c r="H289" s="257"/>
      <c r="I289" s="257"/>
      <c r="J289" s="257"/>
      <c r="K289" s="257"/>
      <c r="L289" s="257"/>
      <c r="M289" s="257"/>
      <c r="N289" s="257"/>
      <c r="O289" s="257"/>
      <c r="P289" s="257"/>
      <c r="Q289" s="257"/>
      <c r="R289" s="257"/>
      <c r="S289" s="257"/>
      <c r="T289" s="257"/>
      <c r="U289" s="257"/>
      <c r="V289" s="257"/>
      <c r="W289" s="187"/>
      <c r="X289" s="5"/>
    </row>
    <row r="290" spans="1:24" ht="18" thickBot="1" x14ac:dyDescent="0.35">
      <c r="A290" s="222"/>
      <c r="B290" s="260" t="str">
        <f>B195</f>
        <v>PM12 INVESTOR REPORT QUARTER ENDING JULY 2011</v>
      </c>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x14ac:dyDescent="0.2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row>
  </sheetData>
  <phoneticPr fontId="0" type="noConversion"/>
  <hyperlinks>
    <hyperlink ref="P231" r:id="rId1" xr:uid="{00000000-0004-0000-1300-000000000000}"/>
    <hyperlink ref="I9" r:id="rId2" xr:uid="{00000000-0004-0000-13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195" max="14" man="1"/>
  </rowBreak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89CB31"/>
  </sheetPr>
  <dimension ref="A1:Y291"/>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0.64470000000000005</v>
      </c>
      <c r="T16" s="381" t="s">
        <v>145</v>
      </c>
      <c r="U16" s="380">
        <v>0.3553</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40865</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220</v>
      </c>
      <c r="E27" s="285"/>
      <c r="F27" s="285" t="s">
        <v>148</v>
      </c>
      <c r="G27" s="285"/>
      <c r="H27" s="285" t="s">
        <v>148</v>
      </c>
      <c r="I27" s="285"/>
      <c r="J27" s="285" t="s">
        <v>148</v>
      </c>
      <c r="K27" s="285"/>
      <c r="L27" s="285" t="s">
        <v>171</v>
      </c>
      <c r="M27" s="285"/>
      <c r="N27" s="285" t="s">
        <v>171</v>
      </c>
      <c r="O27" s="285"/>
      <c r="P27" s="285" t="s">
        <v>149</v>
      </c>
      <c r="Q27" s="285"/>
      <c r="R27" s="285" t="s">
        <v>149</v>
      </c>
      <c r="S27" s="280"/>
      <c r="T27" s="287"/>
      <c r="U27" s="281"/>
      <c r="V27" s="281"/>
      <c r="W27" s="282"/>
      <c r="X27" s="5"/>
    </row>
    <row r="28" spans="1:25" ht="15.6" x14ac:dyDescent="0.3">
      <c r="A28" s="278"/>
      <c r="B28" s="288" t="s">
        <v>198</v>
      </c>
      <c r="C28" s="280"/>
      <c r="D28" s="285" t="s">
        <v>221</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926317.95</v>
      </c>
      <c r="E32" s="289"/>
      <c r="F32" s="290">
        <f>F31*F38</f>
        <v>89544.199000000008</v>
      </c>
      <c r="G32" s="290"/>
      <c r="H32" s="295">
        <f>H31*H38</f>
        <v>151298.81900000002</v>
      </c>
      <c r="I32" s="295"/>
      <c r="J32" s="294">
        <f>J31*J38</f>
        <v>192056.5883</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920005.95</v>
      </c>
      <c r="E33" s="301"/>
      <c r="F33" s="303">
        <f>F37*F31</f>
        <v>88934.03899999999</v>
      </c>
      <c r="G33" s="303"/>
      <c r="H33" s="384">
        <f>H31*H37</f>
        <v>150267.859</v>
      </c>
      <c r="I33" s="384"/>
      <c r="J33" s="383">
        <f>J37*J31</f>
        <v>190747.90029999998</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503433.42683009995</v>
      </c>
      <c r="E35" s="289"/>
      <c r="F35" s="290">
        <f>F34*F38</f>
        <v>89544.199000000008</v>
      </c>
      <c r="G35" s="290"/>
      <c r="H35" s="290">
        <f>H34*H38</f>
        <v>104344.3112292</v>
      </c>
      <c r="I35" s="290"/>
      <c r="J35" s="290">
        <f>J34*J38</f>
        <v>104378.74169659999</v>
      </c>
      <c r="K35" s="290"/>
      <c r="L35" s="290">
        <f>+L34</f>
        <v>25000</v>
      </c>
      <c r="M35" s="290"/>
      <c r="N35" s="290">
        <f>+N34</f>
        <v>86897</v>
      </c>
      <c r="O35" s="290"/>
      <c r="P35" s="290">
        <f>+P34</f>
        <v>17000</v>
      </c>
      <c r="Q35" s="290"/>
      <c r="R35" s="290">
        <f>+R34</f>
        <v>73103</v>
      </c>
      <c r="S35" s="290"/>
      <c r="T35" s="290"/>
      <c r="U35" s="291"/>
      <c r="V35" s="290">
        <f>SUM(C35:R35)-1</f>
        <v>1003699.6787558999</v>
      </c>
      <c r="W35" s="292"/>
      <c r="X35" s="5"/>
    </row>
    <row r="36" spans="1:24" ht="15.6" x14ac:dyDescent="0.3">
      <c r="A36" s="283"/>
      <c r="B36" s="288" t="s">
        <v>295</v>
      </c>
      <c r="C36" s="301"/>
      <c r="D36" s="303">
        <f>D34*D37</f>
        <v>500002.99369410001</v>
      </c>
      <c r="E36" s="301"/>
      <c r="F36" s="303">
        <f>F34*F37</f>
        <v>88934.03899999999</v>
      </c>
      <c r="G36" s="303"/>
      <c r="H36" s="303">
        <f>H34*H37</f>
        <v>103633.30230119999</v>
      </c>
      <c r="I36" s="303"/>
      <c r="J36" s="303">
        <f>J34*J37</f>
        <v>103667.49712059999</v>
      </c>
      <c r="K36" s="303"/>
      <c r="L36" s="303">
        <f>+L34</f>
        <v>25000</v>
      </c>
      <c r="M36" s="303"/>
      <c r="N36" s="303">
        <f>+N34</f>
        <v>86897</v>
      </c>
      <c r="O36" s="303"/>
      <c r="P36" s="303">
        <f>+P34</f>
        <v>17000</v>
      </c>
      <c r="Q36" s="303"/>
      <c r="R36" s="303">
        <f>+R34</f>
        <v>73103</v>
      </c>
      <c r="S36" s="302"/>
      <c r="T36" s="302"/>
      <c r="U36" s="291"/>
      <c r="V36" s="303">
        <f>SUM(C36:R36)-1</f>
        <v>998236.83211589989</v>
      </c>
      <c r="W36" s="292"/>
      <c r="X36" s="5"/>
    </row>
    <row r="37" spans="1:24" ht="15.6" x14ac:dyDescent="0.3">
      <c r="A37" s="278"/>
      <c r="B37" s="304" t="s">
        <v>135</v>
      </c>
      <c r="C37" s="305"/>
      <c r="D37" s="306">
        <v>0.61333729999999997</v>
      </c>
      <c r="E37" s="307"/>
      <c r="F37" s="306">
        <v>0.61333819999999994</v>
      </c>
      <c r="G37" s="306"/>
      <c r="H37" s="306">
        <v>0.61333819999999994</v>
      </c>
      <c r="I37" s="306"/>
      <c r="J37" s="306">
        <v>0.61333729999999997</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0.61754529999999996</v>
      </c>
      <c r="E38" s="307"/>
      <c r="F38" s="306">
        <v>0.61754620000000005</v>
      </c>
      <c r="G38" s="306"/>
      <c r="H38" s="306">
        <v>0.61754620000000005</v>
      </c>
      <c r="I38" s="306"/>
      <c r="J38" s="306">
        <v>0.61754529999999996</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235</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3.6332999999999999E-3</v>
      </c>
      <c r="E40" s="279"/>
      <c r="F40" s="314">
        <v>1.09219E-2</v>
      </c>
      <c r="G40" s="313"/>
      <c r="H40" s="314">
        <v>1.7749999999999998E-2</v>
      </c>
      <c r="I40" s="314"/>
      <c r="J40" s="314">
        <v>5.0616999999999997E-3</v>
      </c>
      <c r="K40" s="313"/>
      <c r="L40" s="314">
        <v>1.3321899999999999E-2</v>
      </c>
      <c r="M40" s="313"/>
      <c r="N40" s="314">
        <v>2.0150000000000001E-2</v>
      </c>
      <c r="O40" s="313"/>
      <c r="P40" s="314">
        <v>1.7721899999999999E-2</v>
      </c>
      <c r="Q40" s="313"/>
      <c r="R40" s="314">
        <v>2.4549999999999999E-2</v>
      </c>
      <c r="S40" s="313"/>
      <c r="T40" s="314"/>
      <c r="U40" s="281"/>
      <c r="V40" s="287"/>
      <c r="W40" s="282"/>
      <c r="X40" s="5"/>
    </row>
    <row r="41" spans="1:24" ht="15.6" x14ac:dyDescent="0.3">
      <c r="A41" s="278"/>
      <c r="B41" s="279" t="s">
        <v>13</v>
      </c>
      <c r="C41" s="279"/>
      <c r="D41" s="314">
        <v>3.065E-3</v>
      </c>
      <c r="E41" s="279"/>
      <c r="F41" s="314">
        <v>9.4187999999999997E-3</v>
      </c>
      <c r="G41" s="313"/>
      <c r="H41" s="314">
        <v>1.54E-2</v>
      </c>
      <c r="I41" s="314"/>
      <c r="J41" s="314">
        <v>3.7074999999999999E-3</v>
      </c>
      <c r="K41" s="313"/>
      <c r="L41" s="314">
        <v>1.0618799999999999E-2</v>
      </c>
      <c r="M41" s="313"/>
      <c r="N41" s="314">
        <v>1.66E-2</v>
      </c>
      <c r="O41" s="313"/>
      <c r="P41" s="314">
        <v>1.28188E-2</v>
      </c>
      <c r="Q41" s="313"/>
      <c r="R41" s="314">
        <v>1.8800000000000001E-2</v>
      </c>
      <c r="S41" s="313"/>
      <c r="T41" s="314"/>
      <c r="U41" s="281"/>
      <c r="V41" s="313" t="s">
        <v>199</v>
      </c>
      <c r="W41" s="282"/>
      <c r="X41" s="5"/>
    </row>
    <row r="42" spans="1:24" ht="15.6" x14ac:dyDescent="0.3">
      <c r="A42" s="278"/>
      <c r="B42" s="279" t="s">
        <v>296</v>
      </c>
      <c r="C42" s="279"/>
      <c r="D42" s="287" t="s">
        <v>286</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9.9252000000000003E-3</v>
      </c>
      <c r="E43" s="314"/>
      <c r="F43" s="314">
        <f>+F40</f>
        <v>1.09219E-2</v>
      </c>
      <c r="G43" s="314"/>
      <c r="H43" s="314">
        <v>1.08439E-2</v>
      </c>
      <c r="I43" s="314"/>
      <c r="J43" s="314">
        <v>1.1085899999999999E-2</v>
      </c>
      <c r="K43" s="314"/>
      <c r="L43" s="314">
        <f>+L40</f>
        <v>1.3321899999999999E-2</v>
      </c>
      <c r="M43" s="314"/>
      <c r="N43" s="314">
        <v>1.35239E-2</v>
      </c>
      <c r="O43" s="314"/>
      <c r="P43" s="314">
        <f>+P40</f>
        <v>1.7721899999999999E-2</v>
      </c>
      <c r="Q43" s="313"/>
      <c r="R43" s="314">
        <v>1.8193899999999999E-2</v>
      </c>
      <c r="S43" s="287"/>
      <c r="T43" s="287"/>
      <c r="U43" s="281"/>
      <c r="V43" s="313">
        <f>SUMPRODUCT(D43:R43,D35:R35)/V35</f>
        <v>1.1360805284185056E-2</v>
      </c>
      <c r="W43" s="282"/>
      <c r="X43" s="5"/>
    </row>
    <row r="44" spans="1:24" ht="15.6" x14ac:dyDescent="0.3">
      <c r="A44" s="278"/>
      <c r="B44" s="279" t="s">
        <v>298</v>
      </c>
      <c r="C44" s="315"/>
      <c r="D44" s="314">
        <v>9.6220999999999998E-3</v>
      </c>
      <c r="E44" s="314"/>
      <c r="F44" s="314">
        <f>+F41</f>
        <v>9.4187999999999997E-3</v>
      </c>
      <c r="G44" s="314"/>
      <c r="H44" s="314">
        <v>9.3798000000000006E-3</v>
      </c>
      <c r="I44" s="314"/>
      <c r="J44" s="314">
        <v>9.5008000000000002E-3</v>
      </c>
      <c r="K44" s="314"/>
      <c r="L44" s="314">
        <f>+L41</f>
        <v>1.0618799999999999E-2</v>
      </c>
      <c r="M44" s="314"/>
      <c r="N44" s="314">
        <v>1.07198E-2</v>
      </c>
      <c r="O44" s="314"/>
      <c r="P44" s="314">
        <f>+P41</f>
        <v>1.28188E-2</v>
      </c>
      <c r="Q44" s="313"/>
      <c r="R44" s="314">
        <v>1.30548E-2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206</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0.25369304478187243</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40862</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91</v>
      </c>
      <c r="S57" s="279"/>
      <c r="T57" s="325">
        <v>40679</v>
      </c>
      <c r="U57" s="326"/>
      <c r="V57" s="325">
        <v>40769</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40770</v>
      </c>
      <c r="U58" s="326"/>
      <c r="V58" s="325">
        <v>40861</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40848</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309</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1003700</v>
      </c>
      <c r="O68" s="329"/>
      <c r="P68" s="329">
        <f>5463+55+15</f>
        <v>5533</v>
      </c>
      <c r="Q68" s="329"/>
      <c r="R68" s="329">
        <f>55+15</f>
        <v>70</v>
      </c>
      <c r="S68" s="329"/>
      <c r="T68" s="329">
        <v>0</v>
      </c>
      <c r="U68" s="329"/>
      <c r="V68" s="330">
        <f>+N68-P68+R68-T68</f>
        <v>998237</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1003700</v>
      </c>
      <c r="O71" s="329"/>
      <c r="P71" s="329">
        <f>SUM(P68:P70)</f>
        <v>5533</v>
      </c>
      <c r="Q71" s="329"/>
      <c r="R71" s="329">
        <f>SUM(R68:R70)</f>
        <v>70</v>
      </c>
      <c r="S71" s="329"/>
      <c r="T71" s="329">
        <f>SUM(T68:T70)</f>
        <v>0</v>
      </c>
      <c r="U71" s="329"/>
      <c r="V71" s="329">
        <f>SUM(V68:V70)</f>
        <v>998237</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1003700</v>
      </c>
      <c r="O84" s="329"/>
      <c r="P84" s="329"/>
      <c r="Q84" s="329"/>
      <c r="R84" s="329"/>
      <c r="S84" s="329"/>
      <c r="T84" s="329"/>
      <c r="U84" s="329"/>
      <c r="V84" s="329">
        <f>SUM(V71:V83)</f>
        <v>998237</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+T196</f>
        <v>40847</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5533-114</f>
        <v>5419</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4996+2697-914-298</f>
        <v>6481</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43+9</f>
        <v>52</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44</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669</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5419</v>
      </c>
      <c r="U96" s="279"/>
      <c r="V96" s="329">
        <f>SUM(V88:V95)</f>
        <v>7246</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-4</v>
      </c>
      <c r="U97" s="279"/>
      <c r="V97" s="329">
        <v>4</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-110</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5415</v>
      </c>
      <c r="U100" s="279"/>
      <c r="V100" s="329">
        <f>V96+V98+V97+V99</f>
        <v>7140</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259</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210</v>
      </c>
      <c r="C104" s="279"/>
      <c r="D104" s="279"/>
      <c r="E104" s="279"/>
      <c r="F104" s="279"/>
      <c r="G104" s="279"/>
      <c r="H104" s="279"/>
      <c r="I104" s="279"/>
      <c r="J104" s="279"/>
      <c r="K104" s="279"/>
      <c r="L104" s="279"/>
      <c r="M104" s="279"/>
      <c r="N104" s="279"/>
      <c r="O104" s="279"/>
      <c r="P104" s="279"/>
      <c r="Q104" s="279"/>
      <c r="R104" s="279"/>
      <c r="S104" s="279"/>
      <c r="T104" s="279"/>
      <c r="U104" s="279"/>
      <c r="V104" s="330">
        <f>-382-225-12</f>
        <v>-619</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-47</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-2083+247</f>
        <v>-1836</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-247</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-296</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-84</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-335</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-76</v>
      </c>
      <c r="W111" s="282"/>
      <c r="X111" s="5"/>
      <c r="Y111" s="109"/>
    </row>
    <row r="112" spans="1:25" ht="15.6" x14ac:dyDescent="0.3">
      <c r="A112" s="336">
        <v>7</v>
      </c>
      <c r="B112" s="279" t="s">
        <v>35</v>
      </c>
      <c r="C112" s="279"/>
      <c r="D112" s="279"/>
      <c r="E112" s="279"/>
      <c r="F112" s="279"/>
      <c r="G112" s="279"/>
      <c r="H112" s="279"/>
      <c r="I112" s="279"/>
      <c r="J112" s="279"/>
      <c r="K112" s="279"/>
      <c r="L112" s="279"/>
      <c r="M112" s="279"/>
      <c r="N112" s="279"/>
      <c r="O112" s="279"/>
      <c r="P112" s="279"/>
      <c r="Q112" s="279"/>
      <c r="R112" s="279"/>
      <c r="S112" s="279"/>
      <c r="T112" s="279"/>
      <c r="U112" s="279"/>
      <c r="V112" s="330">
        <v>-10</v>
      </c>
      <c r="W112" s="282"/>
      <c r="X112" s="5"/>
    </row>
    <row r="113" spans="1:24" ht="15.6" x14ac:dyDescent="0.3">
      <c r="A113" s="336">
        <f t="shared" ref="A113:A118" si="0">+A112+1</f>
        <v>8</v>
      </c>
      <c r="B113" s="279" t="s">
        <v>46</v>
      </c>
      <c r="C113" s="279"/>
      <c r="D113" s="279"/>
      <c r="E113" s="279"/>
      <c r="F113" s="279"/>
      <c r="G113" s="279"/>
      <c r="H113" s="279"/>
      <c r="I113" s="279"/>
      <c r="J113" s="279"/>
      <c r="K113" s="279"/>
      <c r="L113" s="279"/>
      <c r="M113" s="279"/>
      <c r="N113" s="279"/>
      <c r="O113" s="279"/>
      <c r="P113" s="279"/>
      <c r="Q113" s="279"/>
      <c r="R113" s="279"/>
      <c r="S113" s="279"/>
      <c r="T113" s="329">
        <f>-V113</f>
        <v>114</v>
      </c>
      <c r="U113" s="279"/>
      <c r="V113" s="330">
        <v>-114</v>
      </c>
      <c r="W113" s="282"/>
      <c r="X113" s="5"/>
    </row>
    <row r="114" spans="1:24" ht="15.6" x14ac:dyDescent="0.3">
      <c r="A114" s="336">
        <f t="shared" si="0"/>
        <v>9</v>
      </c>
      <c r="B114" s="279" t="s">
        <v>130</v>
      </c>
      <c r="C114" s="279"/>
      <c r="D114" s="279"/>
      <c r="E114" s="279"/>
      <c r="F114" s="279"/>
      <c r="G114" s="279"/>
      <c r="H114" s="279"/>
      <c r="I114" s="279"/>
      <c r="J114" s="279"/>
      <c r="K114" s="279"/>
      <c r="L114" s="279"/>
      <c r="M114" s="279"/>
      <c r="N114" s="279"/>
      <c r="O114" s="279"/>
      <c r="P114" s="279"/>
      <c r="Q114" s="279"/>
      <c r="R114" s="279"/>
      <c r="S114" s="279"/>
      <c r="T114" s="279"/>
      <c r="U114" s="279"/>
      <c r="V114" s="330">
        <v>0</v>
      </c>
      <c r="W114" s="282"/>
      <c r="X114" s="5"/>
    </row>
    <row r="115" spans="1:24" ht="15.6" x14ac:dyDescent="0.3">
      <c r="A115" s="336">
        <f t="shared" si="0"/>
        <v>10</v>
      </c>
      <c r="B115" s="279" t="s">
        <v>36</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37</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154</v>
      </c>
      <c r="C117" s="279"/>
      <c r="D117" s="279"/>
      <c r="E117" s="279"/>
      <c r="F117" s="279"/>
      <c r="G117" s="279"/>
      <c r="H117" s="279"/>
      <c r="I117" s="279"/>
      <c r="J117" s="279"/>
      <c r="K117" s="279"/>
      <c r="L117" s="279"/>
      <c r="M117" s="279"/>
      <c r="N117" s="279"/>
      <c r="O117" s="279"/>
      <c r="P117" s="279"/>
      <c r="Q117" s="279"/>
      <c r="R117" s="279"/>
      <c r="S117" s="279"/>
      <c r="T117" s="279"/>
      <c r="U117" s="279"/>
      <c r="V117" s="330">
        <v>-382</v>
      </c>
      <c r="W117" s="282"/>
      <c r="X117" s="5"/>
    </row>
    <row r="118" spans="1:24" ht="15.6" x14ac:dyDescent="0.3">
      <c r="A118" s="336">
        <f t="shared" si="0"/>
        <v>13</v>
      </c>
      <c r="B118" s="279" t="s">
        <v>131</v>
      </c>
      <c r="C118" s="279"/>
      <c r="D118" s="279"/>
      <c r="E118" s="279"/>
      <c r="F118" s="279"/>
      <c r="G118" s="279"/>
      <c r="H118" s="279"/>
      <c r="I118" s="279"/>
      <c r="J118" s="279"/>
      <c r="K118" s="279"/>
      <c r="L118" s="279"/>
      <c r="M118" s="279"/>
      <c r="N118" s="279"/>
      <c r="O118" s="279"/>
      <c r="P118" s="279"/>
      <c r="Q118" s="279"/>
      <c r="R118" s="279"/>
      <c r="S118" s="279"/>
      <c r="T118" s="279"/>
      <c r="U118" s="279"/>
      <c r="V118" s="330">
        <f>-V100-SUM(V102:V117)</f>
        <v>-3092</v>
      </c>
      <c r="W118" s="282"/>
      <c r="X118" s="5"/>
    </row>
    <row r="119" spans="1:24" ht="15.6" x14ac:dyDescent="0.3">
      <c r="A119" s="278"/>
      <c r="B119" s="333" t="s">
        <v>38</v>
      </c>
      <c r="C119" s="305"/>
      <c r="D119" s="305"/>
      <c r="E119" s="305"/>
      <c r="F119" s="305"/>
      <c r="G119" s="305"/>
      <c r="H119" s="305"/>
      <c r="I119" s="305"/>
      <c r="J119" s="305"/>
      <c r="K119" s="305"/>
      <c r="L119" s="305"/>
      <c r="M119" s="305"/>
      <c r="N119" s="305"/>
      <c r="O119" s="305"/>
      <c r="P119" s="305"/>
      <c r="Q119" s="305"/>
      <c r="R119" s="305"/>
      <c r="S119" s="305"/>
      <c r="T119" s="305"/>
      <c r="U119" s="305"/>
      <c r="V119" s="337"/>
      <c r="W119" s="310"/>
      <c r="X119" s="5"/>
    </row>
    <row r="120" spans="1:24" ht="15.6" x14ac:dyDescent="0.3">
      <c r="A120" s="278"/>
      <c r="B120" s="279" t="s">
        <v>179</v>
      </c>
      <c r="C120" s="279"/>
      <c r="D120" s="279"/>
      <c r="E120" s="279"/>
      <c r="F120" s="279"/>
      <c r="G120" s="279"/>
      <c r="H120" s="279"/>
      <c r="I120" s="279"/>
      <c r="J120" s="279"/>
      <c r="K120" s="279"/>
      <c r="L120" s="279"/>
      <c r="M120" s="279"/>
      <c r="N120" s="279"/>
      <c r="O120" s="279"/>
      <c r="P120" s="279"/>
      <c r="Q120" s="279"/>
      <c r="R120" s="279"/>
      <c r="S120" s="279"/>
      <c r="T120" s="329">
        <f>-T180</f>
        <v>0</v>
      </c>
      <c r="U120" s="329"/>
      <c r="V120" s="330"/>
      <c r="W120" s="282"/>
      <c r="X120" s="5"/>
    </row>
    <row r="121" spans="1:24" ht="15.6" x14ac:dyDescent="0.3">
      <c r="A121" s="278"/>
      <c r="B121" s="279" t="s">
        <v>180</v>
      </c>
      <c r="C121" s="279"/>
      <c r="D121" s="279"/>
      <c r="E121" s="279"/>
      <c r="F121" s="279"/>
      <c r="G121" s="279"/>
      <c r="H121" s="279"/>
      <c r="I121" s="279"/>
      <c r="J121" s="279"/>
      <c r="K121" s="279"/>
      <c r="L121" s="279"/>
      <c r="M121" s="279"/>
      <c r="N121" s="279"/>
      <c r="O121" s="279"/>
      <c r="P121" s="279"/>
      <c r="Q121" s="279"/>
      <c r="R121" s="279"/>
      <c r="S121" s="279"/>
      <c r="T121" s="329">
        <v>-11</v>
      </c>
      <c r="U121" s="329"/>
      <c r="V121" s="330"/>
      <c r="W121" s="282"/>
      <c r="X121" s="5"/>
    </row>
    <row r="122" spans="1:24" ht="15.6" x14ac:dyDescent="0.3">
      <c r="A122" s="278"/>
      <c r="B122" s="279" t="s">
        <v>39</v>
      </c>
      <c r="C122" s="279"/>
      <c r="D122" s="279"/>
      <c r="E122" s="279"/>
      <c r="F122" s="279"/>
      <c r="G122" s="279"/>
      <c r="H122" s="279"/>
      <c r="I122" s="279"/>
      <c r="J122" s="279"/>
      <c r="K122" s="279"/>
      <c r="L122" s="279"/>
      <c r="M122" s="279"/>
      <c r="N122" s="279"/>
      <c r="O122" s="279"/>
      <c r="P122" s="279"/>
      <c r="Q122" s="279"/>
      <c r="R122" s="279"/>
      <c r="S122" s="279"/>
      <c r="T122" s="329">
        <f>-S180</f>
        <v>-55</v>
      </c>
      <c r="U122" s="329"/>
      <c r="V122" s="330"/>
      <c r="W122" s="282"/>
      <c r="X122" s="5"/>
    </row>
    <row r="123" spans="1:24" ht="15.6" x14ac:dyDescent="0.3">
      <c r="A123" s="278"/>
      <c r="B123" s="279" t="s">
        <v>203</v>
      </c>
      <c r="C123" s="279"/>
      <c r="D123" s="279"/>
      <c r="E123" s="279"/>
      <c r="F123" s="279"/>
      <c r="G123" s="279"/>
      <c r="H123" s="279"/>
      <c r="I123" s="279"/>
      <c r="J123" s="279"/>
      <c r="K123" s="279"/>
      <c r="L123" s="279"/>
      <c r="M123" s="279"/>
      <c r="N123" s="279"/>
      <c r="O123" s="279"/>
      <c r="P123" s="279"/>
      <c r="Q123" s="279"/>
      <c r="R123" s="279"/>
      <c r="S123" s="279"/>
      <c r="T123" s="329">
        <v>-3431</v>
      </c>
      <c r="U123" s="329"/>
      <c r="V123" s="330"/>
      <c r="W123" s="282"/>
      <c r="X123" s="5"/>
    </row>
    <row r="124" spans="1:24" ht="15.6" x14ac:dyDescent="0.3">
      <c r="A124" s="278"/>
      <c r="B124" s="279" t="s">
        <v>201</v>
      </c>
      <c r="C124" s="279"/>
      <c r="D124" s="279"/>
      <c r="E124" s="279"/>
      <c r="F124" s="279"/>
      <c r="G124" s="279"/>
      <c r="H124" s="279"/>
      <c r="I124" s="279"/>
      <c r="J124" s="279"/>
      <c r="K124" s="279"/>
      <c r="L124" s="279"/>
      <c r="M124" s="279"/>
      <c r="N124" s="279"/>
      <c r="O124" s="279"/>
      <c r="P124" s="279"/>
      <c r="Q124" s="279"/>
      <c r="R124" s="279"/>
      <c r="S124" s="279"/>
      <c r="T124" s="329">
        <v>-610</v>
      </c>
      <c r="U124" s="329"/>
      <c r="V124" s="330"/>
      <c r="W124" s="282"/>
      <c r="X124" s="5"/>
    </row>
    <row r="125" spans="1:24" ht="15.6" x14ac:dyDescent="0.3">
      <c r="A125" s="278"/>
      <c r="B125" s="279" t="s">
        <v>200</v>
      </c>
      <c r="C125" s="279"/>
      <c r="D125" s="279"/>
      <c r="E125" s="279"/>
      <c r="F125" s="279"/>
      <c r="G125" s="279"/>
      <c r="H125" s="279"/>
      <c r="I125" s="279"/>
      <c r="J125" s="279"/>
      <c r="K125" s="279"/>
      <c r="L125" s="279"/>
      <c r="M125" s="279"/>
      <c r="N125" s="279"/>
      <c r="O125" s="279"/>
      <c r="P125" s="279"/>
      <c r="Q125" s="279"/>
      <c r="R125" s="279"/>
      <c r="S125" s="279"/>
      <c r="T125" s="329">
        <v>-711</v>
      </c>
      <c r="U125" s="329"/>
      <c r="V125" s="330"/>
      <c r="W125" s="282"/>
      <c r="X125" s="5"/>
    </row>
    <row r="126" spans="1:24" ht="15.6" x14ac:dyDescent="0.3">
      <c r="A126" s="278"/>
      <c r="B126" s="279" t="s">
        <v>260</v>
      </c>
      <c r="C126" s="279"/>
      <c r="D126" s="279"/>
      <c r="E126" s="279"/>
      <c r="F126" s="279"/>
      <c r="G126" s="279"/>
      <c r="H126" s="279"/>
      <c r="I126" s="279"/>
      <c r="J126" s="279"/>
      <c r="K126" s="279"/>
      <c r="L126" s="279"/>
      <c r="M126" s="279"/>
      <c r="N126" s="279"/>
      <c r="O126" s="279"/>
      <c r="P126" s="279"/>
      <c r="Q126" s="279"/>
      <c r="R126" s="279"/>
      <c r="S126" s="279"/>
      <c r="T126" s="329">
        <v>-711</v>
      </c>
      <c r="U126" s="329"/>
      <c r="V126" s="330"/>
      <c r="W126" s="282"/>
      <c r="X126" s="5"/>
    </row>
    <row r="127" spans="1:24" ht="15.6" x14ac:dyDescent="0.3">
      <c r="A127" s="278"/>
      <c r="B127" s="279" t="s">
        <v>195</v>
      </c>
      <c r="C127" s="279"/>
      <c r="D127" s="279"/>
      <c r="E127" s="279"/>
      <c r="F127" s="279"/>
      <c r="G127" s="279"/>
      <c r="H127" s="279"/>
      <c r="I127" s="279"/>
      <c r="J127" s="279"/>
      <c r="K127" s="279"/>
      <c r="L127" s="279"/>
      <c r="M127" s="279"/>
      <c r="N127" s="279"/>
      <c r="O127" s="279"/>
      <c r="P127" s="279"/>
      <c r="Q127" s="279"/>
      <c r="R127" s="279"/>
      <c r="S127" s="279"/>
      <c r="T127" s="329">
        <v>0</v>
      </c>
      <c r="U127" s="329"/>
      <c r="V127" s="330"/>
      <c r="W127" s="282"/>
      <c r="X127" s="5"/>
    </row>
    <row r="128" spans="1:24" ht="15.6" x14ac:dyDescent="0.3">
      <c r="A128" s="278"/>
      <c r="B128" s="279" t="s">
        <v>194</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261</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193</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40</v>
      </c>
      <c r="C131" s="279"/>
      <c r="D131" s="279"/>
      <c r="E131" s="279"/>
      <c r="F131" s="279"/>
      <c r="G131" s="279"/>
      <c r="H131" s="279"/>
      <c r="I131" s="279"/>
      <c r="J131" s="279"/>
      <c r="K131" s="279"/>
      <c r="L131" s="279"/>
      <c r="M131" s="279"/>
      <c r="N131" s="279"/>
      <c r="O131" s="279"/>
      <c r="P131" s="279"/>
      <c r="Q131" s="279"/>
      <c r="R131" s="279"/>
      <c r="S131" s="279"/>
      <c r="T131" s="329">
        <f>SUM(T120:T130)</f>
        <v>-5529</v>
      </c>
      <c r="U131" s="329"/>
      <c r="V131" s="329">
        <f>SUM(V101:V128)</f>
        <v>-7140</v>
      </c>
      <c r="W131" s="282"/>
      <c r="X131" s="5"/>
    </row>
    <row r="132" spans="1:24" ht="15.6" x14ac:dyDescent="0.3">
      <c r="A132" s="278"/>
      <c r="B132" s="279" t="s">
        <v>41</v>
      </c>
      <c r="C132" s="279"/>
      <c r="D132" s="279"/>
      <c r="E132" s="279"/>
      <c r="F132" s="279"/>
      <c r="G132" s="279"/>
      <c r="H132" s="279"/>
      <c r="I132" s="279"/>
      <c r="J132" s="279"/>
      <c r="K132" s="279"/>
      <c r="L132" s="279"/>
      <c r="M132" s="279"/>
      <c r="N132" s="279"/>
      <c r="O132" s="279"/>
      <c r="P132" s="279"/>
      <c r="Q132" s="279"/>
      <c r="R132" s="279"/>
      <c r="S132" s="279"/>
      <c r="T132" s="329">
        <f>T100+T131+T113</f>
        <v>0</v>
      </c>
      <c r="U132" s="329"/>
      <c r="V132" s="329">
        <f>V100+V131</f>
        <v>0</v>
      </c>
      <c r="W132" s="282"/>
      <c r="X132" s="5"/>
    </row>
    <row r="133" spans="1:24" ht="15.6" x14ac:dyDescent="0.3">
      <c r="A133" s="177"/>
      <c r="B133" s="275"/>
      <c r="C133" s="275"/>
      <c r="D133" s="275"/>
      <c r="E133" s="275"/>
      <c r="F133" s="275"/>
      <c r="G133" s="275"/>
      <c r="H133" s="275"/>
      <c r="I133" s="275"/>
      <c r="J133" s="275"/>
      <c r="K133" s="275"/>
      <c r="L133" s="275"/>
      <c r="M133" s="275"/>
      <c r="N133" s="275"/>
      <c r="O133" s="275"/>
      <c r="P133" s="275"/>
      <c r="Q133" s="275"/>
      <c r="R133" s="275"/>
      <c r="S133" s="275"/>
      <c r="T133" s="327"/>
      <c r="U133" s="327"/>
      <c r="V133" s="327"/>
      <c r="W133" s="275"/>
      <c r="X133" s="5"/>
    </row>
    <row r="134" spans="1:24" ht="15.6" x14ac:dyDescent="0.3">
      <c r="A134" s="177"/>
      <c r="B134" s="179"/>
      <c r="C134" s="179"/>
      <c r="D134" s="179"/>
      <c r="E134" s="179"/>
      <c r="F134" s="179"/>
      <c r="G134" s="179"/>
      <c r="H134" s="179"/>
      <c r="I134" s="179"/>
      <c r="J134" s="179"/>
      <c r="K134" s="179"/>
      <c r="L134" s="179"/>
      <c r="M134" s="179"/>
      <c r="N134" s="179"/>
      <c r="O134" s="179"/>
      <c r="P134" s="179"/>
      <c r="Q134" s="179"/>
      <c r="R134" s="179"/>
      <c r="S134" s="179"/>
      <c r="T134" s="179"/>
      <c r="U134" s="179"/>
      <c r="V134" s="199"/>
      <c r="W134" s="179"/>
      <c r="X134" s="5"/>
    </row>
    <row r="135" spans="1:24" ht="18" thickBot="1" x14ac:dyDescent="0.35">
      <c r="A135" s="194"/>
      <c r="B135" s="264" t="str">
        <f>B64</f>
        <v>PM12 INVESTOR REPORT QUARTER ENDING OCTOBER 2011</v>
      </c>
      <c r="C135" s="195"/>
      <c r="D135" s="195"/>
      <c r="E135" s="195"/>
      <c r="F135" s="195"/>
      <c r="G135" s="195"/>
      <c r="H135" s="195"/>
      <c r="I135" s="195"/>
      <c r="J135" s="195"/>
      <c r="K135" s="195"/>
      <c r="L135" s="195"/>
      <c r="M135" s="195"/>
      <c r="N135" s="195"/>
      <c r="O135" s="195"/>
      <c r="P135" s="195"/>
      <c r="Q135" s="195"/>
      <c r="R135" s="195"/>
      <c r="S135" s="195"/>
      <c r="T135" s="195"/>
      <c r="U135" s="195"/>
      <c r="V135" s="207"/>
      <c r="W135" s="197"/>
      <c r="X135" s="5"/>
    </row>
    <row r="136" spans="1:24" ht="15.6" x14ac:dyDescent="0.3">
      <c r="A136" s="235"/>
      <c r="B136" s="392" t="s">
        <v>42</v>
      </c>
      <c r="C136" s="236"/>
      <c r="D136" s="236"/>
      <c r="E136" s="236"/>
      <c r="F136" s="236"/>
      <c r="G136" s="236"/>
      <c r="H136" s="236"/>
      <c r="I136" s="236"/>
      <c r="J136" s="236"/>
      <c r="K136" s="236"/>
      <c r="L136" s="236"/>
      <c r="M136" s="236"/>
      <c r="N136" s="236"/>
      <c r="O136" s="236"/>
      <c r="P136" s="236"/>
      <c r="Q136" s="236"/>
      <c r="R136" s="236"/>
      <c r="S136" s="236"/>
      <c r="T136" s="236"/>
      <c r="U136" s="236"/>
      <c r="V136" s="237"/>
      <c r="W136" s="236"/>
      <c r="X136" s="5"/>
    </row>
    <row r="137" spans="1:24" ht="15.6" x14ac:dyDescent="0.3">
      <c r="A137" s="177"/>
      <c r="B137" s="186"/>
      <c r="C137" s="179"/>
      <c r="D137" s="179"/>
      <c r="E137" s="179"/>
      <c r="F137" s="179"/>
      <c r="G137" s="179"/>
      <c r="H137" s="179"/>
      <c r="I137" s="179"/>
      <c r="J137" s="179"/>
      <c r="K137" s="179"/>
      <c r="L137" s="179"/>
      <c r="M137" s="179"/>
      <c r="N137" s="179"/>
      <c r="O137" s="179"/>
      <c r="P137" s="179"/>
      <c r="Q137" s="179"/>
      <c r="R137" s="179"/>
      <c r="S137" s="179"/>
      <c r="T137" s="179"/>
      <c r="U137" s="179"/>
      <c r="V137" s="199"/>
      <c r="W137" s="179"/>
      <c r="X137" s="5"/>
    </row>
    <row r="138" spans="1:24" ht="15.6" x14ac:dyDescent="0.3">
      <c r="A138" s="177"/>
      <c r="B138" s="208" t="s">
        <v>43</v>
      </c>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278"/>
      <c r="B139" s="279" t="s">
        <v>44</v>
      </c>
      <c r="C139" s="279"/>
      <c r="D139" s="279"/>
      <c r="E139" s="279"/>
      <c r="F139" s="279"/>
      <c r="G139" s="279"/>
      <c r="H139" s="279"/>
      <c r="I139" s="279"/>
      <c r="J139" s="279"/>
      <c r="K139" s="279"/>
      <c r="L139" s="279"/>
      <c r="M139" s="279"/>
      <c r="N139" s="279"/>
      <c r="O139" s="279"/>
      <c r="P139" s="279"/>
      <c r="Q139" s="279"/>
      <c r="R139" s="279"/>
      <c r="S139" s="279"/>
      <c r="T139" s="279"/>
      <c r="U139" s="279"/>
      <c r="V139" s="330">
        <f>+V34*0.019</f>
        <v>28503.895</v>
      </c>
      <c r="W139" s="310"/>
      <c r="X139" s="5"/>
    </row>
    <row r="140" spans="1:24" ht="15.6" x14ac:dyDescent="0.3">
      <c r="A140" s="278"/>
      <c r="B140" s="279" t="s">
        <v>45</v>
      </c>
      <c r="C140" s="279"/>
      <c r="D140" s="279"/>
      <c r="E140" s="279"/>
      <c r="F140" s="279"/>
      <c r="G140" s="279"/>
      <c r="H140" s="279"/>
      <c r="I140" s="279"/>
      <c r="J140" s="279"/>
      <c r="K140" s="279"/>
      <c r="L140" s="279"/>
      <c r="M140" s="279"/>
      <c r="N140" s="279"/>
      <c r="O140" s="279"/>
      <c r="P140" s="279"/>
      <c r="Q140" s="279"/>
      <c r="R140" s="279"/>
      <c r="S140" s="279"/>
      <c r="T140" s="279"/>
      <c r="U140" s="279"/>
      <c r="V140" s="330">
        <v>28504</v>
      </c>
      <c r="W140" s="310"/>
      <c r="X140" s="5"/>
    </row>
    <row r="141" spans="1:24" ht="15.6" x14ac:dyDescent="0.3">
      <c r="A141" s="278"/>
      <c r="B141" s="279" t="s">
        <v>141</v>
      </c>
      <c r="C141" s="279"/>
      <c r="D141" s="279"/>
      <c r="E141" s="279"/>
      <c r="F141" s="279"/>
      <c r="G141" s="279"/>
      <c r="H141" s="279"/>
      <c r="I141" s="279"/>
      <c r="J141" s="279"/>
      <c r="K141" s="279"/>
      <c r="L141" s="279"/>
      <c r="M141" s="279"/>
      <c r="N141" s="279"/>
      <c r="O141" s="279"/>
      <c r="P141" s="279"/>
      <c r="Q141" s="279"/>
      <c r="R141" s="279"/>
      <c r="S141" s="279"/>
      <c r="T141" s="279"/>
      <c r="U141" s="279"/>
      <c r="V141" s="330">
        <v>0</v>
      </c>
      <c r="W141" s="310"/>
      <c r="X141" s="5"/>
    </row>
    <row r="142" spans="1:24" ht="15.6" x14ac:dyDescent="0.3">
      <c r="A142" s="278"/>
      <c r="B142" s="279" t="s">
        <v>128</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129</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181</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46</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134</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230</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c r="Y147" s="109"/>
    </row>
    <row r="148" spans="1:25" ht="15.6" x14ac:dyDescent="0.3">
      <c r="A148" s="278"/>
      <c r="B148" s="279" t="s">
        <v>47</v>
      </c>
      <c r="C148" s="279"/>
      <c r="D148" s="279"/>
      <c r="E148" s="279"/>
      <c r="F148" s="279"/>
      <c r="G148" s="279"/>
      <c r="H148" s="279"/>
      <c r="I148" s="279"/>
      <c r="J148" s="279"/>
      <c r="K148" s="279"/>
      <c r="L148" s="279"/>
      <c r="M148" s="279"/>
      <c r="N148" s="279"/>
      <c r="O148" s="279"/>
      <c r="P148" s="279"/>
      <c r="Q148" s="279"/>
      <c r="R148" s="279"/>
      <c r="S148" s="279"/>
      <c r="T148" s="279"/>
      <c r="U148" s="279"/>
      <c r="V148" s="330">
        <f>SUM(V140:V147)</f>
        <v>28504</v>
      </c>
      <c r="W148" s="310"/>
      <c r="X148" s="5"/>
    </row>
    <row r="149" spans="1:25" ht="15.6" x14ac:dyDescent="0.3">
      <c r="A149" s="278"/>
      <c r="B149" s="305"/>
      <c r="C149" s="305"/>
      <c r="D149" s="305"/>
      <c r="E149" s="305"/>
      <c r="F149" s="305"/>
      <c r="G149" s="305"/>
      <c r="H149" s="305"/>
      <c r="I149" s="305"/>
      <c r="J149" s="305"/>
      <c r="K149" s="305"/>
      <c r="L149" s="305"/>
      <c r="M149" s="305"/>
      <c r="N149" s="305"/>
      <c r="O149" s="305"/>
      <c r="P149" s="305"/>
      <c r="Q149" s="305"/>
      <c r="R149" s="305"/>
      <c r="S149" s="305"/>
      <c r="T149" s="305"/>
      <c r="U149" s="305"/>
      <c r="V149" s="335"/>
      <c r="W149" s="310"/>
      <c r="X149" s="5"/>
    </row>
    <row r="150" spans="1:25" ht="15.6" x14ac:dyDescent="0.3">
      <c r="A150" s="278"/>
      <c r="B150" s="333" t="s">
        <v>269</v>
      </c>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279" t="s">
        <v>160</v>
      </c>
      <c r="C151" s="279"/>
      <c r="D151" s="279"/>
      <c r="E151" s="279"/>
      <c r="F151" s="279"/>
      <c r="G151" s="279"/>
      <c r="H151" s="279"/>
      <c r="I151" s="279"/>
      <c r="J151" s="279"/>
      <c r="K151" s="279"/>
      <c r="L151" s="279"/>
      <c r="M151" s="279"/>
      <c r="N151" s="279"/>
      <c r="O151" s="279"/>
      <c r="P151" s="279"/>
      <c r="Q151" s="279"/>
      <c r="R151" s="279"/>
      <c r="S151" s="279"/>
      <c r="T151" s="279"/>
      <c r="U151" s="279"/>
      <c r="V151" s="330">
        <v>0</v>
      </c>
      <c r="W151" s="310"/>
      <c r="X151" s="5"/>
    </row>
    <row r="152" spans="1:25" ht="15.6" x14ac:dyDescent="0.3">
      <c r="A152" s="278"/>
      <c r="B152" s="279" t="s">
        <v>178</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270</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305"/>
      <c r="C154" s="305"/>
      <c r="D154" s="305"/>
      <c r="E154" s="305"/>
      <c r="F154" s="305"/>
      <c r="G154" s="305"/>
      <c r="H154" s="305"/>
      <c r="I154" s="305"/>
      <c r="J154" s="305"/>
      <c r="K154" s="305"/>
      <c r="L154" s="305"/>
      <c r="M154" s="305"/>
      <c r="N154" s="305"/>
      <c r="O154" s="305"/>
      <c r="P154" s="305"/>
      <c r="Q154" s="305"/>
      <c r="R154" s="305"/>
      <c r="S154" s="305"/>
      <c r="T154" s="305"/>
      <c r="U154" s="305"/>
      <c r="V154" s="335"/>
      <c r="W154" s="310"/>
      <c r="X154" s="5"/>
    </row>
    <row r="155" spans="1:25" ht="15.6" x14ac:dyDescent="0.3">
      <c r="A155" s="177"/>
      <c r="B155" s="275"/>
      <c r="C155" s="275"/>
      <c r="D155" s="275"/>
      <c r="E155" s="275"/>
      <c r="F155" s="275"/>
      <c r="G155" s="275"/>
      <c r="H155" s="275"/>
      <c r="I155" s="275"/>
      <c r="J155" s="275"/>
      <c r="K155" s="275"/>
      <c r="L155" s="275"/>
      <c r="M155" s="275"/>
      <c r="N155" s="275"/>
      <c r="O155" s="275"/>
      <c r="P155" s="275"/>
      <c r="Q155" s="275"/>
      <c r="R155" s="275"/>
      <c r="S155" s="275"/>
      <c r="T155" s="275"/>
      <c r="U155" s="275"/>
      <c r="V155" s="338"/>
      <c r="W155" s="275"/>
      <c r="X155" s="5"/>
    </row>
    <row r="156" spans="1:25" ht="15.6" x14ac:dyDescent="0.3">
      <c r="A156" s="177"/>
      <c r="B156" s="208" t="s">
        <v>24</v>
      </c>
      <c r="C156" s="179"/>
      <c r="D156" s="179"/>
      <c r="E156" s="179"/>
      <c r="F156" s="179"/>
      <c r="G156" s="179"/>
      <c r="H156" s="179"/>
      <c r="I156" s="179"/>
      <c r="J156" s="179"/>
      <c r="K156" s="179"/>
      <c r="L156" s="179"/>
      <c r="M156" s="179"/>
      <c r="N156" s="179"/>
      <c r="O156" s="179"/>
      <c r="P156" s="179"/>
      <c r="Q156" s="179"/>
      <c r="R156" s="179"/>
      <c r="S156" s="179"/>
      <c r="T156" s="179"/>
      <c r="U156" s="179"/>
      <c r="V156" s="199"/>
      <c r="W156" s="179"/>
      <c r="X156" s="5"/>
    </row>
    <row r="157" spans="1:25" ht="15.6" x14ac:dyDescent="0.3">
      <c r="A157" s="278"/>
      <c r="B157" s="279" t="s">
        <v>48</v>
      </c>
      <c r="C157" s="279"/>
      <c r="D157" s="279"/>
      <c r="E157" s="279"/>
      <c r="F157" s="279"/>
      <c r="G157" s="279"/>
      <c r="H157" s="279"/>
      <c r="I157" s="279"/>
      <c r="J157" s="279"/>
      <c r="K157" s="279"/>
      <c r="L157" s="279"/>
      <c r="M157" s="279"/>
      <c r="N157" s="279"/>
      <c r="O157" s="279"/>
      <c r="P157" s="279"/>
      <c r="Q157" s="279"/>
      <c r="R157" s="279"/>
      <c r="S157" s="279"/>
      <c r="T157" s="279"/>
      <c r="U157" s="279"/>
      <c r="V157" s="339" t="s">
        <v>123</v>
      </c>
      <c r="W157" s="282"/>
      <c r="X157" s="5"/>
    </row>
    <row r="158" spans="1:25" ht="15.6" x14ac:dyDescent="0.3">
      <c r="A158" s="278"/>
      <c r="B158" s="279" t="s">
        <v>49</v>
      </c>
      <c r="C158" s="281"/>
      <c r="D158" s="281"/>
      <c r="E158" s="281"/>
      <c r="F158" s="281"/>
      <c r="G158" s="281"/>
      <c r="H158" s="281"/>
      <c r="I158" s="281"/>
      <c r="J158" s="281"/>
      <c r="K158" s="281"/>
      <c r="L158" s="281"/>
      <c r="M158" s="281"/>
      <c r="N158" s="281"/>
      <c r="O158" s="281"/>
      <c r="P158" s="281"/>
      <c r="Q158" s="281"/>
      <c r="R158" s="281"/>
      <c r="S158" s="281"/>
      <c r="T158" s="281"/>
      <c r="U158" s="281"/>
      <c r="V158" s="339" t="s">
        <v>123</v>
      </c>
      <c r="W158" s="282"/>
      <c r="X158" s="5"/>
    </row>
    <row r="159" spans="1:25" ht="15.6" x14ac:dyDescent="0.3">
      <c r="A159" s="278"/>
      <c r="B159" s="279" t="s">
        <v>50</v>
      </c>
      <c r="C159" s="279"/>
      <c r="D159" s="279"/>
      <c r="E159" s="279"/>
      <c r="F159" s="279"/>
      <c r="G159" s="279"/>
      <c r="H159" s="279"/>
      <c r="I159" s="279"/>
      <c r="J159" s="279"/>
      <c r="K159" s="279"/>
      <c r="L159" s="279"/>
      <c r="M159" s="279"/>
      <c r="N159" s="279"/>
      <c r="O159" s="279"/>
      <c r="P159" s="279"/>
      <c r="Q159" s="279"/>
      <c r="R159" s="279"/>
      <c r="S159" s="279"/>
      <c r="T159" s="279"/>
      <c r="U159" s="279"/>
      <c r="V159" s="339" t="s">
        <v>123</v>
      </c>
      <c r="W159" s="282"/>
      <c r="X159" s="5"/>
    </row>
    <row r="160" spans="1:25" ht="15.6" x14ac:dyDescent="0.3">
      <c r="A160" s="278"/>
      <c r="B160" s="279" t="s">
        <v>51</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177"/>
      <c r="B161" s="275"/>
      <c r="C161" s="275"/>
      <c r="D161" s="275"/>
      <c r="E161" s="275"/>
      <c r="F161" s="275"/>
      <c r="G161" s="275"/>
      <c r="H161" s="275"/>
      <c r="I161" s="275"/>
      <c r="J161" s="275"/>
      <c r="K161" s="275"/>
      <c r="L161" s="275"/>
      <c r="M161" s="275"/>
      <c r="N161" s="275"/>
      <c r="O161" s="275"/>
      <c r="P161" s="275"/>
      <c r="Q161" s="275"/>
      <c r="R161" s="275"/>
      <c r="S161" s="275"/>
      <c r="T161" s="275"/>
      <c r="U161" s="275"/>
      <c r="V161" s="338"/>
      <c r="W161" s="275"/>
      <c r="X161" s="5"/>
    </row>
    <row r="162" spans="1:24" ht="15.6" x14ac:dyDescent="0.3">
      <c r="A162" s="177"/>
      <c r="B162" s="208" t="s">
        <v>52</v>
      </c>
      <c r="C162" s="179"/>
      <c r="D162" s="179"/>
      <c r="E162" s="179"/>
      <c r="F162" s="179"/>
      <c r="G162" s="179"/>
      <c r="H162" s="179"/>
      <c r="I162" s="179"/>
      <c r="J162" s="179"/>
      <c r="K162" s="179"/>
      <c r="L162" s="179"/>
      <c r="M162" s="179"/>
      <c r="N162" s="179"/>
      <c r="O162" s="179"/>
      <c r="P162" s="179"/>
      <c r="Q162" s="179"/>
      <c r="R162" s="179"/>
      <c r="S162" s="179"/>
      <c r="T162" s="179"/>
      <c r="U162" s="179"/>
      <c r="V162" s="209"/>
      <c r="W162" s="179"/>
      <c r="X162" s="5"/>
    </row>
    <row r="163" spans="1:24" ht="15.6" x14ac:dyDescent="0.3">
      <c r="A163" s="278"/>
      <c r="B163" s="279" t="s">
        <v>53</v>
      </c>
      <c r="C163" s="279"/>
      <c r="D163" s="279"/>
      <c r="E163" s="279"/>
      <c r="F163" s="279"/>
      <c r="G163" s="279"/>
      <c r="H163" s="279"/>
      <c r="I163" s="279"/>
      <c r="J163" s="279"/>
      <c r="K163" s="279"/>
      <c r="L163" s="279"/>
      <c r="M163" s="279"/>
      <c r="N163" s="279"/>
      <c r="O163" s="279"/>
      <c r="P163" s="279"/>
      <c r="Q163" s="279"/>
      <c r="R163" s="279"/>
      <c r="S163" s="279"/>
      <c r="T163" s="279"/>
      <c r="U163" s="279"/>
      <c r="V163" s="330">
        <v>0</v>
      </c>
      <c r="W163" s="310"/>
      <c r="X163" s="5"/>
    </row>
    <row r="164" spans="1:24" ht="15.6" x14ac:dyDescent="0.3">
      <c r="A164" s="278"/>
      <c r="B164" s="279" t="s">
        <v>54</v>
      </c>
      <c r="C164" s="279"/>
      <c r="D164" s="279"/>
      <c r="E164" s="279"/>
      <c r="F164" s="279"/>
      <c r="G164" s="279"/>
      <c r="H164" s="279"/>
      <c r="I164" s="279"/>
      <c r="J164" s="279"/>
      <c r="K164" s="279"/>
      <c r="L164" s="279"/>
      <c r="M164" s="279"/>
      <c r="N164" s="279"/>
      <c r="O164" s="279"/>
      <c r="P164" s="279"/>
      <c r="Q164" s="279"/>
      <c r="R164" s="279"/>
      <c r="S164" s="279"/>
      <c r="T164" s="279"/>
      <c r="U164" s="279"/>
      <c r="V164" s="330">
        <f>-V113</f>
        <v>114</v>
      </c>
      <c r="W164" s="310"/>
      <c r="X164" s="5"/>
    </row>
    <row r="165" spans="1:24" ht="15.6" x14ac:dyDescent="0.3">
      <c r="A165" s="278"/>
      <c r="B165" s="279" t="s">
        <v>55</v>
      </c>
      <c r="C165" s="279"/>
      <c r="D165" s="279"/>
      <c r="E165" s="279"/>
      <c r="F165" s="279"/>
      <c r="G165" s="279"/>
      <c r="H165" s="279"/>
      <c r="I165" s="279"/>
      <c r="J165" s="279"/>
      <c r="K165" s="279"/>
      <c r="L165" s="279"/>
      <c r="M165" s="279"/>
      <c r="N165" s="279"/>
      <c r="O165" s="279"/>
      <c r="P165" s="279"/>
      <c r="Q165" s="279"/>
      <c r="R165" s="279"/>
      <c r="S165" s="279"/>
      <c r="T165" s="279"/>
      <c r="U165" s="279"/>
      <c r="V165" s="330">
        <f>V164+V163</f>
        <v>114</v>
      </c>
      <c r="W165" s="310"/>
      <c r="X165" s="5"/>
    </row>
    <row r="166" spans="1:24" ht="15.6" x14ac:dyDescent="0.3">
      <c r="A166" s="278"/>
      <c r="B166" s="399" t="s">
        <v>310</v>
      </c>
      <c r="C166" s="279"/>
      <c r="D166" s="279"/>
      <c r="E166" s="279"/>
      <c r="F166" s="279"/>
      <c r="G166" s="279"/>
      <c r="H166" s="279"/>
      <c r="I166" s="279"/>
      <c r="J166" s="279"/>
      <c r="K166" s="279"/>
      <c r="L166" s="279"/>
      <c r="M166" s="279"/>
      <c r="N166" s="279"/>
      <c r="O166" s="279"/>
      <c r="P166" s="279"/>
      <c r="Q166" s="279"/>
      <c r="R166" s="279"/>
      <c r="S166" s="279"/>
      <c r="T166" s="279"/>
      <c r="U166" s="279"/>
      <c r="V166" s="330">
        <f>V113</f>
        <v>-114</v>
      </c>
      <c r="W166" s="310"/>
      <c r="X166" s="5"/>
    </row>
    <row r="167" spans="1:24" ht="15.6" x14ac:dyDescent="0.3">
      <c r="A167" s="278"/>
      <c r="B167" s="279" t="s">
        <v>56</v>
      </c>
      <c r="C167" s="279"/>
      <c r="D167" s="279"/>
      <c r="E167" s="279"/>
      <c r="F167" s="279"/>
      <c r="G167" s="279"/>
      <c r="H167" s="279"/>
      <c r="I167" s="279"/>
      <c r="J167" s="279"/>
      <c r="K167" s="279"/>
      <c r="L167" s="279"/>
      <c r="M167" s="279"/>
      <c r="N167" s="279"/>
      <c r="O167" s="279"/>
      <c r="P167" s="279"/>
      <c r="Q167" s="279"/>
      <c r="R167" s="279"/>
      <c r="S167" s="279"/>
      <c r="T167" s="279"/>
      <c r="U167" s="279"/>
      <c r="V167" s="330">
        <f>V165+V166</f>
        <v>0</v>
      </c>
      <c r="W167" s="310"/>
      <c r="X167" s="5"/>
    </row>
    <row r="168" spans="1:24" ht="15.6" x14ac:dyDescent="0.3">
      <c r="A168" s="278"/>
      <c r="B168" s="279" t="s">
        <v>282</v>
      </c>
      <c r="C168" s="279"/>
      <c r="D168" s="279"/>
      <c r="E168" s="279"/>
      <c r="F168" s="279"/>
      <c r="G168" s="279"/>
      <c r="H168" s="279"/>
      <c r="I168" s="279"/>
      <c r="J168" s="279"/>
      <c r="K168" s="279"/>
      <c r="L168" s="279"/>
      <c r="M168" s="279"/>
      <c r="N168" s="279"/>
      <c r="O168" s="279"/>
      <c r="P168" s="279"/>
      <c r="Q168" s="279"/>
      <c r="R168" s="279"/>
      <c r="S168" s="279"/>
      <c r="T168" s="279"/>
      <c r="U168" s="279"/>
      <c r="V168" s="330">
        <f>-V99</f>
        <v>110</v>
      </c>
      <c r="W168" s="310"/>
      <c r="X168" s="5"/>
    </row>
    <row r="169" spans="1:24" ht="16.2" thickBot="1" x14ac:dyDescent="0.35">
      <c r="A169" s="177"/>
      <c r="B169" s="275"/>
      <c r="C169" s="275"/>
      <c r="D169" s="275"/>
      <c r="E169" s="275"/>
      <c r="F169" s="275"/>
      <c r="G169" s="275"/>
      <c r="H169" s="275"/>
      <c r="I169" s="275"/>
      <c r="J169" s="275"/>
      <c r="K169" s="275"/>
      <c r="L169" s="275"/>
      <c r="M169" s="275"/>
      <c r="N169" s="275"/>
      <c r="O169" s="275"/>
      <c r="P169" s="275"/>
      <c r="Q169" s="275"/>
      <c r="R169" s="275"/>
      <c r="S169" s="275"/>
      <c r="T169" s="275"/>
      <c r="U169" s="275"/>
      <c r="V169" s="338"/>
      <c r="W169" s="275"/>
      <c r="X169" s="5"/>
    </row>
    <row r="170" spans="1:24"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76"/>
      <c r="U170" s="176"/>
      <c r="V170" s="198"/>
      <c r="W170" s="176"/>
      <c r="X170" s="5"/>
    </row>
    <row r="171" spans="1:24" ht="15.6" x14ac:dyDescent="0.3">
      <c r="A171" s="177"/>
      <c r="B171" s="208" t="s">
        <v>57</v>
      </c>
      <c r="C171" s="179"/>
      <c r="D171" s="179"/>
      <c r="E171" s="179"/>
      <c r="F171" s="179"/>
      <c r="G171" s="179"/>
      <c r="H171" s="179"/>
      <c r="I171" s="179"/>
      <c r="J171" s="179"/>
      <c r="K171" s="179"/>
      <c r="L171" s="179"/>
      <c r="M171" s="179"/>
      <c r="N171" s="179"/>
      <c r="O171" s="179"/>
      <c r="P171" s="179"/>
      <c r="Q171" s="179"/>
      <c r="R171" s="179"/>
      <c r="S171" s="179"/>
      <c r="T171" s="179"/>
      <c r="U171" s="179"/>
      <c r="V171" s="199"/>
      <c r="W171" s="179"/>
      <c r="X171" s="5"/>
    </row>
    <row r="172" spans="1:24" ht="15.6" x14ac:dyDescent="0.3">
      <c r="A172" s="177"/>
      <c r="B172" s="186"/>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278"/>
      <c r="B173" s="279" t="s">
        <v>58</v>
      </c>
      <c r="C173" s="279"/>
      <c r="D173" s="279"/>
      <c r="E173" s="279"/>
      <c r="F173" s="279"/>
      <c r="G173" s="279"/>
      <c r="H173" s="279"/>
      <c r="I173" s="279"/>
      <c r="J173" s="279"/>
      <c r="K173" s="279"/>
      <c r="L173" s="279"/>
      <c r="M173" s="279"/>
      <c r="N173" s="279"/>
      <c r="O173" s="279"/>
      <c r="P173" s="279"/>
      <c r="Q173" s="279"/>
      <c r="R173" s="279"/>
      <c r="S173" s="279"/>
      <c r="T173" s="279"/>
      <c r="U173" s="279"/>
      <c r="V173" s="330">
        <f>V71</f>
        <v>998237</v>
      </c>
      <c r="W173" s="282"/>
      <c r="X173" s="5"/>
    </row>
    <row r="174" spans="1:24" ht="15.6" x14ac:dyDescent="0.3">
      <c r="A174" s="278"/>
      <c r="B174" s="279" t="s">
        <v>59</v>
      </c>
      <c r="C174" s="279"/>
      <c r="D174" s="279"/>
      <c r="E174" s="279"/>
      <c r="F174" s="279"/>
      <c r="G174" s="279"/>
      <c r="H174" s="279"/>
      <c r="I174" s="279"/>
      <c r="J174" s="279"/>
      <c r="K174" s="279"/>
      <c r="L174" s="279"/>
      <c r="M174" s="279"/>
      <c r="N174" s="279"/>
      <c r="O174" s="279"/>
      <c r="P174" s="279"/>
      <c r="Q174" s="279"/>
      <c r="R174" s="279"/>
      <c r="S174" s="279"/>
      <c r="T174" s="279"/>
      <c r="U174" s="279"/>
      <c r="V174" s="330">
        <f>V84</f>
        <v>998237</v>
      </c>
      <c r="W174" s="282"/>
      <c r="X174" s="5"/>
    </row>
    <row r="175" spans="1:24" ht="16.2" thickBot="1" x14ac:dyDescent="0.35">
      <c r="A175" s="177"/>
      <c r="B175" s="275"/>
      <c r="C175" s="275"/>
      <c r="D175" s="275"/>
      <c r="E175" s="275"/>
      <c r="F175" s="275"/>
      <c r="G175" s="275"/>
      <c r="H175" s="275"/>
      <c r="I175" s="275"/>
      <c r="J175" s="275"/>
      <c r="K175" s="275"/>
      <c r="L175" s="275"/>
      <c r="M175" s="275"/>
      <c r="N175" s="275"/>
      <c r="O175" s="275"/>
      <c r="P175" s="275"/>
      <c r="Q175" s="275"/>
      <c r="R175" s="275"/>
      <c r="S175" s="275"/>
      <c r="T175" s="275"/>
      <c r="U175" s="275"/>
      <c r="V175" s="338"/>
      <c r="W175" s="275"/>
      <c r="X175" s="5"/>
    </row>
    <row r="176" spans="1:24"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76"/>
      <c r="U176" s="176"/>
      <c r="V176" s="198"/>
      <c r="W176" s="176"/>
      <c r="X176" s="5"/>
    </row>
    <row r="177" spans="1:24" ht="15.6" x14ac:dyDescent="0.3">
      <c r="A177" s="177"/>
      <c r="B177" s="208" t="s">
        <v>60</v>
      </c>
      <c r="C177" s="203"/>
      <c r="D177" s="203"/>
      <c r="E177" s="203"/>
      <c r="F177" s="203"/>
      <c r="G177" s="203"/>
      <c r="H177" s="210"/>
      <c r="I177" s="210"/>
      <c r="J177" s="210"/>
      <c r="K177" s="210"/>
      <c r="L177" s="210"/>
      <c r="M177" s="210"/>
      <c r="N177" s="210"/>
      <c r="O177" s="210"/>
      <c r="P177" s="210"/>
      <c r="Q177" s="210"/>
      <c r="R177" s="210"/>
      <c r="S177" s="210" t="s">
        <v>103</v>
      </c>
      <c r="T177" s="210" t="s">
        <v>182</v>
      </c>
      <c r="U177" s="181"/>
      <c r="V177" s="211" t="s">
        <v>119</v>
      </c>
      <c r="W177" s="212"/>
      <c r="X177" s="5"/>
    </row>
    <row r="178" spans="1:24" ht="15.6" x14ac:dyDescent="0.3">
      <c r="A178" s="278"/>
      <c r="B178" s="279" t="s">
        <v>61</v>
      </c>
      <c r="C178" s="279"/>
      <c r="D178" s="279"/>
      <c r="E178" s="279"/>
      <c r="F178" s="279"/>
      <c r="G178" s="279"/>
      <c r="H178" s="279"/>
      <c r="I178" s="279"/>
      <c r="J178" s="279"/>
      <c r="K178" s="279"/>
      <c r="L178" s="279"/>
      <c r="M178" s="279"/>
      <c r="N178" s="279"/>
      <c r="O178" s="279"/>
      <c r="P178" s="279"/>
      <c r="Q178" s="279"/>
      <c r="R178" s="279"/>
      <c r="S178" s="330">
        <f>+V34*0.16</f>
        <v>240032.80000000002</v>
      </c>
      <c r="T178" s="317"/>
      <c r="U178" s="279"/>
      <c r="V178" s="330"/>
      <c r="W178" s="310"/>
      <c r="X178" s="5"/>
    </row>
    <row r="179" spans="1:24" ht="15.6" x14ac:dyDescent="0.3">
      <c r="A179" s="278"/>
      <c r="B179" s="279" t="s">
        <v>62</v>
      </c>
      <c r="C179" s="279"/>
      <c r="D179" s="279"/>
      <c r="E179" s="279"/>
      <c r="F179" s="279"/>
      <c r="G179" s="279"/>
      <c r="H179" s="279"/>
      <c r="I179" s="279"/>
      <c r="J179" s="279"/>
      <c r="K179" s="279"/>
      <c r="L179" s="279"/>
      <c r="M179" s="279"/>
      <c r="N179" s="279"/>
      <c r="O179" s="279"/>
      <c r="P179" s="279"/>
      <c r="Q179" s="279"/>
      <c r="R179" s="279"/>
      <c r="S179" s="330">
        <f>+'July 11'!S181</f>
        <v>48428</v>
      </c>
      <c r="T179" s="330">
        <f>+'July 11'!T181</f>
        <v>6352</v>
      </c>
      <c r="U179" s="279"/>
      <c r="V179" s="330">
        <f>S179+T179</f>
        <v>54780</v>
      </c>
      <c r="W179" s="310"/>
      <c r="X179" s="5"/>
    </row>
    <row r="180" spans="1:24" ht="15.6" x14ac:dyDescent="0.3">
      <c r="A180" s="278"/>
      <c r="B180" s="279" t="s">
        <v>63</v>
      </c>
      <c r="C180" s="279"/>
      <c r="D180" s="279"/>
      <c r="E180" s="279"/>
      <c r="F180" s="279"/>
      <c r="G180" s="279"/>
      <c r="H180" s="279"/>
      <c r="I180" s="279"/>
      <c r="J180" s="279"/>
      <c r="K180" s="279"/>
      <c r="L180" s="279"/>
      <c r="M180" s="279"/>
      <c r="N180" s="279"/>
      <c r="O180" s="279"/>
      <c r="P180" s="279"/>
      <c r="Q180" s="279"/>
      <c r="R180" s="279"/>
      <c r="S180" s="329">
        <v>55</v>
      </c>
      <c r="T180" s="329">
        <v>0</v>
      </c>
      <c r="U180" s="279"/>
      <c r="V180" s="330">
        <f>S180+T180</f>
        <v>55</v>
      </c>
      <c r="W180" s="310"/>
      <c r="X180" s="5"/>
    </row>
    <row r="181" spans="1:24" ht="15.6" x14ac:dyDescent="0.3">
      <c r="A181" s="278"/>
      <c r="B181" s="279" t="s">
        <v>64</v>
      </c>
      <c r="C181" s="279"/>
      <c r="D181" s="279"/>
      <c r="E181" s="279"/>
      <c r="F181" s="279"/>
      <c r="G181" s="279"/>
      <c r="H181" s="279"/>
      <c r="I181" s="279"/>
      <c r="J181" s="279"/>
      <c r="K181" s="279"/>
      <c r="L181" s="279"/>
      <c r="M181" s="279"/>
      <c r="N181" s="279"/>
      <c r="O181" s="279"/>
      <c r="P181" s="279"/>
      <c r="Q181" s="279"/>
      <c r="R181" s="279"/>
      <c r="S181" s="330">
        <f>S179+S180</f>
        <v>48483</v>
      </c>
      <c r="T181" s="330">
        <f>T180+T179</f>
        <v>6352</v>
      </c>
      <c r="U181" s="279"/>
      <c r="V181" s="330">
        <f>S181+T181</f>
        <v>54835</v>
      </c>
      <c r="W181" s="310"/>
      <c r="X181" s="5"/>
    </row>
    <row r="182" spans="1:24" ht="15.6" x14ac:dyDescent="0.3">
      <c r="A182" s="278"/>
      <c r="B182" s="279" t="s">
        <v>65</v>
      </c>
      <c r="C182" s="279"/>
      <c r="D182" s="279"/>
      <c r="E182" s="279"/>
      <c r="F182" s="279"/>
      <c r="G182" s="279"/>
      <c r="H182" s="279"/>
      <c r="I182" s="279"/>
      <c r="J182" s="279"/>
      <c r="K182" s="279"/>
      <c r="L182" s="279"/>
      <c r="M182" s="279"/>
      <c r="N182" s="279"/>
      <c r="O182" s="279"/>
      <c r="P182" s="279"/>
      <c r="Q182" s="279"/>
      <c r="R182" s="279"/>
      <c r="S182" s="330">
        <f>S178-S181-T181</f>
        <v>185197.80000000002</v>
      </c>
      <c r="T182" s="317"/>
      <c r="U182" s="279"/>
      <c r="V182" s="330"/>
      <c r="W182" s="310"/>
      <c r="X182" s="5"/>
    </row>
    <row r="183" spans="1:24" ht="16.2" thickBot="1" x14ac:dyDescent="0.35">
      <c r="A183" s="177"/>
      <c r="B183" s="275"/>
      <c r="C183" s="275"/>
      <c r="D183" s="275"/>
      <c r="E183" s="275"/>
      <c r="F183" s="275"/>
      <c r="G183" s="275"/>
      <c r="H183" s="275"/>
      <c r="I183" s="275"/>
      <c r="J183" s="275"/>
      <c r="K183" s="275"/>
      <c r="L183" s="275"/>
      <c r="M183" s="275"/>
      <c r="N183" s="275"/>
      <c r="O183" s="275"/>
      <c r="P183" s="275"/>
      <c r="Q183" s="275"/>
      <c r="R183" s="275"/>
      <c r="S183" s="275"/>
      <c r="T183" s="275"/>
      <c r="U183" s="275"/>
      <c r="V183" s="338"/>
      <c r="W183" s="275"/>
      <c r="X183" s="5"/>
    </row>
    <row r="184" spans="1:24"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76"/>
      <c r="U184" s="176"/>
      <c r="V184" s="198"/>
      <c r="W184" s="176"/>
      <c r="X184" s="5"/>
    </row>
    <row r="185" spans="1:24" ht="15.6" x14ac:dyDescent="0.3">
      <c r="A185" s="177"/>
      <c r="B185" s="208" t="s">
        <v>66</v>
      </c>
      <c r="C185" s="179"/>
      <c r="D185" s="179"/>
      <c r="E185" s="179"/>
      <c r="F185" s="179"/>
      <c r="G185" s="179"/>
      <c r="H185" s="179"/>
      <c r="I185" s="179"/>
      <c r="J185" s="179"/>
      <c r="K185" s="179"/>
      <c r="L185" s="179"/>
      <c r="M185" s="179"/>
      <c r="N185" s="179"/>
      <c r="O185" s="179"/>
      <c r="P185" s="179"/>
      <c r="Q185" s="179"/>
      <c r="R185" s="179"/>
      <c r="S185" s="179"/>
      <c r="T185" s="179"/>
      <c r="U185" s="179"/>
      <c r="V185" s="213"/>
      <c r="W185" s="179"/>
      <c r="X185" s="5"/>
    </row>
    <row r="186" spans="1:24" ht="15.6" x14ac:dyDescent="0.3">
      <c r="A186" s="278"/>
      <c r="B186" s="279" t="s">
        <v>67</v>
      </c>
      <c r="C186" s="279"/>
      <c r="D186" s="279"/>
      <c r="E186" s="279"/>
      <c r="F186" s="279"/>
      <c r="G186" s="279"/>
      <c r="H186" s="279"/>
      <c r="I186" s="279"/>
      <c r="J186" s="279"/>
      <c r="K186" s="279"/>
      <c r="L186" s="279"/>
      <c r="M186" s="279"/>
      <c r="N186" s="279"/>
      <c r="O186" s="279"/>
      <c r="P186" s="279"/>
      <c r="Q186" s="279"/>
      <c r="R186" s="279"/>
      <c r="S186" s="279"/>
      <c r="T186" s="279"/>
      <c r="U186" s="279"/>
      <c r="V186" s="339">
        <f>(V100+V102+V103+V104+V105)/-(V106+V107)</f>
        <v>3.1070571291406623</v>
      </c>
      <c r="W186" s="282" t="s">
        <v>120</v>
      </c>
      <c r="X186" s="5"/>
    </row>
    <row r="187" spans="1:24" ht="15.6" x14ac:dyDescent="0.3">
      <c r="A187" s="278"/>
      <c r="B187" s="279" t="s">
        <v>68</v>
      </c>
      <c r="C187" s="279"/>
      <c r="D187" s="279"/>
      <c r="E187" s="279"/>
      <c r="F187" s="279"/>
      <c r="G187" s="279"/>
      <c r="H187" s="279"/>
      <c r="I187" s="279"/>
      <c r="J187" s="279"/>
      <c r="K187" s="279"/>
      <c r="L187" s="279"/>
      <c r="M187" s="279"/>
      <c r="N187" s="279"/>
      <c r="O187" s="279"/>
      <c r="P187" s="279"/>
      <c r="Q187" s="279"/>
      <c r="R187" s="279"/>
      <c r="S187" s="279"/>
      <c r="T187" s="279"/>
      <c r="U187" s="279"/>
      <c r="V187" s="341">
        <v>1.57</v>
      </c>
      <c r="W187" s="282" t="s">
        <v>120</v>
      </c>
      <c r="X187" s="5"/>
    </row>
    <row r="188" spans="1:24" ht="15.6" x14ac:dyDescent="0.3">
      <c r="A188" s="278"/>
      <c r="B188" s="279" t="s">
        <v>69</v>
      </c>
      <c r="C188" s="279"/>
      <c r="D188" s="279"/>
      <c r="E188" s="279"/>
      <c r="F188" s="279"/>
      <c r="G188" s="279"/>
      <c r="H188" s="279"/>
      <c r="I188" s="279"/>
      <c r="J188" s="279"/>
      <c r="K188" s="279"/>
      <c r="L188" s="279"/>
      <c r="M188" s="279"/>
      <c r="N188" s="279"/>
      <c r="O188" s="279"/>
      <c r="P188" s="279"/>
      <c r="Q188" s="279"/>
      <c r="R188" s="279"/>
      <c r="S188" s="279"/>
      <c r="T188" s="279"/>
      <c r="U188" s="279"/>
      <c r="V188" s="339">
        <f>(V100+V102+V103+V104+V105+V106+V107)/-(V108+V109)</f>
        <v>11.55</v>
      </c>
      <c r="W188" s="282" t="s">
        <v>120</v>
      </c>
      <c r="X188" s="5"/>
    </row>
    <row r="189" spans="1:24" ht="15.6" x14ac:dyDescent="0.3">
      <c r="A189" s="278"/>
      <c r="B189" s="279" t="s">
        <v>70</v>
      </c>
      <c r="C189" s="279"/>
      <c r="D189" s="279"/>
      <c r="E189" s="279"/>
      <c r="F189" s="279"/>
      <c r="G189" s="279"/>
      <c r="H189" s="279"/>
      <c r="I189" s="279"/>
      <c r="J189" s="279"/>
      <c r="K189" s="279"/>
      <c r="L189" s="279"/>
      <c r="M189" s="279"/>
      <c r="N189" s="279"/>
      <c r="O189" s="279"/>
      <c r="P189" s="279"/>
      <c r="Q189" s="279"/>
      <c r="R189" s="279"/>
      <c r="S189" s="279"/>
      <c r="T189" s="279"/>
      <c r="U189" s="279"/>
      <c r="V189" s="341">
        <v>5.39</v>
      </c>
      <c r="W189" s="282" t="s">
        <v>120</v>
      </c>
      <c r="X189" s="5"/>
    </row>
    <row r="190" spans="1:24" ht="15.6" x14ac:dyDescent="0.3">
      <c r="A190" s="278"/>
      <c r="B190" s="279" t="s">
        <v>204</v>
      </c>
      <c r="C190" s="279"/>
      <c r="D190" s="279"/>
      <c r="E190" s="279"/>
      <c r="F190" s="279"/>
      <c r="G190" s="279"/>
      <c r="H190" s="279"/>
      <c r="I190" s="279"/>
      <c r="J190" s="279"/>
      <c r="K190" s="279"/>
      <c r="L190" s="279"/>
      <c r="M190" s="279"/>
      <c r="N190" s="279"/>
      <c r="O190" s="279"/>
      <c r="P190" s="279"/>
      <c r="Q190" s="279"/>
      <c r="R190" s="279"/>
      <c r="S190" s="279"/>
      <c r="T190" s="279"/>
      <c r="U190" s="279"/>
      <c r="V190" s="339">
        <f>(V100+V102+V103+V104+V105+V106+V107+V108+V109)/-(V110+V111)</f>
        <v>9.7542579075425788</v>
      </c>
      <c r="W190" s="282" t="s">
        <v>120</v>
      </c>
      <c r="X190" s="5"/>
    </row>
    <row r="191" spans="1:24" ht="15.6" x14ac:dyDescent="0.3">
      <c r="A191" s="278"/>
      <c r="B191" s="279" t="s">
        <v>205</v>
      </c>
      <c r="C191" s="279"/>
      <c r="D191" s="279"/>
      <c r="E191" s="279"/>
      <c r="F191" s="279"/>
      <c r="G191" s="279"/>
      <c r="H191" s="279"/>
      <c r="I191" s="279"/>
      <c r="J191" s="279"/>
      <c r="K191" s="279"/>
      <c r="L191" s="279"/>
      <c r="M191" s="279"/>
      <c r="N191" s="279"/>
      <c r="O191" s="279"/>
      <c r="P191" s="279"/>
      <c r="Q191" s="279"/>
      <c r="R191" s="279"/>
      <c r="S191" s="279"/>
      <c r="T191" s="279"/>
      <c r="U191" s="279"/>
      <c r="V191" s="341">
        <v>5.0999999999999996</v>
      </c>
      <c r="W191" s="282" t="s">
        <v>120</v>
      </c>
      <c r="X191" s="5"/>
    </row>
    <row r="192" spans="1:24" ht="15.6" x14ac:dyDescent="0.3">
      <c r="A192" s="278"/>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82"/>
      <c r="X192" s="5"/>
    </row>
    <row r="193" spans="1:24" ht="15.6" x14ac:dyDescent="0.3">
      <c r="A193" s="177"/>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5"/>
    </row>
    <row r="194" spans="1:24" ht="15.6" x14ac:dyDescent="0.3">
      <c r="A194" s="177"/>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5"/>
    </row>
    <row r="195" spans="1:24" ht="18" thickBot="1" x14ac:dyDescent="0.35">
      <c r="A195" s="194"/>
      <c r="B195" s="264" t="str">
        <f>B135</f>
        <v>PM12 INVESTOR REPORT QUARTER ENDING OCTOBER 2011</v>
      </c>
      <c r="C195" s="265"/>
      <c r="D195" s="265"/>
      <c r="E195" s="265"/>
      <c r="F195" s="265"/>
      <c r="G195" s="265"/>
      <c r="H195" s="265"/>
      <c r="I195" s="265"/>
      <c r="J195" s="265"/>
      <c r="K195" s="265"/>
      <c r="L195" s="265"/>
      <c r="M195" s="265"/>
      <c r="N195" s="265"/>
      <c r="O195" s="265"/>
      <c r="P195" s="265"/>
      <c r="Q195" s="265"/>
      <c r="R195" s="265"/>
      <c r="S195" s="265"/>
      <c r="T195" s="265"/>
      <c r="U195" s="265"/>
      <c r="V195" s="265"/>
      <c r="W195" s="266"/>
      <c r="X195" s="5"/>
    </row>
    <row r="196" spans="1:24" ht="15.6" x14ac:dyDescent="0.3">
      <c r="A196" s="235"/>
      <c r="B196" s="392" t="s">
        <v>71</v>
      </c>
      <c r="C196" s="393"/>
      <c r="D196" s="393"/>
      <c r="E196" s="393"/>
      <c r="F196" s="393"/>
      <c r="G196" s="394"/>
      <c r="H196" s="394"/>
      <c r="I196" s="394"/>
      <c r="J196" s="394"/>
      <c r="K196" s="394"/>
      <c r="L196" s="394"/>
      <c r="M196" s="394"/>
      <c r="N196" s="394"/>
      <c r="O196" s="394"/>
      <c r="P196" s="394"/>
      <c r="Q196" s="394"/>
      <c r="R196" s="394"/>
      <c r="S196" s="394"/>
      <c r="T196" s="394">
        <v>40847</v>
      </c>
      <c r="U196" s="236"/>
      <c r="V196" s="236"/>
      <c r="W196" s="236"/>
      <c r="X196" s="5"/>
    </row>
    <row r="197" spans="1:24" ht="15.6" x14ac:dyDescent="0.3">
      <c r="A197" s="214"/>
      <c r="B197" s="215"/>
      <c r="C197" s="216"/>
      <c r="D197" s="216"/>
      <c r="E197" s="216"/>
      <c r="F197" s="216"/>
      <c r="G197" s="217"/>
      <c r="H197" s="217"/>
      <c r="I197" s="217"/>
      <c r="J197" s="217"/>
      <c r="K197" s="217"/>
      <c r="L197" s="217"/>
      <c r="M197" s="217"/>
      <c r="N197" s="217"/>
      <c r="O197" s="217"/>
      <c r="P197" s="217"/>
      <c r="Q197" s="217"/>
      <c r="R197" s="217"/>
      <c r="S197" s="217"/>
      <c r="T197" s="217"/>
      <c r="U197" s="179"/>
      <c r="V197" s="179"/>
      <c r="W197" s="179"/>
      <c r="X197" s="5"/>
    </row>
    <row r="198" spans="1:24" ht="15.6" x14ac:dyDescent="0.3">
      <c r="A198" s="344"/>
      <c r="B198" s="279" t="s">
        <v>72</v>
      </c>
      <c r="C198" s="395"/>
      <c r="D198" s="395"/>
      <c r="E198" s="395"/>
      <c r="F198" s="395"/>
      <c r="G198" s="386"/>
      <c r="H198" s="386"/>
      <c r="I198" s="386"/>
      <c r="J198" s="386"/>
      <c r="K198" s="386"/>
      <c r="L198" s="386"/>
      <c r="M198" s="386"/>
      <c r="N198" s="386"/>
      <c r="O198" s="386"/>
      <c r="P198" s="386"/>
      <c r="Q198" s="386"/>
      <c r="R198" s="386"/>
      <c r="S198" s="386"/>
      <c r="T198" s="313">
        <v>5.2060000000000002E-2</v>
      </c>
      <c r="U198" s="279"/>
      <c r="V198" s="279"/>
      <c r="W198" s="310"/>
      <c r="X198" s="5"/>
    </row>
    <row r="199" spans="1:24" ht="15.6" x14ac:dyDescent="0.3">
      <c r="A199" s="344"/>
      <c r="B199" s="279" t="s">
        <v>156</v>
      </c>
      <c r="C199" s="395"/>
      <c r="D199" s="395"/>
      <c r="E199" s="395"/>
      <c r="F199" s="395"/>
      <c r="G199" s="386"/>
      <c r="H199" s="386"/>
      <c r="I199" s="386"/>
      <c r="J199" s="386"/>
      <c r="K199" s="386"/>
      <c r="L199" s="386"/>
      <c r="M199" s="386"/>
      <c r="N199" s="386"/>
      <c r="O199" s="386"/>
      <c r="P199" s="386"/>
      <c r="Q199" s="386"/>
      <c r="R199" s="386"/>
      <c r="S199" s="386"/>
      <c r="T199" s="313">
        <f>'Oct 06'!T197</f>
        <v>4.8538814772447772E-2</v>
      </c>
      <c r="U199" s="279"/>
      <c r="V199" s="279"/>
      <c r="W199" s="310"/>
      <c r="X199" s="5"/>
    </row>
    <row r="200" spans="1:24" ht="15.6" x14ac:dyDescent="0.3">
      <c r="A200" s="344"/>
      <c r="B200" s="279" t="s">
        <v>73</v>
      </c>
      <c r="C200" s="395"/>
      <c r="D200" s="395"/>
      <c r="E200" s="395"/>
      <c r="F200" s="395"/>
      <c r="G200" s="386"/>
      <c r="H200" s="386"/>
      <c r="I200" s="386"/>
      <c r="J200" s="386"/>
      <c r="K200" s="386"/>
      <c r="L200" s="386"/>
      <c r="M200" s="386"/>
      <c r="N200" s="386"/>
      <c r="O200" s="386"/>
      <c r="P200" s="386"/>
      <c r="Q200" s="386"/>
      <c r="R200" s="386"/>
      <c r="S200" s="386"/>
      <c r="T200" s="313">
        <f>T198-T199</f>
        <v>3.5211852275522301E-3</v>
      </c>
      <c r="U200" s="279"/>
      <c r="V200" s="279"/>
      <c r="W200" s="310"/>
      <c r="X200" s="5"/>
    </row>
    <row r="201" spans="1:24" ht="15.6" x14ac:dyDescent="0.3">
      <c r="A201" s="344"/>
      <c r="B201" s="279" t="s">
        <v>74</v>
      </c>
      <c r="C201" s="395"/>
      <c r="D201" s="395"/>
      <c r="E201" s="395"/>
      <c r="F201" s="395"/>
      <c r="G201" s="386"/>
      <c r="H201" s="386"/>
      <c r="I201" s="386"/>
      <c r="J201" s="386"/>
      <c r="K201" s="386"/>
      <c r="L201" s="386"/>
      <c r="M201" s="386"/>
      <c r="N201" s="386"/>
      <c r="O201" s="386"/>
      <c r="P201" s="386"/>
      <c r="Q201" s="386"/>
      <c r="R201" s="386"/>
      <c r="S201" s="386"/>
      <c r="T201" s="313">
        <v>2.615E-2</v>
      </c>
      <c r="U201" s="279"/>
      <c r="V201" s="279"/>
      <c r="W201" s="310"/>
      <c r="X201" s="5"/>
    </row>
    <row r="202" spans="1:24" ht="15.6" x14ac:dyDescent="0.3">
      <c r="A202" s="344"/>
      <c r="B202" s="279" t="s">
        <v>225</v>
      </c>
      <c r="C202" s="395"/>
      <c r="D202" s="395"/>
      <c r="E202" s="395"/>
      <c r="F202" s="395"/>
      <c r="G202" s="386"/>
      <c r="H202" s="386"/>
      <c r="I202" s="386"/>
      <c r="J202" s="386"/>
      <c r="K202" s="386"/>
      <c r="L202" s="386"/>
      <c r="M202" s="386"/>
      <c r="N202" s="386"/>
      <c r="O202" s="386"/>
      <c r="P202" s="386"/>
      <c r="Q202" s="386"/>
      <c r="R202" s="386"/>
      <c r="S202" s="386"/>
      <c r="T202" s="313">
        <f>V43</f>
        <v>1.1360805284185056E-2</v>
      </c>
      <c r="U202" s="279"/>
      <c r="V202" s="279"/>
      <c r="W202" s="310"/>
      <c r="X202" s="5"/>
    </row>
    <row r="203" spans="1:24" ht="15.6" x14ac:dyDescent="0.3">
      <c r="A203" s="344"/>
      <c r="B203" s="279" t="s">
        <v>75</v>
      </c>
      <c r="C203" s="395"/>
      <c r="D203" s="395"/>
      <c r="E203" s="395"/>
      <c r="F203" s="395"/>
      <c r="G203" s="386"/>
      <c r="H203" s="386"/>
      <c r="I203" s="386"/>
      <c r="J203" s="386"/>
      <c r="K203" s="386"/>
      <c r="L203" s="386"/>
      <c r="M203" s="386"/>
      <c r="N203" s="386"/>
      <c r="O203" s="386"/>
      <c r="P203" s="386"/>
      <c r="Q203" s="386"/>
      <c r="R203" s="386"/>
      <c r="S203" s="386"/>
      <c r="T203" s="313">
        <f>T201-T202</f>
        <v>1.4789194715814944E-2</v>
      </c>
      <c r="U203" s="279"/>
      <c r="V203" s="279"/>
      <c r="W203" s="310"/>
      <c r="X203" s="5"/>
    </row>
    <row r="204" spans="1:24" ht="15.6" x14ac:dyDescent="0.3">
      <c r="A204" s="344"/>
      <c r="B204" s="279" t="s">
        <v>271</v>
      </c>
      <c r="C204" s="395"/>
      <c r="D204" s="395"/>
      <c r="E204" s="395"/>
      <c r="F204" s="395"/>
      <c r="G204" s="386"/>
      <c r="H204" s="386"/>
      <c r="I204" s="386"/>
      <c r="J204" s="386"/>
      <c r="K204" s="386"/>
      <c r="L204" s="386"/>
      <c r="M204" s="386"/>
      <c r="N204" s="386"/>
      <c r="O204" s="386"/>
      <c r="P204" s="386"/>
      <c r="Q204" s="386"/>
      <c r="R204" s="386"/>
      <c r="S204" s="386"/>
      <c r="T204" s="313">
        <f>+V100/N71</f>
        <v>7.1136793862707978E-3</v>
      </c>
      <c r="U204" s="279"/>
      <c r="V204" s="279"/>
      <c r="W204" s="310"/>
      <c r="X204" s="5"/>
    </row>
    <row r="205" spans="1:24" ht="15.6" x14ac:dyDescent="0.3">
      <c r="A205" s="344"/>
      <c r="B205" s="279" t="s">
        <v>214</v>
      </c>
      <c r="C205" s="395"/>
      <c r="D205" s="395"/>
      <c r="E205" s="395"/>
      <c r="F205" s="395"/>
      <c r="G205" s="386"/>
      <c r="H205" s="386"/>
      <c r="I205" s="386"/>
      <c r="J205" s="386"/>
      <c r="K205" s="386"/>
      <c r="L205" s="386"/>
      <c r="M205" s="386"/>
      <c r="N205" s="386"/>
      <c r="O205" s="386"/>
      <c r="P205" s="386"/>
      <c r="Q205" s="386"/>
      <c r="R205" s="386"/>
      <c r="S205" s="386"/>
      <c r="T205" s="346">
        <v>50710</v>
      </c>
      <c r="U205" s="279"/>
      <c r="V205" s="279"/>
      <c r="W205" s="310"/>
      <c r="X205" s="5"/>
    </row>
    <row r="206" spans="1:24" ht="15.6" x14ac:dyDescent="0.3">
      <c r="A206" s="344"/>
      <c r="B206" s="279" t="s">
        <v>215</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216</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76</v>
      </c>
      <c r="C208" s="395"/>
      <c r="D208" s="395"/>
      <c r="E208" s="395"/>
      <c r="F208" s="395"/>
      <c r="G208" s="386"/>
      <c r="H208" s="386"/>
      <c r="I208" s="386"/>
      <c r="J208" s="386"/>
      <c r="K208" s="386"/>
      <c r="L208" s="386"/>
      <c r="M208" s="386"/>
      <c r="N208" s="386"/>
      <c r="O208" s="386"/>
      <c r="P208" s="386"/>
      <c r="Q208" s="386"/>
      <c r="R208" s="386"/>
      <c r="S208" s="386"/>
      <c r="T208" s="319">
        <v>21.06</v>
      </c>
      <c r="U208" s="279" t="s">
        <v>115</v>
      </c>
      <c r="V208" s="279"/>
      <c r="W208" s="310"/>
      <c r="X208" s="5"/>
    </row>
    <row r="209" spans="1:24" ht="15.6" x14ac:dyDescent="0.3">
      <c r="A209" s="344"/>
      <c r="B209" s="279" t="s">
        <v>77</v>
      </c>
      <c r="C209" s="395"/>
      <c r="D209" s="395"/>
      <c r="E209" s="395"/>
      <c r="F209" s="395"/>
      <c r="G209" s="386"/>
      <c r="H209" s="386"/>
      <c r="I209" s="386"/>
      <c r="J209" s="386"/>
      <c r="K209" s="386"/>
      <c r="L209" s="386"/>
      <c r="M209" s="386"/>
      <c r="N209" s="386"/>
      <c r="O209" s="386"/>
      <c r="P209" s="386"/>
      <c r="Q209" s="386"/>
      <c r="R209" s="386"/>
      <c r="S209" s="386"/>
      <c r="T209" s="319">
        <v>15.89</v>
      </c>
      <c r="U209" s="279" t="s">
        <v>115</v>
      </c>
      <c r="V209" s="279"/>
      <c r="W209" s="310"/>
      <c r="X209" s="5"/>
    </row>
    <row r="210" spans="1:24" ht="15.6" x14ac:dyDescent="0.3">
      <c r="A210" s="344"/>
      <c r="B210" s="279" t="s">
        <v>78</v>
      </c>
      <c r="C210" s="395"/>
      <c r="D210" s="395"/>
      <c r="E210" s="395"/>
      <c r="F210" s="395"/>
      <c r="G210" s="386"/>
      <c r="H210" s="386"/>
      <c r="I210" s="386"/>
      <c r="J210" s="386"/>
      <c r="K210" s="386"/>
      <c r="L210" s="386"/>
      <c r="M210" s="386"/>
      <c r="N210" s="386"/>
      <c r="O210" s="386"/>
      <c r="P210" s="386"/>
      <c r="Q210" s="386"/>
      <c r="R210" s="386"/>
      <c r="S210" s="386"/>
      <c r="T210" s="313">
        <f>P68/N68</f>
        <v>5.5126033675401013E-3</v>
      </c>
      <c r="U210" s="279"/>
      <c r="V210" s="279"/>
      <c r="W210" s="310"/>
      <c r="X210" s="5"/>
    </row>
    <row r="211" spans="1:24" ht="15.6" x14ac:dyDescent="0.3">
      <c r="A211" s="344"/>
      <c r="B211" s="279" t="s">
        <v>79</v>
      </c>
      <c r="C211" s="395"/>
      <c r="D211" s="395"/>
      <c r="E211" s="395"/>
      <c r="F211" s="395"/>
      <c r="G211" s="386"/>
      <c r="H211" s="386"/>
      <c r="I211" s="386"/>
      <c r="J211" s="386"/>
      <c r="K211" s="386"/>
      <c r="L211" s="386"/>
      <c r="M211" s="386"/>
      <c r="N211" s="386"/>
      <c r="O211" s="386"/>
      <c r="P211" s="386"/>
      <c r="Q211" s="386"/>
      <c r="R211" s="386"/>
      <c r="S211" s="386"/>
      <c r="T211" s="313">
        <v>8.1500000000000003E-2</v>
      </c>
      <c r="U211" s="279"/>
      <c r="V211" s="279"/>
      <c r="W211" s="310"/>
      <c r="X211" s="5"/>
    </row>
    <row r="212" spans="1:24" ht="15.6" x14ac:dyDescent="0.3">
      <c r="A212" s="214"/>
      <c r="B212" s="342"/>
      <c r="C212" s="342"/>
      <c r="D212" s="342"/>
      <c r="E212" s="342"/>
      <c r="F212" s="342"/>
      <c r="G212" s="275"/>
      <c r="H212" s="275"/>
      <c r="I212" s="275"/>
      <c r="J212" s="275"/>
      <c r="K212" s="275"/>
      <c r="L212" s="275"/>
      <c r="M212" s="275"/>
      <c r="N212" s="275"/>
      <c r="O212" s="275"/>
      <c r="P212" s="275"/>
      <c r="Q212" s="275"/>
      <c r="R212" s="275"/>
      <c r="S212" s="275"/>
      <c r="T212" s="338"/>
      <c r="U212" s="275"/>
      <c r="V212" s="343"/>
      <c r="W212" s="275"/>
      <c r="X212" s="5"/>
    </row>
    <row r="213" spans="1:24" ht="15.6" x14ac:dyDescent="0.3">
      <c r="A213" s="241"/>
      <c r="B213" s="388" t="s">
        <v>80</v>
      </c>
      <c r="C213" s="389"/>
      <c r="D213" s="389"/>
      <c r="E213" s="389"/>
      <c r="F213" s="396"/>
      <c r="G213" s="389"/>
      <c r="H213" s="389"/>
      <c r="I213" s="389"/>
      <c r="J213" s="389"/>
      <c r="K213" s="389"/>
      <c r="L213" s="389"/>
      <c r="M213" s="389"/>
      <c r="N213" s="389"/>
      <c r="O213" s="389"/>
      <c r="P213" s="389"/>
      <c r="Q213" s="389"/>
      <c r="R213" s="389"/>
      <c r="S213" s="389" t="s">
        <v>104</v>
      </c>
      <c r="T213" s="396" t="s">
        <v>111</v>
      </c>
      <c r="U213" s="224"/>
      <c r="V213" s="224"/>
      <c r="W213" s="224"/>
      <c r="X213" s="5"/>
    </row>
    <row r="214" spans="1:24" ht="15.6" x14ac:dyDescent="0.3">
      <c r="A214" s="219"/>
      <c r="B214" s="248" t="s">
        <v>81</v>
      </c>
      <c r="C214" s="204"/>
      <c r="D214" s="204"/>
      <c r="E214" s="204"/>
      <c r="F214" s="190"/>
      <c r="G214" s="190"/>
      <c r="H214" s="191"/>
      <c r="I214" s="191"/>
      <c r="J214" s="191"/>
      <c r="K214" s="191"/>
      <c r="L214" s="191"/>
      <c r="M214" s="191"/>
      <c r="N214" s="191"/>
      <c r="O214" s="191"/>
      <c r="P214" s="191"/>
      <c r="Q214" s="191"/>
      <c r="R214" s="191"/>
      <c r="S214" s="262">
        <v>10</v>
      </c>
      <c r="T214" s="263">
        <v>2131</v>
      </c>
      <c r="U214" s="190"/>
      <c r="V214" s="218"/>
      <c r="W214" s="220"/>
      <c r="X214" s="5"/>
    </row>
    <row r="215" spans="1:24" ht="15.6" x14ac:dyDescent="0.3">
      <c r="A215" s="352"/>
      <c r="B215" s="279" t="s">
        <v>150</v>
      </c>
      <c r="C215" s="353"/>
      <c r="D215" s="353"/>
      <c r="E215" s="353"/>
      <c r="F215" s="305"/>
      <c r="G215" s="305"/>
      <c r="H215" s="308"/>
      <c r="I215" s="308"/>
      <c r="J215" s="308"/>
      <c r="K215" s="308"/>
      <c r="L215" s="308"/>
      <c r="M215" s="308"/>
      <c r="N215" s="308"/>
      <c r="O215" s="308"/>
      <c r="P215" s="308"/>
      <c r="Q215" s="308"/>
      <c r="R215" s="308"/>
      <c r="S215" s="354">
        <f>+R267</f>
        <v>138</v>
      </c>
      <c r="T215" s="355">
        <f>+T267</f>
        <v>23287</v>
      </c>
      <c r="U215" s="305"/>
      <c r="V215" s="356"/>
      <c r="W215" s="357"/>
      <c r="X215" s="5"/>
    </row>
    <row r="216" spans="1:24" ht="15.6" x14ac:dyDescent="0.3">
      <c r="A216" s="352"/>
      <c r="B216" s="279" t="s">
        <v>82</v>
      </c>
      <c r="C216" s="353"/>
      <c r="D216" s="353"/>
      <c r="E216" s="353"/>
      <c r="F216" s="305"/>
      <c r="G216" s="305"/>
      <c r="H216" s="308"/>
      <c r="I216" s="308"/>
      <c r="J216" s="308"/>
      <c r="K216" s="308"/>
      <c r="L216" s="308"/>
      <c r="M216" s="308"/>
      <c r="N216" s="308"/>
      <c r="O216" s="308"/>
      <c r="P216" s="308"/>
      <c r="Q216" s="308"/>
      <c r="R216" s="308"/>
      <c r="S216" s="354">
        <f>+R279</f>
        <v>0</v>
      </c>
      <c r="T216" s="355">
        <f>+T279</f>
        <v>0</v>
      </c>
      <c r="U216" s="305"/>
      <c r="V216" s="356"/>
      <c r="W216" s="357"/>
      <c r="X216" s="5"/>
    </row>
    <row r="217" spans="1:24" ht="15.6" x14ac:dyDescent="0.3">
      <c r="A217" s="352"/>
      <c r="B217" s="304" t="s">
        <v>83</v>
      </c>
      <c r="C217" s="353"/>
      <c r="D217" s="353"/>
      <c r="E217" s="353"/>
      <c r="F217" s="305"/>
      <c r="G217" s="305"/>
      <c r="H217" s="305"/>
      <c r="I217" s="305"/>
      <c r="J217" s="305"/>
      <c r="K217" s="305"/>
      <c r="L217" s="305"/>
      <c r="M217" s="305"/>
      <c r="N217" s="305"/>
      <c r="O217" s="305"/>
      <c r="P217" s="305"/>
      <c r="Q217" s="305"/>
      <c r="R217" s="305"/>
      <c r="S217" s="279"/>
      <c r="T217" s="355">
        <v>0</v>
      </c>
      <c r="U217" s="305"/>
      <c r="V217" s="356"/>
      <c r="W217" s="357"/>
      <c r="X217" s="5"/>
    </row>
    <row r="218" spans="1:24" ht="15.6" x14ac:dyDescent="0.3">
      <c r="A218" s="352"/>
      <c r="B218" s="304" t="s">
        <v>84</v>
      </c>
      <c r="C218" s="353"/>
      <c r="D218" s="353"/>
      <c r="E218" s="353"/>
      <c r="F218" s="305"/>
      <c r="G218" s="305"/>
      <c r="H218" s="305"/>
      <c r="I218" s="305"/>
      <c r="J218" s="305"/>
      <c r="K218" s="305"/>
      <c r="L218" s="305"/>
      <c r="M218" s="305"/>
      <c r="N218" s="305"/>
      <c r="O218" s="305"/>
      <c r="P218" s="305"/>
      <c r="Q218" s="305"/>
      <c r="R218" s="305"/>
      <c r="S218" s="279"/>
      <c r="T218" s="358" t="s">
        <v>112</v>
      </c>
      <c r="U218" s="305"/>
      <c r="V218" s="356"/>
      <c r="W218" s="357"/>
      <c r="X218" s="5"/>
    </row>
    <row r="219" spans="1:24" ht="15.6" x14ac:dyDescent="0.3">
      <c r="A219" s="359"/>
      <c r="B219" s="304" t="s">
        <v>85</v>
      </c>
      <c r="C219" s="360"/>
      <c r="D219" s="360"/>
      <c r="E219" s="360"/>
      <c r="F219" s="360"/>
      <c r="G219" s="305"/>
      <c r="H219" s="305"/>
      <c r="I219" s="305"/>
      <c r="J219" s="305"/>
      <c r="K219" s="305"/>
      <c r="L219" s="305"/>
      <c r="M219" s="305"/>
      <c r="N219" s="305"/>
      <c r="O219" s="305"/>
      <c r="P219" s="305"/>
      <c r="Q219" s="305"/>
      <c r="R219" s="305"/>
      <c r="S219" s="279"/>
      <c r="T219" s="355"/>
      <c r="U219" s="305"/>
      <c r="V219" s="356"/>
      <c r="W219" s="361"/>
      <c r="X219" s="5"/>
    </row>
    <row r="220" spans="1:24" ht="15.6" x14ac:dyDescent="0.3">
      <c r="A220" s="359"/>
      <c r="B220" s="279" t="s">
        <v>86</v>
      </c>
      <c r="C220" s="360"/>
      <c r="D220" s="360"/>
      <c r="E220" s="360"/>
      <c r="F220" s="360"/>
      <c r="G220" s="305"/>
      <c r="H220" s="305"/>
      <c r="I220" s="305"/>
      <c r="J220" s="305"/>
      <c r="K220" s="305"/>
      <c r="L220" s="305"/>
      <c r="M220" s="305"/>
      <c r="N220" s="305"/>
      <c r="O220" s="305"/>
      <c r="P220" s="305"/>
      <c r="Q220" s="305"/>
      <c r="R220" s="305"/>
      <c r="S220" s="287"/>
      <c r="T220" s="355">
        <f>+V164</f>
        <v>114</v>
      </c>
      <c r="U220" s="305"/>
      <c r="V220" s="356"/>
      <c r="W220" s="361"/>
      <c r="X220" s="5"/>
    </row>
    <row r="221" spans="1:24" ht="15.6" x14ac:dyDescent="0.3">
      <c r="A221" s="352"/>
      <c r="B221" s="279" t="s">
        <v>87</v>
      </c>
      <c r="C221" s="353"/>
      <c r="D221" s="353"/>
      <c r="E221" s="353"/>
      <c r="F221" s="353"/>
      <c r="G221" s="305"/>
      <c r="H221" s="305"/>
      <c r="I221" s="305"/>
      <c r="J221" s="305"/>
      <c r="K221" s="305"/>
      <c r="L221" s="305"/>
      <c r="M221" s="305"/>
      <c r="N221" s="305"/>
      <c r="O221" s="305"/>
      <c r="P221" s="305"/>
      <c r="Q221" s="305"/>
      <c r="R221" s="305"/>
      <c r="S221" s="287"/>
      <c r="T221" s="355">
        <f>'July 11'!T221+'Oct 11'!T220</f>
        <v>3174</v>
      </c>
      <c r="U221" s="305"/>
      <c r="V221" s="356"/>
      <c r="W221" s="361"/>
      <c r="X221" s="5"/>
    </row>
    <row r="222" spans="1:24" ht="15.6" x14ac:dyDescent="0.3">
      <c r="A222" s="359"/>
      <c r="B222" s="304" t="s">
        <v>292</v>
      </c>
      <c r="C222" s="360"/>
      <c r="D222" s="360"/>
      <c r="E222" s="360"/>
      <c r="F222" s="360"/>
      <c r="G222" s="305"/>
      <c r="H222" s="305"/>
      <c r="I222" s="305"/>
      <c r="J222" s="305"/>
      <c r="K222" s="305"/>
      <c r="L222" s="305"/>
      <c r="M222" s="305"/>
      <c r="N222" s="305"/>
      <c r="O222" s="305"/>
      <c r="P222" s="305"/>
      <c r="Q222" s="305"/>
      <c r="R222" s="305"/>
      <c r="S222" s="287"/>
      <c r="T222" s="355"/>
      <c r="U222" s="305"/>
      <c r="V222" s="356"/>
      <c r="W222" s="361"/>
      <c r="X222" s="5"/>
    </row>
    <row r="223" spans="1:24" ht="15.6" x14ac:dyDescent="0.3">
      <c r="A223" s="359"/>
      <c r="B223" s="279" t="s">
        <v>290</v>
      </c>
      <c r="C223" s="360"/>
      <c r="D223" s="360"/>
      <c r="E223" s="360"/>
      <c r="F223" s="360"/>
      <c r="G223" s="305"/>
      <c r="H223" s="305"/>
      <c r="I223" s="305"/>
      <c r="J223" s="305"/>
      <c r="K223" s="305"/>
      <c r="L223" s="305"/>
      <c r="M223" s="305"/>
      <c r="N223" s="305"/>
      <c r="O223" s="305"/>
      <c r="P223" s="305"/>
      <c r="Q223" s="305"/>
      <c r="R223" s="305"/>
      <c r="S223" s="287">
        <v>0</v>
      </c>
      <c r="T223" s="355">
        <v>0</v>
      </c>
      <c r="U223" s="305"/>
      <c r="V223" s="356"/>
      <c r="W223" s="361"/>
      <c r="X223" s="5"/>
    </row>
    <row r="224" spans="1:24" ht="15.6" x14ac:dyDescent="0.3">
      <c r="A224" s="352"/>
      <c r="B224" s="279" t="s">
        <v>88</v>
      </c>
      <c r="C224" s="362"/>
      <c r="D224" s="362"/>
      <c r="E224" s="362"/>
      <c r="F224" s="363"/>
      <c r="G224" s="305"/>
      <c r="H224" s="305"/>
      <c r="I224" s="305"/>
      <c r="J224" s="305"/>
      <c r="K224" s="305"/>
      <c r="L224" s="305"/>
      <c r="M224" s="305"/>
      <c r="N224" s="305"/>
      <c r="O224" s="305"/>
      <c r="P224" s="305"/>
      <c r="Q224" s="305"/>
      <c r="R224" s="305"/>
      <c r="S224" s="279"/>
      <c r="T224" s="358">
        <v>0</v>
      </c>
      <c r="U224" s="305"/>
      <c r="V224" s="356"/>
      <c r="W224" s="361"/>
      <c r="X224" s="5"/>
    </row>
    <row r="225" spans="1:25" ht="15.6" x14ac:dyDescent="0.3">
      <c r="A225" s="352"/>
      <c r="B225" s="279" t="s">
        <v>89</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304" t="s">
        <v>223</v>
      </c>
      <c r="C226" s="362"/>
      <c r="D226" s="362"/>
      <c r="E226" s="362"/>
      <c r="F226" s="363"/>
      <c r="G226" s="305"/>
      <c r="H226" s="305"/>
      <c r="I226" s="305"/>
      <c r="J226" s="305"/>
      <c r="K226" s="305"/>
      <c r="L226" s="305"/>
      <c r="M226" s="305"/>
      <c r="N226" s="305"/>
      <c r="O226" s="305"/>
      <c r="P226" s="305"/>
      <c r="Q226" s="305"/>
      <c r="R226" s="305"/>
      <c r="S226" s="279"/>
      <c r="T226" s="364"/>
      <c r="U226" s="305"/>
      <c r="V226" s="356"/>
      <c r="W226" s="361"/>
      <c r="X226" s="5"/>
    </row>
    <row r="227" spans="1:25" ht="15.6" x14ac:dyDescent="0.3">
      <c r="A227" s="352"/>
      <c r="B227" s="279" t="s">
        <v>290</v>
      </c>
      <c r="C227" s="362"/>
      <c r="D227" s="362"/>
      <c r="E227" s="362"/>
      <c r="F227" s="363"/>
      <c r="G227" s="305"/>
      <c r="H227" s="305"/>
      <c r="I227" s="305"/>
      <c r="J227" s="305"/>
      <c r="K227" s="305"/>
      <c r="L227" s="305"/>
      <c r="M227" s="305"/>
      <c r="N227" s="305"/>
      <c r="O227" s="305"/>
      <c r="P227" s="305"/>
      <c r="Q227" s="305"/>
      <c r="R227" s="305"/>
      <c r="S227" s="287">
        <v>2</v>
      </c>
      <c r="T227" s="355">
        <v>436</v>
      </c>
      <c r="U227" s="305"/>
      <c r="V227" s="356"/>
      <c r="W227" s="361"/>
      <c r="X227" s="5"/>
    </row>
    <row r="228" spans="1:25" ht="15.6" x14ac:dyDescent="0.3">
      <c r="A228" s="352"/>
      <c r="B228" s="279" t="s">
        <v>224</v>
      </c>
      <c r="C228" s="362"/>
      <c r="D228" s="362"/>
      <c r="E228" s="362"/>
      <c r="F228" s="363"/>
      <c r="G228" s="305"/>
      <c r="H228" s="305"/>
      <c r="I228" s="305"/>
      <c r="J228" s="305"/>
      <c r="K228" s="305"/>
      <c r="L228" s="305"/>
      <c r="M228" s="305"/>
      <c r="N228" s="305"/>
      <c r="O228" s="305"/>
      <c r="P228" s="305"/>
      <c r="Q228" s="305"/>
      <c r="R228" s="305"/>
      <c r="S228" s="279"/>
      <c r="T228" s="358">
        <v>9.5299999999999994</v>
      </c>
      <c r="U228" s="305"/>
      <c r="V228" s="356"/>
      <c r="W228" s="361"/>
      <c r="X228" s="5"/>
    </row>
    <row r="229" spans="1:25" ht="15.6" x14ac:dyDescent="0.3">
      <c r="A229" s="352"/>
      <c r="B229" s="360"/>
      <c r="C229" s="362"/>
      <c r="D229" s="362"/>
      <c r="E229" s="362"/>
      <c r="F229" s="363"/>
      <c r="G229" s="305"/>
      <c r="H229" s="305"/>
      <c r="I229" s="305"/>
      <c r="J229" s="305"/>
      <c r="K229" s="305"/>
      <c r="L229" s="305"/>
      <c r="M229" s="305"/>
      <c r="N229" s="305"/>
      <c r="O229" s="305"/>
      <c r="P229" s="305"/>
      <c r="Q229" s="305"/>
      <c r="R229" s="305"/>
      <c r="S229" s="279"/>
      <c r="T229" s="364"/>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305"/>
      <c r="T230" s="365"/>
      <c r="U230" s="305"/>
      <c r="V230" s="356"/>
      <c r="W230" s="361"/>
      <c r="X230" s="5"/>
    </row>
    <row r="231" spans="1:25" ht="17.399999999999999" x14ac:dyDescent="0.3">
      <c r="A231" s="352"/>
      <c r="B231" s="366" t="s">
        <v>174</v>
      </c>
      <c r="C231" s="362"/>
      <c r="D231" s="362"/>
      <c r="E231" s="362"/>
      <c r="F231" s="363"/>
      <c r="G231" s="305"/>
      <c r="H231" s="305"/>
      <c r="I231" s="305"/>
      <c r="J231" s="305"/>
      <c r="K231" s="305"/>
      <c r="L231" s="305"/>
      <c r="M231" s="305"/>
      <c r="N231" s="305"/>
      <c r="O231" s="305"/>
      <c r="P231" s="367" t="s">
        <v>173</v>
      </c>
      <c r="Q231" s="305"/>
      <c r="R231" s="305"/>
      <c r="S231" s="305"/>
      <c r="T231" s="365"/>
      <c r="U231" s="305"/>
      <c r="V231" s="356"/>
      <c r="W231" s="361"/>
      <c r="X231" s="5"/>
    </row>
    <row r="232" spans="1:25" ht="15.6" x14ac:dyDescent="0.3">
      <c r="A232" s="347"/>
      <c r="B232" s="342"/>
      <c r="C232" s="348"/>
      <c r="D232" s="348"/>
      <c r="E232" s="348"/>
      <c r="F232" s="349"/>
      <c r="G232" s="275"/>
      <c r="H232" s="275"/>
      <c r="I232" s="275"/>
      <c r="J232" s="275"/>
      <c r="K232" s="275"/>
      <c r="L232" s="275"/>
      <c r="M232" s="275"/>
      <c r="N232" s="275"/>
      <c r="O232" s="275"/>
      <c r="P232" s="275"/>
      <c r="Q232" s="275"/>
      <c r="R232" s="275"/>
      <c r="S232" s="275"/>
      <c r="T232" s="350"/>
      <c r="U232" s="275"/>
      <c r="V232" s="343"/>
      <c r="W232" s="351"/>
      <c r="X232" s="5"/>
    </row>
    <row r="233" spans="1:25" ht="15.6" x14ac:dyDescent="0.3">
      <c r="A233" s="223"/>
      <c r="B233" s="388" t="s">
        <v>304</v>
      </c>
      <c r="C233" s="389"/>
      <c r="D233" s="389"/>
      <c r="E233" s="389"/>
      <c r="F233" s="396"/>
      <c r="G233" s="389"/>
      <c r="H233" s="389"/>
      <c r="I233" s="389"/>
      <c r="J233" s="389"/>
      <c r="K233" s="389"/>
      <c r="L233" s="389"/>
      <c r="M233" s="389"/>
      <c r="N233" s="389"/>
      <c r="O233" s="389"/>
      <c r="P233" s="389"/>
      <c r="Q233" s="389"/>
      <c r="R233" s="396" t="s">
        <v>104</v>
      </c>
      <c r="S233" s="389" t="s">
        <v>105</v>
      </c>
      <c r="T233" s="396" t="s">
        <v>113</v>
      </c>
      <c r="U233" s="389" t="s">
        <v>105</v>
      </c>
      <c r="V233" s="224"/>
      <c r="W233" s="388"/>
      <c r="X233" s="5"/>
    </row>
    <row r="234" spans="1:25" ht="15.6" x14ac:dyDescent="0.3">
      <c r="A234" s="189"/>
      <c r="B234" s="247" t="s">
        <v>90</v>
      </c>
      <c r="C234" s="261"/>
      <c r="D234" s="261"/>
      <c r="E234" s="261"/>
      <c r="F234" s="248"/>
      <c r="G234" s="261"/>
      <c r="H234" s="261"/>
      <c r="I234" s="261"/>
      <c r="J234" s="261"/>
      <c r="K234" s="261"/>
      <c r="L234" s="261"/>
      <c r="M234" s="261"/>
      <c r="N234" s="261"/>
      <c r="O234" s="261"/>
      <c r="P234" s="261"/>
      <c r="Q234" s="261"/>
      <c r="R234" s="329">
        <f t="shared" ref="R234:R241" si="1">+R246+R258+R270</f>
        <v>7372</v>
      </c>
      <c r="S234" s="372">
        <f t="shared" ref="S234:S241" si="2">R234/$R$243</f>
        <v>0.9900617781359119</v>
      </c>
      <c r="T234" s="330">
        <f t="shared" ref="T234:T241" si="3">+T246+T258+T270</f>
        <v>986315</v>
      </c>
      <c r="U234" s="372">
        <f t="shared" ref="U234:U241" si="4">T234/$T$243</f>
        <v>0.98805694439296476</v>
      </c>
      <c r="V234" s="218"/>
      <c r="W234" s="221"/>
      <c r="X234" s="5"/>
    </row>
    <row r="235" spans="1:25" ht="15.6" x14ac:dyDescent="0.3">
      <c r="A235" s="278"/>
      <c r="B235" s="329" t="s">
        <v>91</v>
      </c>
      <c r="C235" s="371"/>
      <c r="D235" s="371"/>
      <c r="E235" s="371"/>
      <c r="F235" s="279"/>
      <c r="G235" s="372"/>
      <c r="H235" s="371"/>
      <c r="I235" s="371"/>
      <c r="J235" s="371"/>
      <c r="K235" s="371"/>
      <c r="L235" s="371"/>
      <c r="M235" s="371"/>
      <c r="N235" s="371"/>
      <c r="O235" s="371"/>
      <c r="P235" s="371"/>
      <c r="Q235" s="371"/>
      <c r="R235" s="329">
        <f t="shared" si="1"/>
        <v>34</v>
      </c>
      <c r="S235" s="372">
        <f t="shared" si="2"/>
        <v>4.5662100456621002E-3</v>
      </c>
      <c r="T235" s="330">
        <f t="shared" si="3"/>
        <v>5840</v>
      </c>
      <c r="U235" s="372">
        <f t="shared" si="4"/>
        <v>5.8503141037649373E-3</v>
      </c>
      <c r="V235" s="356"/>
      <c r="W235" s="361"/>
      <c r="X235" s="5"/>
      <c r="Y235" s="109"/>
    </row>
    <row r="236" spans="1:25" ht="15.6" x14ac:dyDescent="0.3">
      <c r="A236" s="278"/>
      <c r="B236" s="329" t="s">
        <v>92</v>
      </c>
      <c r="C236" s="371"/>
      <c r="D236" s="371"/>
      <c r="E236" s="371"/>
      <c r="F236" s="279"/>
      <c r="G236" s="372"/>
      <c r="H236" s="371"/>
      <c r="I236" s="371"/>
      <c r="J236" s="371"/>
      <c r="K236" s="371"/>
      <c r="L236" s="371"/>
      <c r="M236" s="371"/>
      <c r="N236" s="371"/>
      <c r="O236" s="371"/>
      <c r="P236" s="371"/>
      <c r="Q236" s="371"/>
      <c r="R236" s="329">
        <f t="shared" si="1"/>
        <v>9</v>
      </c>
      <c r="S236" s="372">
        <f t="shared" si="2"/>
        <v>1.2087026591458502E-3</v>
      </c>
      <c r="T236" s="330">
        <f t="shared" si="3"/>
        <v>902</v>
      </c>
      <c r="U236" s="372">
        <f t="shared" si="4"/>
        <v>9.035930345198585E-4</v>
      </c>
      <c r="V236" s="356"/>
      <c r="W236" s="361"/>
      <c r="X236" s="5"/>
    </row>
    <row r="237" spans="1:25" ht="15.6" x14ac:dyDescent="0.3">
      <c r="A237" s="278"/>
      <c r="B237" s="329" t="s">
        <v>161</v>
      </c>
      <c r="C237" s="371"/>
      <c r="D237" s="371"/>
      <c r="E237" s="371"/>
      <c r="F237" s="279"/>
      <c r="G237" s="372"/>
      <c r="H237" s="371"/>
      <c r="I237" s="371"/>
      <c r="J237" s="371"/>
      <c r="K237" s="371"/>
      <c r="L237" s="371"/>
      <c r="M237" s="371"/>
      <c r="N237" s="371"/>
      <c r="O237" s="371"/>
      <c r="P237" s="371"/>
      <c r="Q237" s="371"/>
      <c r="R237" s="329">
        <f t="shared" si="1"/>
        <v>9</v>
      </c>
      <c r="S237" s="372">
        <f t="shared" si="2"/>
        <v>1.2087026591458502E-3</v>
      </c>
      <c r="T237" s="330">
        <f t="shared" si="3"/>
        <v>1399</v>
      </c>
      <c r="U237" s="372">
        <f t="shared" si="4"/>
        <v>1.4014707930080732E-3</v>
      </c>
      <c r="V237" s="356"/>
      <c r="W237" s="361"/>
      <c r="X237" s="5"/>
      <c r="Y237" s="109"/>
    </row>
    <row r="238" spans="1:25" ht="15.6" x14ac:dyDescent="0.3">
      <c r="A238" s="278"/>
      <c r="B238" s="329" t="s">
        <v>162</v>
      </c>
      <c r="C238" s="371"/>
      <c r="D238" s="371"/>
      <c r="E238" s="371"/>
      <c r="F238" s="279"/>
      <c r="G238" s="372"/>
      <c r="H238" s="371"/>
      <c r="I238" s="371"/>
      <c r="J238" s="371"/>
      <c r="K238" s="371"/>
      <c r="L238" s="371"/>
      <c r="M238" s="371"/>
      <c r="N238" s="371"/>
      <c r="O238" s="371"/>
      <c r="P238" s="371"/>
      <c r="Q238" s="371"/>
      <c r="R238" s="329">
        <f t="shared" si="1"/>
        <v>1</v>
      </c>
      <c r="S238" s="372">
        <f t="shared" si="2"/>
        <v>1.3430029546065002E-4</v>
      </c>
      <c r="T238" s="330">
        <f t="shared" si="3"/>
        <v>98</v>
      </c>
      <c r="U238" s="372">
        <f t="shared" si="4"/>
        <v>9.8173079138521213E-5</v>
      </c>
      <c r="V238" s="356"/>
      <c r="W238" s="361"/>
      <c r="X238" s="5"/>
    </row>
    <row r="239" spans="1:25" ht="15.6" x14ac:dyDescent="0.3">
      <c r="A239" s="278"/>
      <c r="B239" s="329" t="s">
        <v>163</v>
      </c>
      <c r="C239" s="371"/>
      <c r="D239" s="371"/>
      <c r="E239" s="371"/>
      <c r="F239" s="279"/>
      <c r="G239" s="372"/>
      <c r="H239" s="371"/>
      <c r="I239" s="371"/>
      <c r="J239" s="371"/>
      <c r="K239" s="371"/>
      <c r="L239" s="371"/>
      <c r="M239" s="371"/>
      <c r="N239" s="371"/>
      <c r="O239" s="371"/>
      <c r="P239" s="371"/>
      <c r="Q239" s="371"/>
      <c r="R239" s="329">
        <f t="shared" si="1"/>
        <v>4</v>
      </c>
      <c r="S239" s="372">
        <f t="shared" si="2"/>
        <v>5.3720118184260007E-4</v>
      </c>
      <c r="T239" s="330">
        <f t="shared" si="3"/>
        <v>467</v>
      </c>
      <c r="U239" s="372">
        <f t="shared" si="4"/>
        <v>4.6782477507846331E-4</v>
      </c>
      <c r="V239" s="356"/>
      <c r="W239" s="361"/>
      <c r="X239" s="5"/>
      <c r="Y239" s="109"/>
    </row>
    <row r="240" spans="1:25" ht="15.6" x14ac:dyDescent="0.3">
      <c r="A240" s="278"/>
      <c r="B240" s="329" t="s">
        <v>164</v>
      </c>
      <c r="C240" s="371"/>
      <c r="D240" s="371"/>
      <c r="E240" s="371"/>
      <c r="F240" s="279"/>
      <c r="G240" s="372"/>
      <c r="H240" s="371"/>
      <c r="I240" s="371"/>
      <c r="J240" s="371"/>
      <c r="K240" s="371"/>
      <c r="L240" s="371"/>
      <c r="M240" s="371"/>
      <c r="N240" s="371"/>
      <c r="O240" s="371"/>
      <c r="P240" s="371"/>
      <c r="Q240" s="371"/>
      <c r="R240" s="329">
        <f t="shared" si="1"/>
        <v>5</v>
      </c>
      <c r="S240" s="372">
        <f t="shared" si="2"/>
        <v>6.7150147730325011E-4</v>
      </c>
      <c r="T240" s="330">
        <f t="shared" si="3"/>
        <v>920</v>
      </c>
      <c r="U240" s="372">
        <f t="shared" si="4"/>
        <v>9.2162482456570934E-4</v>
      </c>
      <c r="V240" s="356"/>
      <c r="W240" s="361"/>
      <c r="X240" s="5"/>
    </row>
    <row r="241" spans="1:25" ht="15.6" x14ac:dyDescent="0.3">
      <c r="A241" s="278"/>
      <c r="B241" s="329" t="s">
        <v>165</v>
      </c>
      <c r="C241" s="371"/>
      <c r="D241" s="371"/>
      <c r="E241" s="371"/>
      <c r="F241" s="279"/>
      <c r="G241" s="372"/>
      <c r="H241" s="371"/>
      <c r="I241" s="371"/>
      <c r="J241" s="371"/>
      <c r="K241" s="371"/>
      <c r="L241" s="371"/>
      <c r="M241" s="371"/>
      <c r="N241" s="371"/>
      <c r="O241" s="371"/>
      <c r="P241" s="371"/>
      <c r="Q241" s="371"/>
      <c r="R241" s="329">
        <f t="shared" si="1"/>
        <v>12</v>
      </c>
      <c r="S241" s="372">
        <f t="shared" si="2"/>
        <v>1.6116035455278001E-3</v>
      </c>
      <c r="T241" s="330">
        <f t="shared" si="3"/>
        <v>2296</v>
      </c>
      <c r="U241" s="372">
        <f t="shared" si="4"/>
        <v>2.30005499695964E-3</v>
      </c>
      <c r="V241" s="356"/>
      <c r="W241" s="361"/>
      <c r="X241" s="5"/>
      <c r="Y241" s="109"/>
    </row>
    <row r="242" spans="1:25" ht="15.6" x14ac:dyDescent="0.3">
      <c r="A242" s="278"/>
      <c r="B242" s="329"/>
      <c r="C242" s="371"/>
      <c r="D242" s="371"/>
      <c r="E242" s="371"/>
      <c r="F242" s="279"/>
      <c r="G242" s="372"/>
      <c r="H242" s="371"/>
      <c r="I242" s="371"/>
      <c r="J242" s="371"/>
      <c r="K242" s="371"/>
      <c r="L242" s="371"/>
      <c r="M242" s="371"/>
      <c r="N242" s="371"/>
      <c r="O242" s="371"/>
      <c r="P242" s="371"/>
      <c r="Q242" s="371"/>
      <c r="R242" s="329"/>
      <c r="S242" s="372"/>
      <c r="T242" s="330"/>
      <c r="U242" s="372"/>
      <c r="V242" s="356"/>
      <c r="W242" s="361"/>
      <c r="X242" s="5"/>
    </row>
    <row r="243" spans="1:25" ht="15.6" x14ac:dyDescent="0.3">
      <c r="A243" s="278"/>
      <c r="B243" s="279" t="s">
        <v>119</v>
      </c>
      <c r="C243" s="279"/>
      <c r="D243" s="279"/>
      <c r="E243" s="279"/>
      <c r="F243" s="279"/>
      <c r="G243" s="279"/>
      <c r="H243" s="373"/>
      <c r="I243" s="373"/>
      <c r="J243" s="373"/>
      <c r="K243" s="373"/>
      <c r="L243" s="373"/>
      <c r="M243" s="373"/>
      <c r="N243" s="373"/>
      <c r="O243" s="373"/>
      <c r="P243" s="373"/>
      <c r="Q243" s="373"/>
      <c r="R243" s="329">
        <f>SUM(R234:R242)</f>
        <v>7446</v>
      </c>
      <c r="S243" s="372">
        <f>SUM(S234:S242)</f>
        <v>1</v>
      </c>
      <c r="T243" s="330">
        <f>SUM(T234:T242)</f>
        <v>998237</v>
      </c>
      <c r="U243" s="372">
        <f>SUM(U234:U242)</f>
        <v>0.99999999999999989</v>
      </c>
      <c r="V243" s="305"/>
      <c r="W243" s="310"/>
      <c r="X243" s="5"/>
    </row>
    <row r="244" spans="1:25" ht="15.6" x14ac:dyDescent="0.3">
      <c r="A244" s="347"/>
      <c r="B244" s="342"/>
      <c r="C244" s="348"/>
      <c r="D244" s="348"/>
      <c r="E244" s="348"/>
      <c r="F244" s="349"/>
      <c r="G244" s="275"/>
      <c r="H244" s="275"/>
      <c r="I244" s="275"/>
      <c r="J244" s="275"/>
      <c r="K244" s="275"/>
      <c r="L244" s="275"/>
      <c r="M244" s="275"/>
      <c r="N244" s="275"/>
      <c r="O244" s="275"/>
      <c r="P244" s="275"/>
      <c r="Q244" s="275"/>
      <c r="R244" s="275"/>
      <c r="S244" s="275"/>
      <c r="T244" s="350"/>
      <c r="U244" s="275"/>
      <c r="V244" s="343"/>
      <c r="W244" s="351"/>
      <c r="X244" s="5"/>
    </row>
    <row r="245" spans="1:25" ht="15.6" x14ac:dyDescent="0.3">
      <c r="A245" s="223"/>
      <c r="B245" s="388" t="s">
        <v>167</v>
      </c>
      <c r="C245" s="389"/>
      <c r="D245" s="389"/>
      <c r="E245" s="389"/>
      <c r="F245" s="396"/>
      <c r="G245" s="389"/>
      <c r="H245" s="389"/>
      <c r="I245" s="389"/>
      <c r="J245" s="389"/>
      <c r="K245" s="389"/>
      <c r="L245" s="389"/>
      <c r="M245" s="389"/>
      <c r="N245" s="389"/>
      <c r="O245" s="389"/>
      <c r="P245" s="389"/>
      <c r="Q245" s="389"/>
      <c r="R245" s="396" t="s">
        <v>104</v>
      </c>
      <c r="S245" s="389" t="s">
        <v>105</v>
      </c>
      <c r="T245" s="396" t="s">
        <v>113</v>
      </c>
      <c r="U245" s="389" t="s">
        <v>105</v>
      </c>
      <c r="V245" s="224"/>
      <c r="W245" s="388"/>
      <c r="X245" s="5"/>
    </row>
    <row r="246" spans="1:25" ht="15.6" x14ac:dyDescent="0.3">
      <c r="A246" s="189"/>
      <c r="B246" s="247" t="s">
        <v>90</v>
      </c>
      <c r="C246" s="261"/>
      <c r="D246" s="261"/>
      <c r="E246" s="261"/>
      <c r="F246" s="248"/>
      <c r="G246" s="261"/>
      <c r="H246" s="261"/>
      <c r="I246" s="261"/>
      <c r="J246" s="261"/>
      <c r="K246" s="261"/>
      <c r="L246" s="261"/>
      <c r="M246" s="261"/>
      <c r="N246" s="261"/>
      <c r="O246" s="261"/>
      <c r="P246" s="261"/>
      <c r="Q246" s="261"/>
      <c r="R246" s="247">
        <v>7266</v>
      </c>
      <c r="S246" s="250">
        <f t="shared" ref="S246:S253" si="5">R246/$R$255</f>
        <v>0.99425287356321834</v>
      </c>
      <c r="T246" s="251">
        <v>968228</v>
      </c>
      <c r="U246" s="250">
        <f t="shared" ref="U246:U253" si="6">T246/$T$255</f>
        <v>0.99310528745063853</v>
      </c>
      <c r="V246" s="218"/>
      <c r="W246" s="221"/>
      <c r="X246" s="5"/>
    </row>
    <row r="247" spans="1:25" ht="15.6" x14ac:dyDescent="0.3">
      <c r="A247" s="278"/>
      <c r="B247" s="329" t="s">
        <v>91</v>
      </c>
      <c r="C247" s="371"/>
      <c r="D247" s="371"/>
      <c r="E247" s="371"/>
      <c r="F247" s="279"/>
      <c r="G247" s="372"/>
      <c r="H247" s="371"/>
      <c r="I247" s="371"/>
      <c r="J247" s="371"/>
      <c r="K247" s="371"/>
      <c r="L247" s="371"/>
      <c r="M247" s="371"/>
      <c r="N247" s="371"/>
      <c r="O247" s="371"/>
      <c r="P247" s="371"/>
      <c r="Q247" s="371"/>
      <c r="R247" s="329">
        <v>31</v>
      </c>
      <c r="S247" s="372">
        <f t="shared" si="5"/>
        <v>4.2419266557197589E-3</v>
      </c>
      <c r="T247" s="330">
        <v>5477</v>
      </c>
      <c r="U247" s="372">
        <f t="shared" si="6"/>
        <v>5.6177239858454277E-3</v>
      </c>
      <c r="V247" s="356"/>
      <c r="W247" s="361"/>
      <c r="X247" s="5"/>
      <c r="Y247" s="109"/>
    </row>
    <row r="248" spans="1:25" ht="15.6" x14ac:dyDescent="0.3">
      <c r="A248" s="278"/>
      <c r="B248" s="329" t="s">
        <v>92</v>
      </c>
      <c r="C248" s="371"/>
      <c r="D248" s="371"/>
      <c r="E248" s="371"/>
      <c r="F248" s="279"/>
      <c r="G248" s="372"/>
      <c r="H248" s="371"/>
      <c r="I248" s="371"/>
      <c r="J248" s="371"/>
      <c r="K248" s="371"/>
      <c r="L248" s="371"/>
      <c r="M248" s="371"/>
      <c r="N248" s="371"/>
      <c r="O248" s="371"/>
      <c r="P248" s="371"/>
      <c r="Q248" s="371"/>
      <c r="R248" s="329">
        <v>5</v>
      </c>
      <c r="S248" s="372">
        <f t="shared" si="5"/>
        <v>6.8418171866447728E-4</v>
      </c>
      <c r="T248" s="330">
        <v>394</v>
      </c>
      <c r="U248" s="372">
        <f t="shared" si="6"/>
        <v>4.0412328837376274E-4</v>
      </c>
      <c r="V248" s="356"/>
      <c r="W248" s="361"/>
      <c r="X248" s="5"/>
    </row>
    <row r="249" spans="1:25" ht="15.6" x14ac:dyDescent="0.3">
      <c r="A249" s="278"/>
      <c r="B249" s="329" t="s">
        <v>161</v>
      </c>
      <c r="C249" s="371"/>
      <c r="D249" s="371"/>
      <c r="E249" s="371"/>
      <c r="F249" s="279"/>
      <c r="G249" s="372"/>
      <c r="H249" s="371"/>
      <c r="I249" s="371"/>
      <c r="J249" s="371"/>
      <c r="K249" s="371"/>
      <c r="L249" s="371"/>
      <c r="M249" s="371"/>
      <c r="N249" s="371"/>
      <c r="O249" s="371"/>
      <c r="P249" s="371"/>
      <c r="Q249" s="371"/>
      <c r="R249" s="329">
        <v>1</v>
      </c>
      <c r="S249" s="372">
        <f t="shared" si="5"/>
        <v>1.3683634373289546E-4</v>
      </c>
      <c r="T249" s="330">
        <v>48</v>
      </c>
      <c r="U249" s="372">
        <f t="shared" si="6"/>
        <v>4.9233294015077693E-5</v>
      </c>
      <c r="V249" s="356"/>
      <c r="W249" s="361"/>
      <c r="X249" s="5"/>
      <c r="Y249" s="109"/>
    </row>
    <row r="250" spans="1:25" ht="15.6" x14ac:dyDescent="0.3">
      <c r="A250" s="278"/>
      <c r="B250" s="329" t="s">
        <v>162</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row>
    <row r="251" spans="1:25" ht="15.6" x14ac:dyDescent="0.3">
      <c r="A251" s="278"/>
      <c r="B251" s="329" t="s">
        <v>163</v>
      </c>
      <c r="C251" s="371"/>
      <c r="D251" s="371"/>
      <c r="E251" s="371"/>
      <c r="F251" s="279"/>
      <c r="G251" s="372"/>
      <c r="H251" s="371"/>
      <c r="I251" s="371"/>
      <c r="J251" s="371"/>
      <c r="K251" s="371"/>
      <c r="L251" s="371"/>
      <c r="M251" s="371"/>
      <c r="N251" s="371"/>
      <c r="O251" s="371"/>
      <c r="P251" s="371"/>
      <c r="Q251" s="371"/>
      <c r="R251" s="329">
        <v>1</v>
      </c>
      <c r="S251" s="372">
        <f t="shared" si="5"/>
        <v>1.3683634373289546E-4</v>
      </c>
      <c r="T251" s="330">
        <v>127</v>
      </c>
      <c r="U251" s="372">
        <f t="shared" si="6"/>
        <v>1.3026309041489308E-4</v>
      </c>
      <c r="V251" s="356"/>
      <c r="W251" s="361"/>
      <c r="X251" s="5"/>
      <c r="Y251" s="109"/>
    </row>
    <row r="252" spans="1:25" ht="15.6" x14ac:dyDescent="0.3">
      <c r="A252" s="278"/>
      <c r="B252" s="329" t="s">
        <v>164</v>
      </c>
      <c r="C252" s="371"/>
      <c r="D252" s="371"/>
      <c r="E252" s="371"/>
      <c r="F252" s="279"/>
      <c r="G252" s="372"/>
      <c r="H252" s="371"/>
      <c r="I252" s="371"/>
      <c r="J252" s="371"/>
      <c r="K252" s="371"/>
      <c r="L252" s="371"/>
      <c r="M252" s="371"/>
      <c r="N252" s="371"/>
      <c r="O252" s="371"/>
      <c r="P252" s="371"/>
      <c r="Q252" s="371"/>
      <c r="R252" s="329">
        <v>3</v>
      </c>
      <c r="S252" s="372">
        <f t="shared" si="5"/>
        <v>4.1050903119868636E-4</v>
      </c>
      <c r="T252" s="330">
        <v>512</v>
      </c>
      <c r="U252" s="372">
        <f t="shared" si="6"/>
        <v>5.2515513616082873E-4</v>
      </c>
      <c r="V252" s="356"/>
      <c r="W252" s="361"/>
      <c r="X252" s="5"/>
    </row>
    <row r="253" spans="1:25" ht="15.6" x14ac:dyDescent="0.3">
      <c r="A253" s="278"/>
      <c r="B253" s="329" t="s">
        <v>165</v>
      </c>
      <c r="C253" s="371"/>
      <c r="D253" s="371"/>
      <c r="E253" s="371"/>
      <c r="F253" s="279"/>
      <c r="G253" s="372"/>
      <c r="H253" s="371"/>
      <c r="I253" s="371"/>
      <c r="J253" s="371"/>
      <c r="K253" s="371"/>
      <c r="L253" s="371"/>
      <c r="M253" s="371"/>
      <c r="N253" s="371"/>
      <c r="O253" s="371"/>
      <c r="P253" s="371"/>
      <c r="Q253" s="371"/>
      <c r="R253" s="329">
        <v>1</v>
      </c>
      <c r="S253" s="372">
        <f t="shared" si="5"/>
        <v>1.3683634373289546E-4</v>
      </c>
      <c r="T253" s="330">
        <v>164</v>
      </c>
      <c r="U253" s="372">
        <f t="shared" si="6"/>
        <v>1.6821375455151546E-4</v>
      </c>
      <c r="V253" s="356"/>
      <c r="W253" s="361"/>
      <c r="X253" s="5"/>
      <c r="Y253" s="109"/>
    </row>
    <row r="254" spans="1:25" ht="15.6" x14ac:dyDescent="0.3">
      <c r="A254" s="278"/>
      <c r="B254" s="329"/>
      <c r="C254" s="371"/>
      <c r="D254" s="371"/>
      <c r="E254" s="371"/>
      <c r="F254" s="279"/>
      <c r="G254" s="372"/>
      <c r="H254" s="371"/>
      <c r="I254" s="371"/>
      <c r="J254" s="371"/>
      <c r="K254" s="371"/>
      <c r="L254" s="371"/>
      <c r="M254" s="371"/>
      <c r="N254" s="371"/>
      <c r="O254" s="371"/>
      <c r="P254" s="371"/>
      <c r="Q254" s="371"/>
      <c r="R254" s="329"/>
      <c r="S254" s="372"/>
      <c r="T254" s="330"/>
      <c r="U254" s="372"/>
      <c r="V254" s="356"/>
      <c r="W254" s="361"/>
      <c r="X254" s="5"/>
    </row>
    <row r="255" spans="1:25" ht="15.6" x14ac:dyDescent="0.3">
      <c r="A255" s="278"/>
      <c r="B255" s="279" t="s">
        <v>119</v>
      </c>
      <c r="C255" s="279"/>
      <c r="D255" s="279"/>
      <c r="E255" s="279"/>
      <c r="F255" s="279"/>
      <c r="G255" s="279"/>
      <c r="H255" s="373"/>
      <c r="I255" s="373"/>
      <c r="J255" s="373"/>
      <c r="K255" s="373"/>
      <c r="L255" s="373"/>
      <c r="M255" s="373"/>
      <c r="N255" s="373"/>
      <c r="O255" s="373"/>
      <c r="P255" s="373"/>
      <c r="Q255" s="373"/>
      <c r="R255" s="329">
        <f>SUM(R246:R254)</f>
        <v>7308</v>
      </c>
      <c r="S255" s="372">
        <f>SUM(S246:S254)</f>
        <v>0.99999999999999978</v>
      </c>
      <c r="T255" s="330">
        <f>SUM(T246:T254)</f>
        <v>974950</v>
      </c>
      <c r="U255" s="372">
        <f>SUM(U246:U254)</f>
        <v>1</v>
      </c>
      <c r="V255" s="305"/>
      <c r="W255" s="310"/>
      <c r="X255" s="5"/>
    </row>
    <row r="256" spans="1:25" ht="15.6" x14ac:dyDescent="0.3">
      <c r="A256" s="177"/>
      <c r="B256" s="275"/>
      <c r="C256" s="275"/>
      <c r="D256" s="275"/>
      <c r="E256" s="275"/>
      <c r="F256" s="275"/>
      <c r="G256" s="275"/>
      <c r="H256" s="368"/>
      <c r="I256" s="368"/>
      <c r="J256" s="368"/>
      <c r="K256" s="368"/>
      <c r="L256" s="368"/>
      <c r="M256" s="368"/>
      <c r="N256" s="368"/>
      <c r="O256" s="368"/>
      <c r="P256" s="368"/>
      <c r="Q256" s="368"/>
      <c r="R256" s="327"/>
      <c r="S256" s="369"/>
      <c r="T256" s="370"/>
      <c r="U256" s="369"/>
      <c r="V256" s="275"/>
      <c r="W256" s="275"/>
      <c r="X256" s="5"/>
    </row>
    <row r="257" spans="1:24" ht="15.6" x14ac:dyDescent="0.3">
      <c r="A257" s="243"/>
      <c r="B257" s="388" t="s">
        <v>283</v>
      </c>
      <c r="C257" s="389"/>
      <c r="D257" s="389"/>
      <c r="E257" s="389"/>
      <c r="F257" s="396"/>
      <c r="G257" s="389"/>
      <c r="H257" s="389"/>
      <c r="I257" s="389"/>
      <c r="J257" s="389"/>
      <c r="K257" s="389"/>
      <c r="L257" s="389"/>
      <c r="M257" s="389"/>
      <c r="N257" s="389"/>
      <c r="O257" s="389"/>
      <c r="P257" s="389"/>
      <c r="Q257" s="389"/>
      <c r="R257" s="396" t="s">
        <v>104</v>
      </c>
      <c r="S257" s="389" t="s">
        <v>105</v>
      </c>
      <c r="T257" s="396" t="s">
        <v>113</v>
      </c>
      <c r="U257" s="389" t="s">
        <v>105</v>
      </c>
      <c r="V257" s="244"/>
      <c r="W257" s="245"/>
      <c r="X257" s="5"/>
    </row>
    <row r="258" spans="1:24" ht="15.6" x14ac:dyDescent="0.3">
      <c r="A258" s="189"/>
      <c r="B258" s="247" t="s">
        <v>90</v>
      </c>
      <c r="C258" s="261"/>
      <c r="D258" s="261"/>
      <c r="E258" s="261"/>
      <c r="F258" s="248"/>
      <c r="G258" s="261"/>
      <c r="H258" s="261"/>
      <c r="I258" s="261"/>
      <c r="J258" s="261"/>
      <c r="K258" s="261"/>
      <c r="L258" s="261"/>
      <c r="M258" s="261"/>
      <c r="N258" s="261"/>
      <c r="O258" s="261"/>
      <c r="P258" s="261"/>
      <c r="Q258" s="261"/>
      <c r="R258" s="247">
        <v>106</v>
      </c>
      <c r="S258" s="250">
        <f t="shared" ref="S258:S265" si="7">R258/$R$267</f>
        <v>0.76811594202898548</v>
      </c>
      <c r="T258" s="251">
        <v>18087</v>
      </c>
      <c r="U258" s="250">
        <f t="shared" ref="U258:U265" si="8">T258/$T$267</f>
        <v>0.77669944604285657</v>
      </c>
      <c r="V258" s="190"/>
      <c r="W258" s="190"/>
      <c r="X258" s="5"/>
    </row>
    <row r="259" spans="1:24" ht="15.6" x14ac:dyDescent="0.3">
      <c r="A259" s="278"/>
      <c r="B259" s="329" t="s">
        <v>91</v>
      </c>
      <c r="C259" s="371"/>
      <c r="D259" s="371"/>
      <c r="E259" s="371"/>
      <c r="F259" s="279"/>
      <c r="G259" s="372"/>
      <c r="H259" s="371"/>
      <c r="I259" s="371"/>
      <c r="J259" s="371"/>
      <c r="K259" s="371"/>
      <c r="L259" s="371"/>
      <c r="M259" s="371"/>
      <c r="N259" s="371"/>
      <c r="O259" s="371"/>
      <c r="P259" s="371"/>
      <c r="Q259" s="371"/>
      <c r="R259" s="329">
        <v>3</v>
      </c>
      <c r="S259" s="372">
        <f t="shared" si="7"/>
        <v>2.1739130434782608E-2</v>
      </c>
      <c r="T259" s="330">
        <v>363</v>
      </c>
      <c r="U259" s="372">
        <f t="shared" si="8"/>
        <v>1.5588096362777516E-2</v>
      </c>
      <c r="V259" s="305"/>
      <c r="W259" s="310"/>
      <c r="X259" s="5"/>
    </row>
    <row r="260" spans="1:24" ht="15.6" x14ac:dyDescent="0.3">
      <c r="A260" s="278"/>
      <c r="B260" s="329" t="s">
        <v>92</v>
      </c>
      <c r="C260" s="371"/>
      <c r="D260" s="371"/>
      <c r="E260" s="371"/>
      <c r="F260" s="279"/>
      <c r="G260" s="372"/>
      <c r="H260" s="371"/>
      <c r="I260" s="371"/>
      <c r="J260" s="371"/>
      <c r="K260" s="371"/>
      <c r="L260" s="371"/>
      <c r="M260" s="371"/>
      <c r="N260" s="371"/>
      <c r="O260" s="371"/>
      <c r="P260" s="371"/>
      <c r="Q260" s="371"/>
      <c r="R260" s="329">
        <v>4</v>
      </c>
      <c r="S260" s="372">
        <f t="shared" si="7"/>
        <v>2.8985507246376812E-2</v>
      </c>
      <c r="T260" s="330">
        <v>508</v>
      </c>
      <c r="U260" s="372">
        <f t="shared" si="8"/>
        <v>2.1814746425044017E-2</v>
      </c>
      <c r="V260" s="305"/>
      <c r="W260" s="310"/>
      <c r="X260" s="5"/>
    </row>
    <row r="261" spans="1:24" ht="15.6" x14ac:dyDescent="0.3">
      <c r="A261" s="278"/>
      <c r="B261" s="329" t="s">
        <v>161</v>
      </c>
      <c r="C261" s="371"/>
      <c r="D261" s="371"/>
      <c r="E261" s="371"/>
      <c r="F261" s="279"/>
      <c r="G261" s="372"/>
      <c r="H261" s="371"/>
      <c r="I261" s="371"/>
      <c r="J261" s="371"/>
      <c r="K261" s="371"/>
      <c r="L261" s="371"/>
      <c r="M261" s="371"/>
      <c r="N261" s="371"/>
      <c r="O261" s="371"/>
      <c r="P261" s="371"/>
      <c r="Q261" s="371"/>
      <c r="R261" s="329">
        <v>8</v>
      </c>
      <c r="S261" s="372">
        <f t="shared" si="7"/>
        <v>5.7971014492753624E-2</v>
      </c>
      <c r="T261" s="330">
        <v>1351</v>
      </c>
      <c r="U261" s="372">
        <f t="shared" si="8"/>
        <v>5.8015201614634776E-2</v>
      </c>
      <c r="V261" s="305"/>
      <c r="W261" s="310"/>
      <c r="X261" s="5"/>
    </row>
    <row r="262" spans="1:24" ht="15.6" x14ac:dyDescent="0.3">
      <c r="A262" s="278"/>
      <c r="B262" s="329" t="s">
        <v>162</v>
      </c>
      <c r="C262" s="371"/>
      <c r="D262" s="371"/>
      <c r="E262" s="371"/>
      <c r="F262" s="279"/>
      <c r="G262" s="372"/>
      <c r="H262" s="371"/>
      <c r="I262" s="371"/>
      <c r="J262" s="371"/>
      <c r="K262" s="371"/>
      <c r="L262" s="371"/>
      <c r="M262" s="371"/>
      <c r="N262" s="371"/>
      <c r="O262" s="371"/>
      <c r="P262" s="371"/>
      <c r="Q262" s="371"/>
      <c r="R262" s="329">
        <v>1</v>
      </c>
      <c r="S262" s="372">
        <f t="shared" si="7"/>
        <v>7.246376811594203E-3</v>
      </c>
      <c r="T262" s="330">
        <v>98</v>
      </c>
      <c r="U262" s="372">
        <f t="shared" si="8"/>
        <v>4.2083565938077043E-3</v>
      </c>
      <c r="V262" s="305"/>
      <c r="W262" s="310"/>
      <c r="X262" s="5"/>
    </row>
    <row r="263" spans="1:24" ht="15.6" x14ac:dyDescent="0.3">
      <c r="A263" s="278"/>
      <c r="B263" s="329" t="s">
        <v>163</v>
      </c>
      <c r="C263" s="371"/>
      <c r="D263" s="371"/>
      <c r="E263" s="371"/>
      <c r="F263" s="279"/>
      <c r="G263" s="372"/>
      <c r="H263" s="371"/>
      <c r="I263" s="371"/>
      <c r="J263" s="371"/>
      <c r="K263" s="371"/>
      <c r="L263" s="371"/>
      <c r="M263" s="371"/>
      <c r="N263" s="371"/>
      <c r="O263" s="371"/>
      <c r="P263" s="371"/>
      <c r="Q263" s="371"/>
      <c r="R263" s="329">
        <v>3</v>
      </c>
      <c r="S263" s="372">
        <f t="shared" si="7"/>
        <v>2.1739130434782608E-2</v>
      </c>
      <c r="T263" s="330">
        <v>340</v>
      </c>
      <c r="U263" s="372">
        <f t="shared" si="8"/>
        <v>1.4600420835659381E-2</v>
      </c>
      <c r="V263" s="305"/>
      <c r="W263" s="310"/>
      <c r="X263" s="5"/>
    </row>
    <row r="264" spans="1:24" ht="15.6" x14ac:dyDescent="0.3">
      <c r="A264" s="278"/>
      <c r="B264" s="329" t="s">
        <v>164</v>
      </c>
      <c r="C264" s="371"/>
      <c r="D264" s="371"/>
      <c r="E264" s="371"/>
      <c r="F264" s="279"/>
      <c r="G264" s="372"/>
      <c r="H264" s="371"/>
      <c r="I264" s="371"/>
      <c r="J264" s="371"/>
      <c r="K264" s="371"/>
      <c r="L264" s="371"/>
      <c r="M264" s="371"/>
      <c r="N264" s="371"/>
      <c r="O264" s="371"/>
      <c r="P264" s="371"/>
      <c r="Q264" s="371"/>
      <c r="R264" s="329">
        <v>2</v>
      </c>
      <c r="S264" s="372">
        <f t="shared" si="7"/>
        <v>1.4492753623188406E-2</v>
      </c>
      <c r="T264" s="330">
        <v>408</v>
      </c>
      <c r="U264" s="372">
        <f t="shared" si="8"/>
        <v>1.7520505002791256E-2</v>
      </c>
      <c r="V264" s="305"/>
      <c r="W264" s="310"/>
      <c r="X264" s="5"/>
    </row>
    <row r="265" spans="1:24" ht="15.6" x14ac:dyDescent="0.3">
      <c r="A265" s="278"/>
      <c r="B265" s="329" t="s">
        <v>165</v>
      </c>
      <c r="C265" s="371"/>
      <c r="D265" s="371"/>
      <c r="E265" s="371"/>
      <c r="F265" s="279"/>
      <c r="G265" s="372"/>
      <c r="H265" s="371"/>
      <c r="I265" s="371"/>
      <c r="J265" s="371"/>
      <c r="K265" s="371"/>
      <c r="L265" s="371"/>
      <c r="M265" s="371"/>
      <c r="N265" s="371"/>
      <c r="O265" s="371"/>
      <c r="P265" s="371"/>
      <c r="Q265" s="371"/>
      <c r="R265" s="329">
        <v>11</v>
      </c>
      <c r="S265" s="372">
        <f t="shared" si="7"/>
        <v>7.9710144927536225E-2</v>
      </c>
      <c r="T265" s="330">
        <v>2132</v>
      </c>
      <c r="U265" s="372">
        <f t="shared" si="8"/>
        <v>9.1553227122428818E-2</v>
      </c>
      <c r="V265" s="305"/>
      <c r="W265" s="310"/>
      <c r="X265" s="5"/>
    </row>
    <row r="266" spans="1:24" ht="15.6" x14ac:dyDescent="0.3">
      <c r="A266" s="278"/>
      <c r="B266" s="329"/>
      <c r="C266" s="371"/>
      <c r="D266" s="371"/>
      <c r="E266" s="371"/>
      <c r="F266" s="279"/>
      <c r="G266" s="372"/>
      <c r="H266" s="371"/>
      <c r="I266" s="371"/>
      <c r="J266" s="371"/>
      <c r="K266" s="371"/>
      <c r="L266" s="371"/>
      <c r="M266" s="371"/>
      <c r="N266" s="371"/>
      <c r="O266" s="371"/>
      <c r="P266" s="371"/>
      <c r="Q266" s="371"/>
      <c r="R266" s="329"/>
      <c r="S266" s="372"/>
      <c r="T266" s="330"/>
      <c r="U266" s="372"/>
      <c r="V266" s="305"/>
      <c r="W266" s="310"/>
      <c r="X266" s="5"/>
    </row>
    <row r="267" spans="1:24" ht="15.6" x14ac:dyDescent="0.3">
      <c r="A267" s="278"/>
      <c r="B267" s="279" t="s">
        <v>119</v>
      </c>
      <c r="C267" s="279"/>
      <c r="D267" s="279"/>
      <c r="E267" s="279"/>
      <c r="F267" s="279"/>
      <c r="G267" s="279"/>
      <c r="H267" s="373"/>
      <c r="I267" s="373"/>
      <c r="J267" s="373"/>
      <c r="K267" s="373"/>
      <c r="L267" s="373"/>
      <c r="M267" s="373"/>
      <c r="N267" s="373"/>
      <c r="O267" s="373"/>
      <c r="P267" s="373"/>
      <c r="Q267" s="373"/>
      <c r="R267" s="329">
        <f>SUM(R258:R266)</f>
        <v>138</v>
      </c>
      <c r="S267" s="372">
        <f>SUM(S258:S266)</f>
        <v>1</v>
      </c>
      <c r="T267" s="330">
        <f>SUM(T258:T266)</f>
        <v>23287</v>
      </c>
      <c r="U267" s="372">
        <f>SUM(U258:U266)</f>
        <v>1</v>
      </c>
      <c r="V267" s="305"/>
      <c r="W267" s="310"/>
      <c r="X267" s="5"/>
    </row>
    <row r="268" spans="1:24" ht="15.6" x14ac:dyDescent="0.3">
      <c r="A268" s="177"/>
      <c r="B268" s="275"/>
      <c r="C268" s="275"/>
      <c r="D268" s="275"/>
      <c r="E268" s="275"/>
      <c r="F268" s="275"/>
      <c r="G268" s="275"/>
      <c r="H268" s="368"/>
      <c r="I268" s="368"/>
      <c r="J268" s="368"/>
      <c r="K268" s="368"/>
      <c r="L268" s="368"/>
      <c r="M268" s="368"/>
      <c r="N268" s="368"/>
      <c r="O268" s="368"/>
      <c r="P268" s="368"/>
      <c r="Q268" s="368"/>
      <c r="R268" s="327"/>
      <c r="S268" s="369"/>
      <c r="T268" s="370"/>
      <c r="U268" s="369"/>
      <c r="V268" s="275"/>
      <c r="W268" s="275"/>
      <c r="X268" s="5"/>
    </row>
    <row r="269" spans="1:24" ht="15.6" x14ac:dyDescent="0.3">
      <c r="A269" s="243"/>
      <c r="B269" s="388" t="s">
        <v>169</v>
      </c>
      <c r="C269" s="244"/>
      <c r="D269" s="244"/>
      <c r="E269" s="244"/>
      <c r="F269" s="244"/>
      <c r="G269" s="244"/>
      <c r="H269" s="246"/>
      <c r="I269" s="246"/>
      <c r="J269" s="246"/>
      <c r="K269" s="246"/>
      <c r="L269" s="246"/>
      <c r="M269" s="246"/>
      <c r="N269" s="246"/>
      <c r="O269" s="246"/>
      <c r="P269" s="246"/>
      <c r="Q269" s="246"/>
      <c r="R269" s="396" t="s">
        <v>104</v>
      </c>
      <c r="S269" s="389" t="s">
        <v>105</v>
      </c>
      <c r="T269" s="396" t="s">
        <v>113</v>
      </c>
      <c r="U269" s="389" t="s">
        <v>105</v>
      </c>
      <c r="V269" s="244"/>
      <c r="W269" s="245"/>
      <c r="X269" s="5"/>
    </row>
    <row r="270" spans="1:24" ht="15.6" x14ac:dyDescent="0.3">
      <c r="A270" s="189"/>
      <c r="B270" s="247" t="s">
        <v>90</v>
      </c>
      <c r="C270" s="248"/>
      <c r="D270" s="248"/>
      <c r="E270" s="248"/>
      <c r="F270" s="248"/>
      <c r="G270" s="248"/>
      <c r="H270" s="249"/>
      <c r="I270" s="249"/>
      <c r="J270" s="249"/>
      <c r="K270" s="249"/>
      <c r="L270" s="249"/>
      <c r="M270" s="249"/>
      <c r="N270" s="249"/>
      <c r="O270" s="249"/>
      <c r="P270" s="249"/>
      <c r="Q270" s="249"/>
      <c r="R270" s="247">
        <v>0</v>
      </c>
      <c r="S270" s="250">
        <v>0</v>
      </c>
      <c r="T270" s="251">
        <v>0</v>
      </c>
      <c r="U270" s="250">
        <v>0</v>
      </c>
      <c r="V270" s="248"/>
      <c r="W270" s="190"/>
      <c r="X270" s="5"/>
    </row>
    <row r="271" spans="1:24" ht="15.6" x14ac:dyDescent="0.3">
      <c r="A271" s="278"/>
      <c r="B271" s="329" t="s">
        <v>91</v>
      </c>
      <c r="C271" s="279"/>
      <c r="D271" s="279"/>
      <c r="E271" s="279"/>
      <c r="F271" s="279"/>
      <c r="G271" s="279"/>
      <c r="H271" s="373"/>
      <c r="I271" s="373"/>
      <c r="J271" s="373"/>
      <c r="K271" s="373"/>
      <c r="L271" s="373"/>
      <c r="M271" s="373"/>
      <c r="N271" s="373"/>
      <c r="O271" s="373"/>
      <c r="P271" s="373"/>
      <c r="Q271" s="373"/>
      <c r="R271" s="329">
        <v>0</v>
      </c>
      <c r="S271" s="372">
        <v>0</v>
      </c>
      <c r="T271" s="330">
        <v>0</v>
      </c>
      <c r="U271" s="372">
        <v>0</v>
      </c>
      <c r="V271" s="279"/>
      <c r="W271" s="310"/>
      <c r="X271" s="5"/>
    </row>
    <row r="272" spans="1:24" ht="15.6" x14ac:dyDescent="0.3">
      <c r="A272" s="278"/>
      <c r="B272" s="329" t="s">
        <v>92</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161</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162</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163</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164</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165</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c r="C278" s="279"/>
      <c r="D278" s="279"/>
      <c r="E278" s="279"/>
      <c r="F278" s="279"/>
      <c r="G278" s="279"/>
      <c r="H278" s="373"/>
      <c r="I278" s="373"/>
      <c r="J278" s="373"/>
      <c r="K278" s="373"/>
      <c r="L278" s="373"/>
      <c r="M278" s="373"/>
      <c r="N278" s="373"/>
      <c r="O278" s="373"/>
      <c r="P278" s="373"/>
      <c r="Q278" s="373"/>
      <c r="R278" s="329"/>
      <c r="S278" s="372"/>
      <c r="T278" s="330"/>
      <c r="U278" s="372"/>
      <c r="V278" s="279"/>
      <c r="W278" s="310"/>
      <c r="X278" s="5"/>
    </row>
    <row r="279" spans="1:24" ht="15.6" x14ac:dyDescent="0.3">
      <c r="A279" s="278"/>
      <c r="B279" s="279" t="s">
        <v>119</v>
      </c>
      <c r="C279" s="279"/>
      <c r="D279" s="279"/>
      <c r="E279" s="279"/>
      <c r="F279" s="279"/>
      <c r="G279" s="279"/>
      <c r="H279" s="373"/>
      <c r="I279" s="373"/>
      <c r="J279" s="373"/>
      <c r="K279" s="373"/>
      <c r="L279" s="373"/>
      <c r="M279" s="373"/>
      <c r="N279" s="373"/>
      <c r="O279" s="373"/>
      <c r="P279" s="373"/>
      <c r="Q279" s="373"/>
      <c r="R279" s="329">
        <f>SUM(R270:R277)</f>
        <v>0</v>
      </c>
      <c r="S279" s="372">
        <f>SUM(S270:S278)</f>
        <v>0</v>
      </c>
      <c r="T279" s="330">
        <f>SUM(T270:T277)</f>
        <v>0</v>
      </c>
      <c r="U279" s="372">
        <f>SUM(U270:U278)</f>
        <v>0</v>
      </c>
      <c r="V279" s="279"/>
      <c r="W279" s="310"/>
      <c r="X279" s="5"/>
    </row>
    <row r="280" spans="1:24" ht="15.6" x14ac:dyDescent="0.3">
      <c r="A280" s="278"/>
      <c r="B280" s="279"/>
      <c r="C280" s="279"/>
      <c r="D280" s="279"/>
      <c r="E280" s="279"/>
      <c r="F280" s="279"/>
      <c r="G280" s="279"/>
      <c r="H280" s="373"/>
      <c r="I280" s="373"/>
      <c r="J280" s="373"/>
      <c r="K280" s="373"/>
      <c r="L280" s="373"/>
      <c r="M280" s="373"/>
      <c r="N280" s="373"/>
      <c r="O280" s="373"/>
      <c r="P280" s="373"/>
      <c r="Q280" s="373"/>
      <c r="R280" s="329"/>
      <c r="S280" s="372"/>
      <c r="T280" s="330"/>
      <c r="U280" s="372"/>
      <c r="V280" s="279"/>
      <c r="W280" s="310"/>
      <c r="X280" s="5"/>
    </row>
    <row r="281" spans="1:24" ht="15.6" x14ac:dyDescent="0.3">
      <c r="A281" s="278"/>
      <c r="B281" s="288" t="s">
        <v>170</v>
      </c>
      <c r="C281" s="279"/>
      <c r="D281" s="279"/>
      <c r="E281" s="279"/>
      <c r="F281" s="279"/>
      <c r="G281" s="279"/>
      <c r="H281" s="373"/>
      <c r="I281" s="373"/>
      <c r="J281" s="373"/>
      <c r="K281" s="373"/>
      <c r="L281" s="373"/>
      <c r="M281" s="373"/>
      <c r="N281" s="373"/>
      <c r="O281" s="373"/>
      <c r="P281" s="373"/>
      <c r="Q281" s="373"/>
      <c r="R281" s="376">
        <f>R279+R267+R255</f>
        <v>7446</v>
      </c>
      <c r="S281" s="372"/>
      <c r="T281" s="397">
        <f>+T279+T267+T255</f>
        <v>998237</v>
      </c>
      <c r="U281" s="372"/>
      <c r="V281" s="279"/>
      <c r="W281" s="310"/>
      <c r="X281" s="5"/>
    </row>
    <row r="282" spans="1:24" ht="15.6" x14ac:dyDescent="0.3">
      <c r="A282" s="177"/>
      <c r="B282" s="340"/>
      <c r="C282" s="340"/>
      <c r="D282" s="340"/>
      <c r="E282" s="340"/>
      <c r="F282" s="340"/>
      <c r="G282" s="340"/>
      <c r="H282" s="374"/>
      <c r="I282" s="374"/>
      <c r="J282" s="374"/>
      <c r="K282" s="374"/>
      <c r="L282" s="374"/>
      <c r="M282" s="374"/>
      <c r="N282" s="374"/>
      <c r="O282" s="374"/>
      <c r="P282" s="374"/>
      <c r="Q282" s="374"/>
      <c r="R282" s="374"/>
      <c r="S282" s="374"/>
      <c r="T282" s="375"/>
      <c r="U282" s="374"/>
      <c r="V282" s="340"/>
      <c r="W282" s="275"/>
      <c r="X282" s="5"/>
    </row>
    <row r="283" spans="1:24" ht="15.6" x14ac:dyDescent="0.3">
      <c r="A283" s="177"/>
      <c r="B283" s="252"/>
      <c r="C283" s="252"/>
      <c r="D283" s="252"/>
      <c r="E283" s="252"/>
      <c r="F283" s="252"/>
      <c r="G283" s="252"/>
      <c r="H283" s="253"/>
      <c r="I283" s="253"/>
      <c r="J283" s="253"/>
      <c r="K283" s="253"/>
      <c r="L283" s="253"/>
      <c r="M283" s="253"/>
      <c r="N283" s="253"/>
      <c r="O283" s="253"/>
      <c r="P283" s="253"/>
      <c r="Q283" s="253"/>
      <c r="R283" s="253"/>
      <c r="S283" s="253"/>
      <c r="T283" s="254"/>
      <c r="U283" s="253"/>
      <c r="V283" s="252"/>
      <c r="W283" s="179"/>
      <c r="X283" s="5"/>
    </row>
    <row r="284" spans="1:24" ht="15.6" x14ac:dyDescent="0.3">
      <c r="A284" s="222"/>
      <c r="B284" s="378" t="s">
        <v>93</v>
      </c>
      <c r="C284" s="252"/>
      <c r="D284" s="252"/>
      <c r="E284" s="252"/>
      <c r="F284" s="381" t="s">
        <v>99</v>
      </c>
      <c r="G284" s="252"/>
      <c r="H284" s="378" t="s">
        <v>101</v>
      </c>
      <c r="I284" s="257"/>
      <c r="J284" s="257"/>
      <c r="K284" s="257"/>
      <c r="L284" s="257"/>
      <c r="M284" s="257"/>
      <c r="N284" s="257"/>
      <c r="O284" s="257"/>
      <c r="P284" s="257"/>
      <c r="Q284" s="257"/>
      <c r="R284" s="257"/>
      <c r="S284" s="257"/>
      <c r="T284" s="257"/>
      <c r="U284" s="257"/>
      <c r="V284" s="257"/>
      <c r="W284" s="187"/>
      <c r="X284" s="5"/>
    </row>
    <row r="285" spans="1:24" ht="15.6" x14ac:dyDescent="0.3">
      <c r="A285" s="222"/>
      <c r="B285" s="257"/>
      <c r="C285" s="252"/>
      <c r="D285" s="252"/>
      <c r="E285" s="252"/>
      <c r="F285" s="252"/>
      <c r="G285" s="252"/>
      <c r="H285" s="252"/>
      <c r="I285" s="257"/>
      <c r="J285" s="257"/>
      <c r="K285" s="257"/>
      <c r="L285" s="257"/>
      <c r="M285" s="257"/>
      <c r="N285" s="257"/>
      <c r="O285" s="257"/>
      <c r="P285" s="257"/>
      <c r="Q285" s="257"/>
      <c r="R285" s="257"/>
      <c r="S285" s="257"/>
      <c r="T285" s="257"/>
      <c r="U285" s="257"/>
      <c r="V285" s="257"/>
      <c r="W285" s="187"/>
      <c r="X285" s="5"/>
    </row>
    <row r="286" spans="1:24" ht="15.6" x14ac:dyDescent="0.3">
      <c r="A286" s="222"/>
      <c r="B286" s="378" t="s">
        <v>94</v>
      </c>
      <c r="C286" s="378"/>
      <c r="D286" s="378"/>
      <c r="E286" s="378"/>
      <c r="F286" s="398" t="s">
        <v>153</v>
      </c>
      <c r="G286" s="378"/>
      <c r="H286" s="378" t="s">
        <v>157</v>
      </c>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277</v>
      </c>
      <c r="C287" s="378"/>
      <c r="D287" s="378"/>
      <c r="E287" s="378"/>
      <c r="F287" s="398" t="s">
        <v>278</v>
      </c>
      <c r="G287" s="378"/>
      <c r="H287" s="378" t="s">
        <v>279</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95</v>
      </c>
      <c r="C288" s="378"/>
      <c r="D288" s="378"/>
      <c r="E288" s="378"/>
      <c r="F288" s="398" t="s">
        <v>152</v>
      </c>
      <c r="G288" s="378"/>
      <c r="H288" s="378" t="s">
        <v>158</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c r="C289" s="378"/>
      <c r="D289" s="378"/>
      <c r="E289" s="378"/>
      <c r="F289" s="378"/>
      <c r="G289" s="259"/>
      <c r="H289" s="257"/>
      <c r="I289" s="257"/>
      <c r="J289" s="257"/>
      <c r="K289" s="257"/>
      <c r="L289" s="257"/>
      <c r="M289" s="257"/>
      <c r="N289" s="257"/>
      <c r="O289" s="257"/>
      <c r="P289" s="257"/>
      <c r="Q289" s="257"/>
      <c r="R289" s="257"/>
      <c r="S289" s="257"/>
      <c r="T289" s="257"/>
      <c r="U289" s="257"/>
      <c r="V289" s="257"/>
      <c r="W289" s="187"/>
      <c r="X289" s="5"/>
    </row>
    <row r="290" spans="1:24" ht="18" thickBot="1" x14ac:dyDescent="0.35">
      <c r="A290" s="222"/>
      <c r="B290" s="260" t="str">
        <f>B195</f>
        <v>PM12 INVESTOR REPORT QUARTER ENDING OCTOBER 2011</v>
      </c>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x14ac:dyDescent="0.2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row>
  </sheetData>
  <phoneticPr fontId="0" type="noConversion"/>
  <hyperlinks>
    <hyperlink ref="P231" r:id="rId1" xr:uid="{00000000-0004-0000-1400-000000000000}"/>
    <hyperlink ref="I9" r:id="rId2" xr:uid="{00000000-0004-0000-14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195" max="14" man="1"/>
  </rowBreak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2D2926"/>
  </sheetPr>
  <dimension ref="A1:Y291"/>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0.64480000000000004</v>
      </c>
      <c r="T16" s="381" t="s">
        <v>145</v>
      </c>
      <c r="U16" s="380">
        <v>0.35520000000000002</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40955</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220</v>
      </c>
      <c r="E27" s="285"/>
      <c r="F27" s="285" t="s">
        <v>148</v>
      </c>
      <c r="G27" s="285"/>
      <c r="H27" s="285" t="s">
        <v>148</v>
      </c>
      <c r="I27" s="285"/>
      <c r="J27" s="285" t="s">
        <v>148</v>
      </c>
      <c r="K27" s="285"/>
      <c r="L27" s="285" t="s">
        <v>171</v>
      </c>
      <c r="M27" s="285"/>
      <c r="N27" s="285" t="s">
        <v>171</v>
      </c>
      <c r="O27" s="285"/>
      <c r="P27" s="285" t="s">
        <v>149</v>
      </c>
      <c r="Q27" s="285"/>
      <c r="R27" s="285" t="s">
        <v>149</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920005.95</v>
      </c>
      <c r="E32" s="289"/>
      <c r="F32" s="290">
        <f>F31*F38</f>
        <v>88934.03899999999</v>
      </c>
      <c r="G32" s="290"/>
      <c r="H32" s="295">
        <f>H31*H38</f>
        <v>150267.859</v>
      </c>
      <c r="I32" s="295"/>
      <c r="J32" s="294">
        <f>J31*J38</f>
        <v>190747.90029999998</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912202.05</v>
      </c>
      <c r="E33" s="301"/>
      <c r="F33" s="303">
        <f>F37*F31</f>
        <v>88179.661999999997</v>
      </c>
      <c r="G33" s="303"/>
      <c r="H33" s="384">
        <f>H31*H37</f>
        <v>148993.22200000001</v>
      </c>
      <c r="I33" s="384"/>
      <c r="J33" s="383">
        <f>J37*J31</f>
        <v>189129.89170000001</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500002.99369410001</v>
      </c>
      <c r="E35" s="289"/>
      <c r="F35" s="290">
        <f>F34*F38</f>
        <v>88934.03899999999</v>
      </c>
      <c r="G35" s="290"/>
      <c r="H35" s="290">
        <f>H34*H38</f>
        <v>103633.30230119999</v>
      </c>
      <c r="I35" s="290"/>
      <c r="J35" s="290">
        <f>J34*J38</f>
        <v>103667.49712059999</v>
      </c>
      <c r="K35" s="290"/>
      <c r="L35" s="290">
        <f>+L34</f>
        <v>25000</v>
      </c>
      <c r="M35" s="290"/>
      <c r="N35" s="290">
        <f>+N34</f>
        <v>86897</v>
      </c>
      <c r="O35" s="290"/>
      <c r="P35" s="290">
        <f>+P34</f>
        <v>17000</v>
      </c>
      <c r="Q35" s="290"/>
      <c r="R35" s="290">
        <f>+R34</f>
        <v>73103</v>
      </c>
      <c r="S35" s="290"/>
      <c r="T35" s="290"/>
      <c r="U35" s="291"/>
      <c r="V35" s="290">
        <f>SUM(C35:R35)-1</f>
        <v>998236.83211589989</v>
      </c>
      <c r="W35" s="292"/>
      <c r="X35" s="5"/>
    </row>
    <row r="36" spans="1:24" ht="15.6" x14ac:dyDescent="0.3">
      <c r="A36" s="283"/>
      <c r="B36" s="288" t="s">
        <v>295</v>
      </c>
      <c r="C36" s="301"/>
      <c r="D36" s="303">
        <f>D34*D37</f>
        <v>495761.74572990002</v>
      </c>
      <c r="E36" s="301"/>
      <c r="F36" s="303">
        <f>F34*F37</f>
        <v>88179.661999999997</v>
      </c>
      <c r="G36" s="303"/>
      <c r="H36" s="303">
        <f>H34*H37</f>
        <v>102754.2397896</v>
      </c>
      <c r="I36" s="303"/>
      <c r="J36" s="303">
        <f>J34*J37</f>
        <v>102788.14326340001</v>
      </c>
      <c r="K36" s="303"/>
      <c r="L36" s="303">
        <f>+L34</f>
        <v>25000</v>
      </c>
      <c r="M36" s="303"/>
      <c r="N36" s="303">
        <f>+N34</f>
        <v>86897</v>
      </c>
      <c r="O36" s="303"/>
      <c r="P36" s="303">
        <f>+P34</f>
        <v>17000</v>
      </c>
      <c r="Q36" s="303"/>
      <c r="R36" s="303">
        <f>+R34</f>
        <v>73103</v>
      </c>
      <c r="S36" s="302"/>
      <c r="T36" s="302"/>
      <c r="U36" s="291"/>
      <c r="V36" s="303">
        <f>SUM(C36:R36)-1</f>
        <v>991482.79078290006</v>
      </c>
      <c r="W36" s="292"/>
      <c r="X36" s="5"/>
    </row>
    <row r="37" spans="1:24" ht="15.6" x14ac:dyDescent="0.3">
      <c r="A37" s="278"/>
      <c r="B37" s="304" t="s">
        <v>135</v>
      </c>
      <c r="C37" s="305"/>
      <c r="D37" s="306">
        <v>0.60813470000000003</v>
      </c>
      <c r="E37" s="307"/>
      <c r="F37" s="306">
        <v>0.6081356</v>
      </c>
      <c r="G37" s="306"/>
      <c r="H37" s="306">
        <v>0.6081356</v>
      </c>
      <c r="I37" s="306"/>
      <c r="J37" s="306">
        <v>0.60813470000000003</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0.61333729999999997</v>
      </c>
      <c r="E38" s="307"/>
      <c r="F38" s="306">
        <v>0.61333819999999994</v>
      </c>
      <c r="G38" s="306"/>
      <c r="H38" s="306">
        <v>0.61333819999999994</v>
      </c>
      <c r="I38" s="306"/>
      <c r="J38" s="306">
        <v>0.61333729999999997</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235</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4.0509999999999999E-3</v>
      </c>
      <c r="E40" s="279"/>
      <c r="F40" s="314">
        <v>1.2476299999999999E-2</v>
      </c>
      <c r="G40" s="313"/>
      <c r="H40" s="314">
        <v>1.702E-2</v>
      </c>
      <c r="I40" s="314"/>
      <c r="J40" s="314">
        <v>6.7721999999999999E-3</v>
      </c>
      <c r="K40" s="313"/>
      <c r="L40" s="314">
        <v>1.48763E-2</v>
      </c>
      <c r="M40" s="313"/>
      <c r="N40" s="314">
        <v>1.942E-2</v>
      </c>
      <c r="O40" s="313"/>
      <c r="P40" s="314">
        <v>1.92763E-2</v>
      </c>
      <c r="Q40" s="313"/>
      <c r="R40" s="314">
        <v>2.3820000000000001E-2</v>
      </c>
      <c r="S40" s="313"/>
      <c r="T40" s="314"/>
      <c r="U40" s="281"/>
      <c r="V40" s="287"/>
      <c r="W40" s="282"/>
      <c r="X40" s="5"/>
    </row>
    <row r="41" spans="1:24" ht="15.6" x14ac:dyDescent="0.3">
      <c r="A41" s="278"/>
      <c r="B41" s="279" t="s">
        <v>13</v>
      </c>
      <c r="C41" s="279"/>
      <c r="D41" s="314">
        <v>3.6332999999999999E-3</v>
      </c>
      <c r="E41" s="279"/>
      <c r="F41" s="314">
        <v>1.09219E-2</v>
      </c>
      <c r="G41" s="313"/>
      <c r="H41" s="314">
        <v>1.7749999999999998E-2</v>
      </c>
      <c r="I41" s="314"/>
      <c r="J41" s="314">
        <v>5.0616999999999997E-3</v>
      </c>
      <c r="K41" s="313"/>
      <c r="L41" s="314">
        <v>1.3321899999999999E-2</v>
      </c>
      <c r="M41" s="313"/>
      <c r="N41" s="314">
        <v>2.0150000000000001E-2</v>
      </c>
      <c r="O41" s="313"/>
      <c r="P41" s="314">
        <v>1.7721899999999999E-2</v>
      </c>
      <c r="Q41" s="313"/>
      <c r="R41" s="314">
        <v>2.4549999999999999E-2</v>
      </c>
      <c r="S41" s="313"/>
      <c r="T41" s="314"/>
      <c r="U41" s="281"/>
      <c r="V41" s="313" t="s">
        <v>199</v>
      </c>
      <c r="W41" s="282"/>
      <c r="X41" s="5"/>
    </row>
    <row r="42" spans="1:24" ht="15.6" x14ac:dyDescent="0.3">
      <c r="A42" s="278"/>
      <c r="B42" s="279" t="s">
        <v>296</v>
      </c>
      <c r="C42" s="279"/>
      <c r="D42" s="287" t="s">
        <v>286</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1.14796E-2</v>
      </c>
      <c r="E43" s="314"/>
      <c r="F43" s="314">
        <f>+F40</f>
        <v>1.2476299999999999E-2</v>
      </c>
      <c r="G43" s="314"/>
      <c r="H43" s="314">
        <v>1.2398299999999999E-2</v>
      </c>
      <c r="I43" s="314"/>
      <c r="J43" s="314">
        <v>1.26403E-2</v>
      </c>
      <c r="K43" s="314"/>
      <c r="L43" s="314">
        <f>+L40</f>
        <v>1.48763E-2</v>
      </c>
      <c r="M43" s="314"/>
      <c r="N43" s="314">
        <v>1.5078299999999999E-2</v>
      </c>
      <c r="O43" s="314"/>
      <c r="P43" s="314">
        <f>+P40</f>
        <v>1.92763E-2</v>
      </c>
      <c r="Q43" s="313"/>
      <c r="R43" s="314">
        <v>1.97483E-2</v>
      </c>
      <c r="S43" s="287"/>
      <c r="T43" s="287"/>
      <c r="U43" s="281"/>
      <c r="V43" s="313">
        <f>SUMPRODUCT(D43:R43,D35:R35)/V35</f>
        <v>1.2920972606892787E-2</v>
      </c>
      <c r="W43" s="282"/>
      <c r="X43" s="5"/>
    </row>
    <row r="44" spans="1:24" ht="15.6" x14ac:dyDescent="0.3">
      <c r="A44" s="278"/>
      <c r="B44" s="279" t="s">
        <v>298</v>
      </c>
      <c r="C44" s="315"/>
      <c r="D44" s="314">
        <v>9.9252000000000003E-3</v>
      </c>
      <c r="E44" s="314"/>
      <c r="F44" s="314">
        <f>+F41</f>
        <v>1.09219E-2</v>
      </c>
      <c r="G44" s="314"/>
      <c r="H44" s="314">
        <v>1.08439E-2</v>
      </c>
      <c r="I44" s="314"/>
      <c r="J44" s="314">
        <v>1.1085899999999999E-2</v>
      </c>
      <c r="K44" s="314"/>
      <c r="L44" s="314">
        <f>+L41</f>
        <v>1.3321899999999999E-2</v>
      </c>
      <c r="M44" s="314"/>
      <c r="N44" s="314">
        <v>1.35239E-2</v>
      </c>
      <c r="O44" s="314"/>
      <c r="P44" s="314">
        <f>+P41</f>
        <v>1.7721899999999999E-2</v>
      </c>
      <c r="Q44" s="313"/>
      <c r="R44" s="314">
        <v>1.8193899999999999E-2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206</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0.25586339119095092</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40954</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92</v>
      </c>
      <c r="S57" s="279"/>
      <c r="T57" s="325">
        <v>40770</v>
      </c>
      <c r="U57" s="326"/>
      <c r="V57" s="325">
        <v>40861</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40862</v>
      </c>
      <c r="U58" s="326"/>
      <c r="V58" s="325">
        <v>40953</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40940</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311</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998237</v>
      </c>
      <c r="O68" s="329"/>
      <c r="P68" s="329">
        <f>6754+10+21</f>
        <v>6785</v>
      </c>
      <c r="Q68" s="329"/>
      <c r="R68" s="329">
        <f>10+21</f>
        <v>31</v>
      </c>
      <c r="S68" s="329"/>
      <c r="T68" s="329">
        <v>0</v>
      </c>
      <c r="U68" s="329"/>
      <c r="V68" s="330">
        <f>+N68-P68+R68-T68</f>
        <v>991483</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998237</v>
      </c>
      <c r="O71" s="329"/>
      <c r="P71" s="329">
        <f>SUM(P68:P70)</f>
        <v>6785</v>
      </c>
      <c r="Q71" s="329"/>
      <c r="R71" s="329">
        <f>SUM(R68:R70)</f>
        <v>31</v>
      </c>
      <c r="S71" s="329"/>
      <c r="T71" s="329">
        <f>SUM(T68:T70)</f>
        <v>0</v>
      </c>
      <c r="U71" s="329"/>
      <c r="V71" s="329">
        <f>SUM(V68:V70)</f>
        <v>991483</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998237</v>
      </c>
      <c r="O84" s="329"/>
      <c r="P84" s="329"/>
      <c r="Q84" s="329"/>
      <c r="R84" s="329"/>
      <c r="S84" s="329"/>
      <c r="T84" s="329"/>
      <c r="U84" s="329"/>
      <c r="V84" s="329">
        <f>SUM(V71:V83)</f>
        <v>991483</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+T196</f>
        <v>40939</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6785-284</f>
        <v>6501</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5250+2813-625-325</f>
        <v>7113</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114+23</f>
        <v>137</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63</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692</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6501</v>
      </c>
      <c r="U96" s="279"/>
      <c r="V96" s="329">
        <f>SUM(V88:V95)</f>
        <v>8005</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-1</v>
      </c>
      <c r="U97" s="279"/>
      <c r="V97" s="329">
        <v>1</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156</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6500</v>
      </c>
      <c r="U100" s="279"/>
      <c r="V100" s="329">
        <f>V96+V98+V97+V99</f>
        <v>8162</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259</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210</v>
      </c>
      <c r="C104" s="279"/>
      <c r="D104" s="279"/>
      <c r="E104" s="279"/>
      <c r="F104" s="279"/>
      <c r="G104" s="279"/>
      <c r="H104" s="279"/>
      <c r="I104" s="279"/>
      <c r="J104" s="279"/>
      <c r="K104" s="279"/>
      <c r="L104" s="279"/>
      <c r="M104" s="279"/>
      <c r="N104" s="279"/>
      <c r="O104" s="279"/>
      <c r="P104" s="279"/>
      <c r="Q104" s="279"/>
      <c r="R104" s="279"/>
      <c r="S104" s="279"/>
      <c r="T104" s="279"/>
      <c r="U104" s="279"/>
      <c r="V104" s="330">
        <f>-380-205-12</f>
        <v>-597</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-45</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-2381+280</f>
        <v>-2101</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-280</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-330</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-94</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-364</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-82</v>
      </c>
      <c r="W111" s="282"/>
      <c r="X111" s="5"/>
      <c r="Y111" s="109"/>
    </row>
    <row r="112" spans="1:25" ht="15.6" x14ac:dyDescent="0.3">
      <c r="A112" s="336">
        <v>7</v>
      </c>
      <c r="B112" s="279" t="s">
        <v>35</v>
      </c>
      <c r="C112" s="279"/>
      <c r="D112" s="279"/>
      <c r="E112" s="279"/>
      <c r="F112" s="279"/>
      <c r="G112" s="279"/>
      <c r="H112" s="279"/>
      <c r="I112" s="279"/>
      <c r="J112" s="279"/>
      <c r="K112" s="279"/>
      <c r="L112" s="279"/>
      <c r="M112" s="279"/>
      <c r="N112" s="279"/>
      <c r="O112" s="279"/>
      <c r="P112" s="279"/>
      <c r="Q112" s="279"/>
      <c r="R112" s="279"/>
      <c r="S112" s="279"/>
      <c r="T112" s="279"/>
      <c r="U112" s="279"/>
      <c r="V112" s="330">
        <v>-10</v>
      </c>
      <c r="W112" s="282"/>
      <c r="X112" s="5"/>
    </row>
    <row r="113" spans="1:24" ht="15.6" x14ac:dyDescent="0.3">
      <c r="A113" s="336">
        <f t="shared" ref="A113:A118" si="0">+A112+1</f>
        <v>8</v>
      </c>
      <c r="B113" s="279" t="s">
        <v>46</v>
      </c>
      <c r="C113" s="279"/>
      <c r="D113" s="279"/>
      <c r="E113" s="279"/>
      <c r="F113" s="279"/>
      <c r="G113" s="279"/>
      <c r="H113" s="279"/>
      <c r="I113" s="279"/>
      <c r="J113" s="279"/>
      <c r="K113" s="279"/>
      <c r="L113" s="279"/>
      <c r="M113" s="279"/>
      <c r="N113" s="279"/>
      <c r="O113" s="279"/>
      <c r="P113" s="279"/>
      <c r="Q113" s="279"/>
      <c r="R113" s="279"/>
      <c r="S113" s="279"/>
      <c r="T113" s="329">
        <f>-V113</f>
        <v>284</v>
      </c>
      <c r="U113" s="279"/>
      <c r="V113" s="330">
        <v>-284</v>
      </c>
      <c r="W113" s="282"/>
      <c r="X113" s="5"/>
    </row>
    <row r="114" spans="1:24" ht="15.6" x14ac:dyDescent="0.3">
      <c r="A114" s="336">
        <f t="shared" si="0"/>
        <v>9</v>
      </c>
      <c r="B114" s="279" t="s">
        <v>130</v>
      </c>
      <c r="C114" s="279"/>
      <c r="D114" s="279"/>
      <c r="E114" s="279"/>
      <c r="F114" s="279"/>
      <c r="G114" s="279"/>
      <c r="H114" s="279"/>
      <c r="I114" s="279"/>
      <c r="J114" s="279"/>
      <c r="K114" s="279"/>
      <c r="L114" s="279"/>
      <c r="M114" s="279"/>
      <c r="N114" s="279"/>
      <c r="O114" s="279"/>
      <c r="P114" s="279"/>
      <c r="Q114" s="279"/>
      <c r="R114" s="279"/>
      <c r="S114" s="279"/>
      <c r="T114" s="279"/>
      <c r="U114" s="279"/>
      <c r="V114" s="330">
        <v>0</v>
      </c>
      <c r="W114" s="282"/>
      <c r="X114" s="5"/>
    </row>
    <row r="115" spans="1:24" ht="15.6" x14ac:dyDescent="0.3">
      <c r="A115" s="336">
        <f t="shared" si="0"/>
        <v>10</v>
      </c>
      <c r="B115" s="279" t="s">
        <v>36</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37</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154</v>
      </c>
      <c r="C117" s="279"/>
      <c r="D117" s="279"/>
      <c r="E117" s="279"/>
      <c r="F117" s="279"/>
      <c r="G117" s="279"/>
      <c r="H117" s="279"/>
      <c r="I117" s="279"/>
      <c r="J117" s="279"/>
      <c r="K117" s="279"/>
      <c r="L117" s="279"/>
      <c r="M117" s="279"/>
      <c r="N117" s="279"/>
      <c r="O117" s="279"/>
      <c r="P117" s="279"/>
      <c r="Q117" s="279"/>
      <c r="R117" s="279"/>
      <c r="S117" s="279"/>
      <c r="T117" s="279"/>
      <c r="U117" s="279"/>
      <c r="V117" s="330">
        <v>-380</v>
      </c>
      <c r="W117" s="282"/>
      <c r="X117" s="5"/>
    </row>
    <row r="118" spans="1:24" ht="15.6" x14ac:dyDescent="0.3">
      <c r="A118" s="336">
        <f t="shared" si="0"/>
        <v>13</v>
      </c>
      <c r="B118" s="279" t="s">
        <v>131</v>
      </c>
      <c r="C118" s="279"/>
      <c r="D118" s="279"/>
      <c r="E118" s="279"/>
      <c r="F118" s="279"/>
      <c r="G118" s="279"/>
      <c r="H118" s="279"/>
      <c r="I118" s="279"/>
      <c r="J118" s="279"/>
      <c r="K118" s="279"/>
      <c r="L118" s="279"/>
      <c r="M118" s="279"/>
      <c r="N118" s="279"/>
      <c r="O118" s="279"/>
      <c r="P118" s="279"/>
      <c r="Q118" s="279"/>
      <c r="R118" s="279"/>
      <c r="S118" s="279"/>
      <c r="T118" s="279"/>
      <c r="U118" s="279"/>
      <c r="V118" s="330">
        <f>-V100-SUM(V102:V117)</f>
        <v>-3593</v>
      </c>
      <c r="W118" s="282"/>
      <c r="X118" s="5"/>
    </row>
    <row r="119" spans="1:24" ht="15.6" x14ac:dyDescent="0.3">
      <c r="A119" s="278"/>
      <c r="B119" s="333" t="s">
        <v>38</v>
      </c>
      <c r="C119" s="305"/>
      <c r="D119" s="305"/>
      <c r="E119" s="305"/>
      <c r="F119" s="305"/>
      <c r="G119" s="305"/>
      <c r="H119" s="305"/>
      <c r="I119" s="305"/>
      <c r="J119" s="305"/>
      <c r="K119" s="305"/>
      <c r="L119" s="305"/>
      <c r="M119" s="305"/>
      <c r="N119" s="305"/>
      <c r="O119" s="305"/>
      <c r="P119" s="305"/>
      <c r="Q119" s="305"/>
      <c r="R119" s="305"/>
      <c r="S119" s="305"/>
      <c r="T119" s="305"/>
      <c r="U119" s="305"/>
      <c r="V119" s="337"/>
      <c r="W119" s="310"/>
      <c r="X119" s="5"/>
    </row>
    <row r="120" spans="1:24" ht="15.6" x14ac:dyDescent="0.3">
      <c r="A120" s="278"/>
      <c r="B120" s="279" t="s">
        <v>179</v>
      </c>
      <c r="C120" s="279"/>
      <c r="D120" s="279"/>
      <c r="E120" s="279"/>
      <c r="F120" s="279"/>
      <c r="G120" s="279"/>
      <c r="H120" s="279"/>
      <c r="I120" s="279"/>
      <c r="J120" s="279"/>
      <c r="K120" s="279"/>
      <c r="L120" s="279"/>
      <c r="M120" s="279"/>
      <c r="N120" s="279"/>
      <c r="O120" s="279"/>
      <c r="P120" s="279"/>
      <c r="Q120" s="279"/>
      <c r="R120" s="279"/>
      <c r="S120" s="279"/>
      <c r="T120" s="329">
        <f>-T180</f>
        <v>-10</v>
      </c>
      <c r="U120" s="329"/>
      <c r="V120" s="330"/>
      <c r="W120" s="282"/>
      <c r="X120" s="5"/>
    </row>
    <row r="121" spans="1:24" ht="15.6" x14ac:dyDescent="0.3">
      <c r="A121" s="278"/>
      <c r="B121" s="279" t="s">
        <v>180</v>
      </c>
      <c r="C121" s="279"/>
      <c r="D121" s="279"/>
      <c r="E121" s="279"/>
      <c r="F121" s="279"/>
      <c r="G121" s="279"/>
      <c r="H121" s="279"/>
      <c r="I121" s="279"/>
      <c r="J121" s="279"/>
      <c r="K121" s="279"/>
      <c r="L121" s="279"/>
      <c r="M121" s="279"/>
      <c r="N121" s="279"/>
      <c r="O121" s="279"/>
      <c r="P121" s="279"/>
      <c r="Q121" s="279"/>
      <c r="R121" s="279"/>
      <c r="S121" s="279"/>
      <c r="T121" s="329">
        <v>-20</v>
      </c>
      <c r="U121" s="329"/>
      <c r="V121" s="330"/>
      <c r="W121" s="282"/>
      <c r="X121" s="5"/>
    </row>
    <row r="122" spans="1:24" ht="15.6" x14ac:dyDescent="0.3">
      <c r="A122" s="278"/>
      <c r="B122" s="279" t="s">
        <v>39</v>
      </c>
      <c r="C122" s="279"/>
      <c r="D122" s="279"/>
      <c r="E122" s="279"/>
      <c r="F122" s="279"/>
      <c r="G122" s="279"/>
      <c r="H122" s="279"/>
      <c r="I122" s="279"/>
      <c r="J122" s="279"/>
      <c r="K122" s="279"/>
      <c r="L122" s="279"/>
      <c r="M122" s="279"/>
      <c r="N122" s="279"/>
      <c r="O122" s="279"/>
      <c r="P122" s="279"/>
      <c r="Q122" s="279"/>
      <c r="R122" s="279"/>
      <c r="S122" s="279"/>
      <c r="T122" s="329">
        <f>-S180</f>
        <v>0</v>
      </c>
      <c r="U122" s="329"/>
      <c r="V122" s="330"/>
      <c r="W122" s="282"/>
      <c r="X122" s="5"/>
    </row>
    <row r="123" spans="1:24" ht="15.6" x14ac:dyDescent="0.3">
      <c r="A123" s="278"/>
      <c r="B123" s="279" t="s">
        <v>203</v>
      </c>
      <c r="C123" s="279"/>
      <c r="D123" s="279"/>
      <c r="E123" s="279"/>
      <c r="F123" s="279"/>
      <c r="G123" s="279"/>
      <c r="H123" s="279"/>
      <c r="I123" s="279"/>
      <c r="J123" s="279"/>
      <c r="K123" s="279"/>
      <c r="L123" s="279"/>
      <c r="M123" s="279"/>
      <c r="N123" s="279"/>
      <c r="O123" s="279"/>
      <c r="P123" s="279"/>
      <c r="Q123" s="279"/>
      <c r="R123" s="279"/>
      <c r="S123" s="279"/>
      <c r="T123" s="329">
        <v>-4241</v>
      </c>
      <c r="U123" s="329"/>
      <c r="V123" s="330"/>
      <c r="W123" s="282"/>
      <c r="X123" s="5"/>
    </row>
    <row r="124" spans="1:24" ht="15.6" x14ac:dyDescent="0.3">
      <c r="A124" s="278"/>
      <c r="B124" s="279" t="s">
        <v>201</v>
      </c>
      <c r="C124" s="279"/>
      <c r="D124" s="279"/>
      <c r="E124" s="279"/>
      <c r="F124" s="279"/>
      <c r="G124" s="279"/>
      <c r="H124" s="279"/>
      <c r="I124" s="279"/>
      <c r="J124" s="279"/>
      <c r="K124" s="279"/>
      <c r="L124" s="279"/>
      <c r="M124" s="279"/>
      <c r="N124" s="279"/>
      <c r="O124" s="279"/>
      <c r="P124" s="279"/>
      <c r="Q124" s="279"/>
      <c r="R124" s="279"/>
      <c r="S124" s="279"/>
      <c r="T124" s="329">
        <v>-755</v>
      </c>
      <c r="U124" s="329"/>
      <c r="V124" s="330"/>
      <c r="W124" s="282"/>
      <c r="X124" s="5"/>
    </row>
    <row r="125" spans="1:24" ht="15.6" x14ac:dyDescent="0.3">
      <c r="A125" s="278"/>
      <c r="B125" s="279" t="s">
        <v>200</v>
      </c>
      <c r="C125" s="279"/>
      <c r="D125" s="279"/>
      <c r="E125" s="279"/>
      <c r="F125" s="279"/>
      <c r="G125" s="279"/>
      <c r="H125" s="279"/>
      <c r="I125" s="279"/>
      <c r="J125" s="279"/>
      <c r="K125" s="279"/>
      <c r="L125" s="279"/>
      <c r="M125" s="279"/>
      <c r="N125" s="279"/>
      <c r="O125" s="279"/>
      <c r="P125" s="279"/>
      <c r="Q125" s="279"/>
      <c r="R125" s="279"/>
      <c r="S125" s="279"/>
      <c r="T125" s="329">
        <v>-879</v>
      </c>
      <c r="U125" s="329"/>
      <c r="V125" s="330"/>
      <c r="W125" s="282"/>
      <c r="X125" s="5"/>
    </row>
    <row r="126" spans="1:24" ht="15.6" x14ac:dyDescent="0.3">
      <c r="A126" s="278"/>
      <c r="B126" s="279" t="s">
        <v>260</v>
      </c>
      <c r="C126" s="279"/>
      <c r="D126" s="279"/>
      <c r="E126" s="279"/>
      <c r="F126" s="279"/>
      <c r="G126" s="279"/>
      <c r="H126" s="279"/>
      <c r="I126" s="279"/>
      <c r="J126" s="279"/>
      <c r="K126" s="279"/>
      <c r="L126" s="279"/>
      <c r="M126" s="279"/>
      <c r="N126" s="279"/>
      <c r="O126" s="279"/>
      <c r="P126" s="279"/>
      <c r="Q126" s="279"/>
      <c r="R126" s="279"/>
      <c r="S126" s="279"/>
      <c r="T126" s="329">
        <v>-879</v>
      </c>
      <c r="U126" s="329"/>
      <c r="V126" s="330"/>
      <c r="W126" s="282"/>
      <c r="X126" s="5"/>
    </row>
    <row r="127" spans="1:24" ht="15.6" x14ac:dyDescent="0.3">
      <c r="A127" s="278"/>
      <c r="B127" s="279" t="s">
        <v>195</v>
      </c>
      <c r="C127" s="279"/>
      <c r="D127" s="279"/>
      <c r="E127" s="279"/>
      <c r="F127" s="279"/>
      <c r="G127" s="279"/>
      <c r="H127" s="279"/>
      <c r="I127" s="279"/>
      <c r="J127" s="279"/>
      <c r="K127" s="279"/>
      <c r="L127" s="279"/>
      <c r="M127" s="279"/>
      <c r="N127" s="279"/>
      <c r="O127" s="279"/>
      <c r="P127" s="279"/>
      <c r="Q127" s="279"/>
      <c r="R127" s="279"/>
      <c r="S127" s="279"/>
      <c r="T127" s="329">
        <v>0</v>
      </c>
      <c r="U127" s="329"/>
      <c r="V127" s="330"/>
      <c r="W127" s="282"/>
      <c r="X127" s="5"/>
    </row>
    <row r="128" spans="1:24" ht="15.6" x14ac:dyDescent="0.3">
      <c r="A128" s="278"/>
      <c r="B128" s="279" t="s">
        <v>194</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261</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193</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40</v>
      </c>
      <c r="C131" s="279"/>
      <c r="D131" s="279"/>
      <c r="E131" s="279"/>
      <c r="F131" s="279"/>
      <c r="G131" s="279"/>
      <c r="H131" s="279"/>
      <c r="I131" s="279"/>
      <c r="J131" s="279"/>
      <c r="K131" s="279"/>
      <c r="L131" s="279"/>
      <c r="M131" s="279"/>
      <c r="N131" s="279"/>
      <c r="O131" s="279"/>
      <c r="P131" s="279"/>
      <c r="Q131" s="279"/>
      <c r="R131" s="279"/>
      <c r="S131" s="279"/>
      <c r="T131" s="329">
        <f>SUM(T120:T130)</f>
        <v>-6784</v>
      </c>
      <c r="U131" s="329"/>
      <c r="V131" s="329">
        <f>SUM(V101:V128)</f>
        <v>-8162</v>
      </c>
      <c r="W131" s="282"/>
      <c r="X131" s="5"/>
    </row>
    <row r="132" spans="1:24" ht="15.6" x14ac:dyDescent="0.3">
      <c r="A132" s="278"/>
      <c r="B132" s="279" t="s">
        <v>41</v>
      </c>
      <c r="C132" s="279"/>
      <c r="D132" s="279"/>
      <c r="E132" s="279"/>
      <c r="F132" s="279"/>
      <c r="G132" s="279"/>
      <c r="H132" s="279"/>
      <c r="I132" s="279"/>
      <c r="J132" s="279"/>
      <c r="K132" s="279"/>
      <c r="L132" s="279"/>
      <c r="M132" s="279"/>
      <c r="N132" s="279"/>
      <c r="O132" s="279"/>
      <c r="P132" s="279"/>
      <c r="Q132" s="279"/>
      <c r="R132" s="279"/>
      <c r="S132" s="279"/>
      <c r="T132" s="329">
        <f>T100+T131+T113</f>
        <v>0</v>
      </c>
      <c r="U132" s="329"/>
      <c r="V132" s="329">
        <f>V100+V131</f>
        <v>0</v>
      </c>
      <c r="W132" s="282"/>
      <c r="X132" s="5"/>
    </row>
    <row r="133" spans="1:24" ht="15.6" x14ac:dyDescent="0.3">
      <c r="A133" s="177"/>
      <c r="B133" s="275"/>
      <c r="C133" s="275"/>
      <c r="D133" s="275"/>
      <c r="E133" s="275"/>
      <c r="F133" s="275"/>
      <c r="G133" s="275"/>
      <c r="H133" s="275"/>
      <c r="I133" s="275"/>
      <c r="J133" s="275"/>
      <c r="K133" s="275"/>
      <c r="L133" s="275"/>
      <c r="M133" s="275"/>
      <c r="N133" s="275"/>
      <c r="O133" s="275"/>
      <c r="P133" s="275"/>
      <c r="Q133" s="275"/>
      <c r="R133" s="275"/>
      <c r="S133" s="275"/>
      <c r="T133" s="327"/>
      <c r="U133" s="327"/>
      <c r="V133" s="327"/>
      <c r="W133" s="275"/>
      <c r="X133" s="5"/>
    </row>
    <row r="134" spans="1:24" ht="15.6" x14ac:dyDescent="0.3">
      <c r="A134" s="177"/>
      <c r="B134" s="179"/>
      <c r="C134" s="179"/>
      <c r="D134" s="179"/>
      <c r="E134" s="179"/>
      <c r="F134" s="179"/>
      <c r="G134" s="179"/>
      <c r="H134" s="179"/>
      <c r="I134" s="179"/>
      <c r="J134" s="179"/>
      <c r="K134" s="179"/>
      <c r="L134" s="179"/>
      <c r="M134" s="179"/>
      <c r="N134" s="179"/>
      <c r="O134" s="179"/>
      <c r="P134" s="179"/>
      <c r="Q134" s="179"/>
      <c r="R134" s="179"/>
      <c r="S134" s="179"/>
      <c r="T134" s="179"/>
      <c r="U134" s="179"/>
      <c r="V134" s="199"/>
      <c r="W134" s="179"/>
      <c r="X134" s="5"/>
    </row>
    <row r="135" spans="1:24" ht="18" thickBot="1" x14ac:dyDescent="0.35">
      <c r="A135" s="194"/>
      <c r="B135" s="264" t="str">
        <f>B64</f>
        <v>PM12 INVESTOR REPORT QUARTER ENDING JANUARY 2012</v>
      </c>
      <c r="C135" s="195"/>
      <c r="D135" s="195"/>
      <c r="E135" s="195"/>
      <c r="F135" s="195"/>
      <c r="G135" s="195"/>
      <c r="H135" s="195"/>
      <c r="I135" s="195"/>
      <c r="J135" s="195"/>
      <c r="K135" s="195"/>
      <c r="L135" s="195"/>
      <c r="M135" s="195"/>
      <c r="N135" s="195"/>
      <c r="O135" s="195"/>
      <c r="P135" s="195"/>
      <c r="Q135" s="195"/>
      <c r="R135" s="195"/>
      <c r="S135" s="195"/>
      <c r="T135" s="195"/>
      <c r="U135" s="195"/>
      <c r="V135" s="207"/>
      <c r="W135" s="197"/>
      <c r="X135" s="5"/>
    </row>
    <row r="136" spans="1:24" ht="15.6" x14ac:dyDescent="0.3">
      <c r="A136" s="235"/>
      <c r="B136" s="392" t="s">
        <v>42</v>
      </c>
      <c r="C136" s="236"/>
      <c r="D136" s="236"/>
      <c r="E136" s="236"/>
      <c r="F136" s="236"/>
      <c r="G136" s="236"/>
      <c r="H136" s="236"/>
      <c r="I136" s="236"/>
      <c r="J136" s="236"/>
      <c r="K136" s="236"/>
      <c r="L136" s="236"/>
      <c r="M136" s="236"/>
      <c r="N136" s="236"/>
      <c r="O136" s="236"/>
      <c r="P136" s="236"/>
      <c r="Q136" s="236"/>
      <c r="R136" s="236"/>
      <c r="S136" s="236"/>
      <c r="T136" s="236"/>
      <c r="U136" s="236"/>
      <c r="V136" s="237"/>
      <c r="W136" s="236"/>
      <c r="X136" s="5"/>
    </row>
    <row r="137" spans="1:24" ht="15.6" x14ac:dyDescent="0.3">
      <c r="A137" s="177"/>
      <c r="B137" s="186"/>
      <c r="C137" s="179"/>
      <c r="D137" s="179"/>
      <c r="E137" s="179"/>
      <c r="F137" s="179"/>
      <c r="G137" s="179"/>
      <c r="H137" s="179"/>
      <c r="I137" s="179"/>
      <c r="J137" s="179"/>
      <c r="K137" s="179"/>
      <c r="L137" s="179"/>
      <c r="M137" s="179"/>
      <c r="N137" s="179"/>
      <c r="O137" s="179"/>
      <c r="P137" s="179"/>
      <c r="Q137" s="179"/>
      <c r="R137" s="179"/>
      <c r="S137" s="179"/>
      <c r="T137" s="179"/>
      <c r="U137" s="179"/>
      <c r="V137" s="199"/>
      <c r="W137" s="179"/>
      <c r="X137" s="5"/>
    </row>
    <row r="138" spans="1:24" ht="15.6" x14ac:dyDescent="0.3">
      <c r="A138" s="177"/>
      <c r="B138" s="208" t="s">
        <v>43</v>
      </c>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278"/>
      <c r="B139" s="279" t="s">
        <v>44</v>
      </c>
      <c r="C139" s="279"/>
      <c r="D139" s="279"/>
      <c r="E139" s="279"/>
      <c r="F139" s="279"/>
      <c r="G139" s="279"/>
      <c r="H139" s="279"/>
      <c r="I139" s="279"/>
      <c r="J139" s="279"/>
      <c r="K139" s="279"/>
      <c r="L139" s="279"/>
      <c r="M139" s="279"/>
      <c r="N139" s="279"/>
      <c r="O139" s="279"/>
      <c r="P139" s="279"/>
      <c r="Q139" s="279"/>
      <c r="R139" s="279"/>
      <c r="S139" s="279"/>
      <c r="T139" s="279"/>
      <c r="U139" s="279"/>
      <c r="V139" s="330">
        <f>+V34*0.019</f>
        <v>28503.895</v>
      </c>
      <c r="W139" s="310"/>
      <c r="X139" s="5"/>
    </row>
    <row r="140" spans="1:24" ht="15.6" x14ac:dyDescent="0.3">
      <c r="A140" s="278"/>
      <c r="B140" s="279" t="s">
        <v>45</v>
      </c>
      <c r="C140" s="279"/>
      <c r="D140" s="279"/>
      <c r="E140" s="279"/>
      <c r="F140" s="279"/>
      <c r="G140" s="279"/>
      <c r="H140" s="279"/>
      <c r="I140" s="279"/>
      <c r="J140" s="279"/>
      <c r="K140" s="279"/>
      <c r="L140" s="279"/>
      <c r="M140" s="279"/>
      <c r="N140" s="279"/>
      <c r="O140" s="279"/>
      <c r="P140" s="279"/>
      <c r="Q140" s="279"/>
      <c r="R140" s="279"/>
      <c r="S140" s="279"/>
      <c r="T140" s="279"/>
      <c r="U140" s="279"/>
      <c r="V140" s="330">
        <v>28504</v>
      </c>
      <c r="W140" s="310"/>
      <c r="X140" s="5"/>
    </row>
    <row r="141" spans="1:24" ht="15.6" x14ac:dyDescent="0.3">
      <c r="A141" s="278"/>
      <c r="B141" s="279" t="s">
        <v>141</v>
      </c>
      <c r="C141" s="279"/>
      <c r="D141" s="279"/>
      <c r="E141" s="279"/>
      <c r="F141" s="279"/>
      <c r="G141" s="279"/>
      <c r="H141" s="279"/>
      <c r="I141" s="279"/>
      <c r="J141" s="279"/>
      <c r="K141" s="279"/>
      <c r="L141" s="279"/>
      <c r="M141" s="279"/>
      <c r="N141" s="279"/>
      <c r="O141" s="279"/>
      <c r="P141" s="279"/>
      <c r="Q141" s="279"/>
      <c r="R141" s="279"/>
      <c r="S141" s="279"/>
      <c r="T141" s="279"/>
      <c r="U141" s="279"/>
      <c r="V141" s="330">
        <v>0</v>
      </c>
      <c r="W141" s="310"/>
      <c r="X141" s="5"/>
    </row>
    <row r="142" spans="1:24" ht="15.6" x14ac:dyDescent="0.3">
      <c r="A142" s="278"/>
      <c r="B142" s="279" t="s">
        <v>128</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129</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181</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46</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134</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230</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c r="Y147" s="109"/>
    </row>
    <row r="148" spans="1:25" ht="15.6" x14ac:dyDescent="0.3">
      <c r="A148" s="278"/>
      <c r="B148" s="279" t="s">
        <v>47</v>
      </c>
      <c r="C148" s="279"/>
      <c r="D148" s="279"/>
      <c r="E148" s="279"/>
      <c r="F148" s="279"/>
      <c r="G148" s="279"/>
      <c r="H148" s="279"/>
      <c r="I148" s="279"/>
      <c r="J148" s="279"/>
      <c r="K148" s="279"/>
      <c r="L148" s="279"/>
      <c r="M148" s="279"/>
      <c r="N148" s="279"/>
      <c r="O148" s="279"/>
      <c r="P148" s="279"/>
      <c r="Q148" s="279"/>
      <c r="R148" s="279"/>
      <c r="S148" s="279"/>
      <c r="T148" s="279"/>
      <c r="U148" s="279"/>
      <c r="V148" s="330">
        <f>SUM(V140:V147)</f>
        <v>28504</v>
      </c>
      <c r="W148" s="310"/>
      <c r="X148" s="5"/>
    </row>
    <row r="149" spans="1:25" ht="15.6" x14ac:dyDescent="0.3">
      <c r="A149" s="278"/>
      <c r="B149" s="305"/>
      <c r="C149" s="305"/>
      <c r="D149" s="305"/>
      <c r="E149" s="305"/>
      <c r="F149" s="305"/>
      <c r="G149" s="305"/>
      <c r="H149" s="305"/>
      <c r="I149" s="305"/>
      <c r="J149" s="305"/>
      <c r="K149" s="305"/>
      <c r="L149" s="305"/>
      <c r="M149" s="305"/>
      <c r="N149" s="305"/>
      <c r="O149" s="305"/>
      <c r="P149" s="305"/>
      <c r="Q149" s="305"/>
      <c r="R149" s="305"/>
      <c r="S149" s="305"/>
      <c r="T149" s="305"/>
      <c r="U149" s="305"/>
      <c r="V149" s="335"/>
      <c r="W149" s="310"/>
      <c r="X149" s="5"/>
    </row>
    <row r="150" spans="1:25" ht="15.6" x14ac:dyDescent="0.3">
      <c r="A150" s="278"/>
      <c r="B150" s="333" t="s">
        <v>269</v>
      </c>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279" t="s">
        <v>160</v>
      </c>
      <c r="C151" s="279"/>
      <c r="D151" s="279"/>
      <c r="E151" s="279"/>
      <c r="F151" s="279"/>
      <c r="G151" s="279"/>
      <c r="H151" s="279"/>
      <c r="I151" s="279"/>
      <c r="J151" s="279"/>
      <c r="K151" s="279"/>
      <c r="L151" s="279"/>
      <c r="M151" s="279"/>
      <c r="N151" s="279"/>
      <c r="O151" s="279"/>
      <c r="P151" s="279"/>
      <c r="Q151" s="279"/>
      <c r="R151" s="279"/>
      <c r="S151" s="279"/>
      <c r="T151" s="279"/>
      <c r="U151" s="279"/>
      <c r="V151" s="330">
        <v>0</v>
      </c>
      <c r="W151" s="310"/>
      <c r="X151" s="5"/>
    </row>
    <row r="152" spans="1:25" ht="15.6" x14ac:dyDescent="0.3">
      <c r="A152" s="278"/>
      <c r="B152" s="279" t="s">
        <v>178</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270</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305"/>
      <c r="C154" s="305"/>
      <c r="D154" s="305"/>
      <c r="E154" s="305"/>
      <c r="F154" s="305"/>
      <c r="G154" s="305"/>
      <c r="H154" s="305"/>
      <c r="I154" s="305"/>
      <c r="J154" s="305"/>
      <c r="K154" s="305"/>
      <c r="L154" s="305"/>
      <c r="M154" s="305"/>
      <c r="N154" s="305"/>
      <c r="O154" s="305"/>
      <c r="P154" s="305"/>
      <c r="Q154" s="305"/>
      <c r="R154" s="305"/>
      <c r="S154" s="305"/>
      <c r="T154" s="305"/>
      <c r="U154" s="305"/>
      <c r="V154" s="335"/>
      <c r="W154" s="310"/>
      <c r="X154" s="5"/>
    </row>
    <row r="155" spans="1:25" ht="15.6" x14ac:dyDescent="0.3">
      <c r="A155" s="177"/>
      <c r="B155" s="275"/>
      <c r="C155" s="275"/>
      <c r="D155" s="275"/>
      <c r="E155" s="275"/>
      <c r="F155" s="275"/>
      <c r="G155" s="275"/>
      <c r="H155" s="275"/>
      <c r="I155" s="275"/>
      <c r="J155" s="275"/>
      <c r="K155" s="275"/>
      <c r="L155" s="275"/>
      <c r="M155" s="275"/>
      <c r="N155" s="275"/>
      <c r="O155" s="275"/>
      <c r="P155" s="275"/>
      <c r="Q155" s="275"/>
      <c r="R155" s="275"/>
      <c r="S155" s="275"/>
      <c r="T155" s="275"/>
      <c r="U155" s="275"/>
      <c r="V155" s="338"/>
      <c r="W155" s="275"/>
      <c r="X155" s="5"/>
    </row>
    <row r="156" spans="1:25" ht="15.6" x14ac:dyDescent="0.3">
      <c r="A156" s="177"/>
      <c r="B156" s="208" t="s">
        <v>24</v>
      </c>
      <c r="C156" s="179"/>
      <c r="D156" s="179"/>
      <c r="E156" s="179"/>
      <c r="F156" s="179"/>
      <c r="G156" s="179"/>
      <c r="H156" s="179"/>
      <c r="I156" s="179"/>
      <c r="J156" s="179"/>
      <c r="K156" s="179"/>
      <c r="L156" s="179"/>
      <c r="M156" s="179"/>
      <c r="N156" s="179"/>
      <c r="O156" s="179"/>
      <c r="P156" s="179"/>
      <c r="Q156" s="179"/>
      <c r="R156" s="179"/>
      <c r="S156" s="179"/>
      <c r="T156" s="179"/>
      <c r="U156" s="179"/>
      <c r="V156" s="199"/>
      <c r="W156" s="179"/>
      <c r="X156" s="5"/>
    </row>
    <row r="157" spans="1:25" ht="15.6" x14ac:dyDescent="0.3">
      <c r="A157" s="278"/>
      <c r="B157" s="279" t="s">
        <v>48</v>
      </c>
      <c r="C157" s="279"/>
      <c r="D157" s="279"/>
      <c r="E157" s="279"/>
      <c r="F157" s="279"/>
      <c r="G157" s="279"/>
      <c r="H157" s="279"/>
      <c r="I157" s="279"/>
      <c r="J157" s="279"/>
      <c r="K157" s="279"/>
      <c r="L157" s="279"/>
      <c r="M157" s="279"/>
      <c r="N157" s="279"/>
      <c r="O157" s="279"/>
      <c r="P157" s="279"/>
      <c r="Q157" s="279"/>
      <c r="R157" s="279"/>
      <c r="S157" s="279"/>
      <c r="T157" s="279"/>
      <c r="U157" s="279"/>
      <c r="V157" s="339" t="s">
        <v>123</v>
      </c>
      <c r="W157" s="282"/>
      <c r="X157" s="5"/>
    </row>
    <row r="158" spans="1:25" ht="15.6" x14ac:dyDescent="0.3">
      <c r="A158" s="278"/>
      <c r="B158" s="279" t="s">
        <v>49</v>
      </c>
      <c r="C158" s="281"/>
      <c r="D158" s="281"/>
      <c r="E158" s="281"/>
      <c r="F158" s="281"/>
      <c r="G158" s="281"/>
      <c r="H158" s="281"/>
      <c r="I158" s="281"/>
      <c r="J158" s="281"/>
      <c r="K158" s="281"/>
      <c r="L158" s="281"/>
      <c r="M158" s="281"/>
      <c r="N158" s="281"/>
      <c r="O158" s="281"/>
      <c r="P158" s="281"/>
      <c r="Q158" s="281"/>
      <c r="R158" s="281"/>
      <c r="S158" s="281"/>
      <c r="T158" s="281"/>
      <c r="U158" s="281"/>
      <c r="V158" s="339" t="s">
        <v>123</v>
      </c>
      <c r="W158" s="282"/>
      <c r="X158" s="5"/>
    </row>
    <row r="159" spans="1:25" ht="15.6" x14ac:dyDescent="0.3">
      <c r="A159" s="278"/>
      <c r="B159" s="279" t="s">
        <v>50</v>
      </c>
      <c r="C159" s="279"/>
      <c r="D159" s="279"/>
      <c r="E159" s="279"/>
      <c r="F159" s="279"/>
      <c r="G159" s="279"/>
      <c r="H159" s="279"/>
      <c r="I159" s="279"/>
      <c r="J159" s="279"/>
      <c r="K159" s="279"/>
      <c r="L159" s="279"/>
      <c r="M159" s="279"/>
      <c r="N159" s="279"/>
      <c r="O159" s="279"/>
      <c r="P159" s="279"/>
      <c r="Q159" s="279"/>
      <c r="R159" s="279"/>
      <c r="S159" s="279"/>
      <c r="T159" s="279"/>
      <c r="U159" s="279"/>
      <c r="V159" s="339" t="s">
        <v>123</v>
      </c>
      <c r="W159" s="282"/>
      <c r="X159" s="5"/>
    </row>
    <row r="160" spans="1:25" ht="15.6" x14ac:dyDescent="0.3">
      <c r="A160" s="278"/>
      <c r="B160" s="279" t="s">
        <v>51</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177"/>
      <c r="B161" s="275"/>
      <c r="C161" s="275"/>
      <c r="D161" s="275"/>
      <c r="E161" s="275"/>
      <c r="F161" s="275"/>
      <c r="G161" s="275"/>
      <c r="H161" s="275"/>
      <c r="I161" s="275"/>
      <c r="J161" s="275"/>
      <c r="K161" s="275"/>
      <c r="L161" s="275"/>
      <c r="M161" s="275"/>
      <c r="N161" s="275"/>
      <c r="O161" s="275"/>
      <c r="P161" s="275"/>
      <c r="Q161" s="275"/>
      <c r="R161" s="275"/>
      <c r="S161" s="275"/>
      <c r="T161" s="275"/>
      <c r="U161" s="275"/>
      <c r="V161" s="338"/>
      <c r="W161" s="275"/>
      <c r="X161" s="5"/>
    </row>
    <row r="162" spans="1:24" ht="15.6" x14ac:dyDescent="0.3">
      <c r="A162" s="177"/>
      <c r="B162" s="208" t="s">
        <v>52</v>
      </c>
      <c r="C162" s="179"/>
      <c r="D162" s="179"/>
      <c r="E162" s="179"/>
      <c r="F162" s="179"/>
      <c r="G162" s="179"/>
      <c r="H162" s="179"/>
      <c r="I162" s="179"/>
      <c r="J162" s="179"/>
      <c r="K162" s="179"/>
      <c r="L162" s="179"/>
      <c r="M162" s="179"/>
      <c r="N162" s="179"/>
      <c r="O162" s="179"/>
      <c r="P162" s="179"/>
      <c r="Q162" s="179"/>
      <c r="R162" s="179"/>
      <c r="S162" s="179"/>
      <c r="T162" s="179"/>
      <c r="U162" s="179"/>
      <c r="V162" s="209"/>
      <c r="W162" s="179"/>
      <c r="X162" s="5"/>
    </row>
    <row r="163" spans="1:24" ht="15.6" x14ac:dyDescent="0.3">
      <c r="A163" s="278"/>
      <c r="B163" s="279" t="s">
        <v>53</v>
      </c>
      <c r="C163" s="279"/>
      <c r="D163" s="279"/>
      <c r="E163" s="279"/>
      <c r="F163" s="279"/>
      <c r="G163" s="279"/>
      <c r="H163" s="279"/>
      <c r="I163" s="279"/>
      <c r="J163" s="279"/>
      <c r="K163" s="279"/>
      <c r="L163" s="279"/>
      <c r="M163" s="279"/>
      <c r="N163" s="279"/>
      <c r="O163" s="279"/>
      <c r="P163" s="279"/>
      <c r="Q163" s="279"/>
      <c r="R163" s="279"/>
      <c r="S163" s="279"/>
      <c r="T163" s="279"/>
      <c r="U163" s="279"/>
      <c r="V163" s="330">
        <v>0</v>
      </c>
      <c r="W163" s="310"/>
      <c r="X163" s="5"/>
    </row>
    <row r="164" spans="1:24" ht="15.6" x14ac:dyDescent="0.3">
      <c r="A164" s="278"/>
      <c r="B164" s="279" t="s">
        <v>54</v>
      </c>
      <c r="C164" s="279"/>
      <c r="D164" s="279"/>
      <c r="E164" s="279"/>
      <c r="F164" s="279"/>
      <c r="G164" s="279"/>
      <c r="H164" s="279"/>
      <c r="I164" s="279"/>
      <c r="J164" s="279"/>
      <c r="K164" s="279"/>
      <c r="L164" s="279"/>
      <c r="M164" s="279"/>
      <c r="N164" s="279"/>
      <c r="O164" s="279"/>
      <c r="P164" s="279"/>
      <c r="Q164" s="279"/>
      <c r="R164" s="279"/>
      <c r="S164" s="279"/>
      <c r="T164" s="279"/>
      <c r="U164" s="279"/>
      <c r="V164" s="330">
        <f>-V113</f>
        <v>284</v>
      </c>
      <c r="W164" s="310"/>
      <c r="X164" s="5"/>
    </row>
    <row r="165" spans="1:24" ht="15.6" x14ac:dyDescent="0.3">
      <c r="A165" s="278"/>
      <c r="B165" s="279" t="s">
        <v>55</v>
      </c>
      <c r="C165" s="279"/>
      <c r="D165" s="279"/>
      <c r="E165" s="279"/>
      <c r="F165" s="279"/>
      <c r="G165" s="279"/>
      <c r="H165" s="279"/>
      <c r="I165" s="279"/>
      <c r="J165" s="279"/>
      <c r="K165" s="279"/>
      <c r="L165" s="279"/>
      <c r="M165" s="279"/>
      <c r="N165" s="279"/>
      <c r="O165" s="279"/>
      <c r="P165" s="279"/>
      <c r="Q165" s="279"/>
      <c r="R165" s="279"/>
      <c r="S165" s="279"/>
      <c r="T165" s="279"/>
      <c r="U165" s="279"/>
      <c r="V165" s="330">
        <f>V164+V163</f>
        <v>284</v>
      </c>
      <c r="W165" s="310"/>
      <c r="X165" s="5"/>
    </row>
    <row r="166" spans="1:24" ht="15.6" x14ac:dyDescent="0.3">
      <c r="A166" s="278"/>
      <c r="B166" s="399" t="s">
        <v>310</v>
      </c>
      <c r="C166" s="279"/>
      <c r="D166" s="279"/>
      <c r="E166" s="279"/>
      <c r="F166" s="279"/>
      <c r="G166" s="279"/>
      <c r="H166" s="279"/>
      <c r="I166" s="279"/>
      <c r="J166" s="279"/>
      <c r="K166" s="279"/>
      <c r="L166" s="279"/>
      <c r="M166" s="279"/>
      <c r="N166" s="279"/>
      <c r="O166" s="279"/>
      <c r="P166" s="279"/>
      <c r="Q166" s="279"/>
      <c r="R166" s="279"/>
      <c r="S166" s="279"/>
      <c r="T166" s="279"/>
      <c r="U166" s="279"/>
      <c r="V166" s="330">
        <f>V113</f>
        <v>-284</v>
      </c>
      <c r="W166" s="310"/>
      <c r="X166" s="5"/>
    </row>
    <row r="167" spans="1:24" ht="15.6" x14ac:dyDescent="0.3">
      <c r="A167" s="278"/>
      <c r="B167" s="279" t="s">
        <v>56</v>
      </c>
      <c r="C167" s="279"/>
      <c r="D167" s="279"/>
      <c r="E167" s="279"/>
      <c r="F167" s="279"/>
      <c r="G167" s="279"/>
      <c r="H167" s="279"/>
      <c r="I167" s="279"/>
      <c r="J167" s="279"/>
      <c r="K167" s="279"/>
      <c r="L167" s="279"/>
      <c r="M167" s="279"/>
      <c r="N167" s="279"/>
      <c r="O167" s="279"/>
      <c r="P167" s="279"/>
      <c r="Q167" s="279"/>
      <c r="R167" s="279"/>
      <c r="S167" s="279"/>
      <c r="T167" s="279"/>
      <c r="U167" s="279"/>
      <c r="V167" s="330">
        <f>V165+V166</f>
        <v>0</v>
      </c>
      <c r="W167" s="310"/>
      <c r="X167" s="5"/>
    </row>
    <row r="168" spans="1:24" ht="15.6" x14ac:dyDescent="0.3">
      <c r="A168" s="278"/>
      <c r="B168" s="279" t="s">
        <v>282</v>
      </c>
      <c r="C168" s="279"/>
      <c r="D168" s="279"/>
      <c r="E168" s="279"/>
      <c r="F168" s="279"/>
      <c r="G168" s="279"/>
      <c r="H168" s="279"/>
      <c r="I168" s="279"/>
      <c r="J168" s="279"/>
      <c r="K168" s="279"/>
      <c r="L168" s="279"/>
      <c r="M168" s="279"/>
      <c r="N168" s="279"/>
      <c r="O168" s="279"/>
      <c r="P168" s="279"/>
      <c r="Q168" s="279"/>
      <c r="R168" s="279"/>
      <c r="S168" s="279"/>
      <c r="T168" s="279"/>
      <c r="U168" s="279"/>
      <c r="V168" s="330">
        <v>0</v>
      </c>
      <c r="W168" s="310"/>
      <c r="X168" s="5"/>
    </row>
    <row r="169" spans="1:24" ht="16.2" thickBot="1" x14ac:dyDescent="0.35">
      <c r="A169" s="177"/>
      <c r="B169" s="275"/>
      <c r="C169" s="275"/>
      <c r="D169" s="275"/>
      <c r="E169" s="275"/>
      <c r="F169" s="275"/>
      <c r="G169" s="275"/>
      <c r="H169" s="275"/>
      <c r="I169" s="275"/>
      <c r="J169" s="275"/>
      <c r="K169" s="275"/>
      <c r="L169" s="275"/>
      <c r="M169" s="275"/>
      <c r="N169" s="275"/>
      <c r="O169" s="275"/>
      <c r="P169" s="275"/>
      <c r="Q169" s="275"/>
      <c r="R169" s="275"/>
      <c r="S169" s="275"/>
      <c r="T169" s="275"/>
      <c r="U169" s="275"/>
      <c r="V169" s="338"/>
      <c r="W169" s="275"/>
      <c r="X169" s="5"/>
    </row>
    <row r="170" spans="1:24"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76"/>
      <c r="U170" s="176"/>
      <c r="V170" s="198"/>
      <c r="W170" s="176"/>
      <c r="X170" s="5"/>
    </row>
    <row r="171" spans="1:24" ht="15.6" x14ac:dyDescent="0.3">
      <c r="A171" s="177"/>
      <c r="B171" s="208" t="s">
        <v>57</v>
      </c>
      <c r="C171" s="179"/>
      <c r="D171" s="179"/>
      <c r="E171" s="179"/>
      <c r="F171" s="179"/>
      <c r="G171" s="179"/>
      <c r="H171" s="179"/>
      <c r="I171" s="179"/>
      <c r="J171" s="179"/>
      <c r="K171" s="179"/>
      <c r="L171" s="179"/>
      <c r="M171" s="179"/>
      <c r="N171" s="179"/>
      <c r="O171" s="179"/>
      <c r="P171" s="179"/>
      <c r="Q171" s="179"/>
      <c r="R171" s="179"/>
      <c r="S171" s="179"/>
      <c r="T171" s="179"/>
      <c r="U171" s="179"/>
      <c r="V171" s="199"/>
      <c r="W171" s="179"/>
      <c r="X171" s="5"/>
    </row>
    <row r="172" spans="1:24" ht="15.6" x14ac:dyDescent="0.3">
      <c r="A172" s="177"/>
      <c r="B172" s="186"/>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278"/>
      <c r="B173" s="279" t="s">
        <v>58</v>
      </c>
      <c r="C173" s="279"/>
      <c r="D173" s="279"/>
      <c r="E173" s="279"/>
      <c r="F173" s="279"/>
      <c r="G173" s="279"/>
      <c r="H173" s="279"/>
      <c r="I173" s="279"/>
      <c r="J173" s="279"/>
      <c r="K173" s="279"/>
      <c r="L173" s="279"/>
      <c r="M173" s="279"/>
      <c r="N173" s="279"/>
      <c r="O173" s="279"/>
      <c r="P173" s="279"/>
      <c r="Q173" s="279"/>
      <c r="R173" s="279"/>
      <c r="S173" s="279"/>
      <c r="T173" s="279"/>
      <c r="U173" s="279"/>
      <c r="V173" s="330">
        <f>V71</f>
        <v>991483</v>
      </c>
      <c r="W173" s="282"/>
      <c r="X173" s="5"/>
    </row>
    <row r="174" spans="1:24" ht="15.6" x14ac:dyDescent="0.3">
      <c r="A174" s="278"/>
      <c r="B174" s="279" t="s">
        <v>59</v>
      </c>
      <c r="C174" s="279"/>
      <c r="D174" s="279"/>
      <c r="E174" s="279"/>
      <c r="F174" s="279"/>
      <c r="G174" s="279"/>
      <c r="H174" s="279"/>
      <c r="I174" s="279"/>
      <c r="J174" s="279"/>
      <c r="K174" s="279"/>
      <c r="L174" s="279"/>
      <c r="M174" s="279"/>
      <c r="N174" s="279"/>
      <c r="O174" s="279"/>
      <c r="P174" s="279"/>
      <c r="Q174" s="279"/>
      <c r="R174" s="279"/>
      <c r="S174" s="279"/>
      <c r="T174" s="279"/>
      <c r="U174" s="279"/>
      <c r="V174" s="330">
        <f>V84</f>
        <v>991483</v>
      </c>
      <c r="W174" s="282"/>
      <c r="X174" s="5"/>
    </row>
    <row r="175" spans="1:24" ht="16.2" thickBot="1" x14ac:dyDescent="0.35">
      <c r="A175" s="177"/>
      <c r="B175" s="275"/>
      <c r="C175" s="275"/>
      <c r="D175" s="275"/>
      <c r="E175" s="275"/>
      <c r="F175" s="275"/>
      <c r="G175" s="275"/>
      <c r="H175" s="275"/>
      <c r="I175" s="275"/>
      <c r="J175" s="275"/>
      <c r="K175" s="275"/>
      <c r="L175" s="275"/>
      <c r="M175" s="275"/>
      <c r="N175" s="275"/>
      <c r="O175" s="275"/>
      <c r="P175" s="275"/>
      <c r="Q175" s="275"/>
      <c r="R175" s="275"/>
      <c r="S175" s="275"/>
      <c r="T175" s="275"/>
      <c r="U175" s="275"/>
      <c r="V175" s="338"/>
      <c r="W175" s="275"/>
      <c r="X175" s="5"/>
    </row>
    <row r="176" spans="1:24"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76"/>
      <c r="U176" s="176"/>
      <c r="V176" s="198"/>
      <c r="W176" s="176"/>
      <c r="X176" s="5"/>
    </row>
    <row r="177" spans="1:24" ht="15.6" x14ac:dyDescent="0.3">
      <c r="A177" s="177"/>
      <c r="B177" s="208" t="s">
        <v>60</v>
      </c>
      <c r="C177" s="203"/>
      <c r="D177" s="203"/>
      <c r="E177" s="203"/>
      <c r="F177" s="203"/>
      <c r="G177" s="203"/>
      <c r="H177" s="210"/>
      <c r="I177" s="210"/>
      <c r="J177" s="210"/>
      <c r="K177" s="210"/>
      <c r="L177" s="210"/>
      <c r="M177" s="210"/>
      <c r="N177" s="210"/>
      <c r="O177" s="210"/>
      <c r="P177" s="210"/>
      <c r="Q177" s="210"/>
      <c r="R177" s="210"/>
      <c r="S177" s="210" t="s">
        <v>103</v>
      </c>
      <c r="T177" s="210" t="s">
        <v>182</v>
      </c>
      <c r="U177" s="181"/>
      <c r="V177" s="211" t="s">
        <v>119</v>
      </c>
      <c r="W177" s="212"/>
      <c r="X177" s="5"/>
    </row>
    <row r="178" spans="1:24" ht="15.6" x14ac:dyDescent="0.3">
      <c r="A178" s="278"/>
      <c r="B178" s="279" t="s">
        <v>61</v>
      </c>
      <c r="C178" s="279"/>
      <c r="D178" s="279"/>
      <c r="E178" s="279"/>
      <c r="F178" s="279"/>
      <c r="G178" s="279"/>
      <c r="H178" s="279"/>
      <c r="I178" s="279"/>
      <c r="J178" s="279"/>
      <c r="K178" s="279"/>
      <c r="L178" s="279"/>
      <c r="M178" s="279"/>
      <c r="N178" s="279"/>
      <c r="O178" s="279"/>
      <c r="P178" s="279"/>
      <c r="Q178" s="279"/>
      <c r="R178" s="279"/>
      <c r="S178" s="330">
        <f>+V34*0.16</f>
        <v>240032.80000000002</v>
      </c>
      <c r="T178" s="317"/>
      <c r="U178" s="279"/>
      <c r="V178" s="330"/>
      <c r="W178" s="310"/>
      <c r="X178" s="5"/>
    </row>
    <row r="179" spans="1:24" ht="15.6" x14ac:dyDescent="0.3">
      <c r="A179" s="278"/>
      <c r="B179" s="279" t="s">
        <v>62</v>
      </c>
      <c r="C179" s="279"/>
      <c r="D179" s="279"/>
      <c r="E179" s="279"/>
      <c r="F179" s="279"/>
      <c r="G179" s="279"/>
      <c r="H179" s="279"/>
      <c r="I179" s="279"/>
      <c r="J179" s="279"/>
      <c r="K179" s="279"/>
      <c r="L179" s="279"/>
      <c r="M179" s="279"/>
      <c r="N179" s="279"/>
      <c r="O179" s="279"/>
      <c r="P179" s="279"/>
      <c r="Q179" s="279"/>
      <c r="R179" s="279"/>
      <c r="S179" s="330">
        <f>+'Oct 11'!S181</f>
        <v>48483</v>
      </c>
      <c r="T179" s="330">
        <f>+'Oct 11'!T181</f>
        <v>6352</v>
      </c>
      <c r="U179" s="279"/>
      <c r="V179" s="330">
        <f>S179+T179</f>
        <v>54835</v>
      </c>
      <c r="W179" s="310"/>
      <c r="X179" s="5"/>
    </row>
    <row r="180" spans="1:24" ht="15.6" x14ac:dyDescent="0.3">
      <c r="A180" s="278"/>
      <c r="B180" s="279" t="s">
        <v>63</v>
      </c>
      <c r="C180" s="279"/>
      <c r="D180" s="279"/>
      <c r="E180" s="279"/>
      <c r="F180" s="279"/>
      <c r="G180" s="279"/>
      <c r="H180" s="279"/>
      <c r="I180" s="279"/>
      <c r="J180" s="279"/>
      <c r="K180" s="279"/>
      <c r="L180" s="279"/>
      <c r="M180" s="279"/>
      <c r="N180" s="279"/>
      <c r="O180" s="279"/>
      <c r="P180" s="279"/>
      <c r="Q180" s="279"/>
      <c r="R180" s="279"/>
      <c r="S180" s="329">
        <v>0</v>
      </c>
      <c r="T180" s="329">
        <v>10</v>
      </c>
      <c r="U180" s="279"/>
      <c r="V180" s="330">
        <f>S180+T180</f>
        <v>10</v>
      </c>
      <c r="W180" s="310"/>
      <c r="X180" s="5"/>
    </row>
    <row r="181" spans="1:24" ht="15.6" x14ac:dyDescent="0.3">
      <c r="A181" s="278"/>
      <c r="B181" s="279" t="s">
        <v>64</v>
      </c>
      <c r="C181" s="279"/>
      <c r="D181" s="279"/>
      <c r="E181" s="279"/>
      <c r="F181" s="279"/>
      <c r="G181" s="279"/>
      <c r="H181" s="279"/>
      <c r="I181" s="279"/>
      <c r="J181" s="279"/>
      <c r="K181" s="279"/>
      <c r="L181" s="279"/>
      <c r="M181" s="279"/>
      <c r="N181" s="279"/>
      <c r="O181" s="279"/>
      <c r="P181" s="279"/>
      <c r="Q181" s="279"/>
      <c r="R181" s="279"/>
      <c r="S181" s="330">
        <f>S179+S180</f>
        <v>48483</v>
      </c>
      <c r="T181" s="330">
        <f>T180+T179</f>
        <v>6362</v>
      </c>
      <c r="U181" s="279"/>
      <c r="V181" s="330">
        <f>S181+T181</f>
        <v>54845</v>
      </c>
      <c r="W181" s="310"/>
      <c r="X181" s="5"/>
    </row>
    <row r="182" spans="1:24" ht="15.6" x14ac:dyDescent="0.3">
      <c r="A182" s="278"/>
      <c r="B182" s="279" t="s">
        <v>65</v>
      </c>
      <c r="C182" s="279"/>
      <c r="D182" s="279"/>
      <c r="E182" s="279"/>
      <c r="F182" s="279"/>
      <c r="G182" s="279"/>
      <c r="H182" s="279"/>
      <c r="I182" s="279"/>
      <c r="J182" s="279"/>
      <c r="K182" s="279"/>
      <c r="L182" s="279"/>
      <c r="M182" s="279"/>
      <c r="N182" s="279"/>
      <c r="O182" s="279"/>
      <c r="P182" s="279"/>
      <c r="Q182" s="279"/>
      <c r="R182" s="279"/>
      <c r="S182" s="330">
        <f>S178-S181-T181</f>
        <v>185187.80000000002</v>
      </c>
      <c r="T182" s="317"/>
      <c r="U182" s="279"/>
      <c r="V182" s="330"/>
      <c r="W182" s="310"/>
      <c r="X182" s="5"/>
    </row>
    <row r="183" spans="1:24" ht="16.2" thickBot="1" x14ac:dyDescent="0.35">
      <c r="A183" s="177"/>
      <c r="B183" s="275"/>
      <c r="C183" s="275"/>
      <c r="D183" s="275"/>
      <c r="E183" s="275"/>
      <c r="F183" s="275"/>
      <c r="G183" s="275"/>
      <c r="H183" s="275"/>
      <c r="I183" s="275"/>
      <c r="J183" s="275"/>
      <c r="K183" s="275"/>
      <c r="L183" s="275"/>
      <c r="M183" s="275"/>
      <c r="N183" s="275"/>
      <c r="O183" s="275"/>
      <c r="P183" s="275"/>
      <c r="Q183" s="275"/>
      <c r="R183" s="275"/>
      <c r="S183" s="275"/>
      <c r="T183" s="275"/>
      <c r="U183" s="275"/>
      <c r="V183" s="338"/>
      <c r="W183" s="275"/>
      <c r="X183" s="5"/>
    </row>
    <row r="184" spans="1:24"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76"/>
      <c r="U184" s="176"/>
      <c r="V184" s="198"/>
      <c r="W184" s="176"/>
      <c r="X184" s="5"/>
    </row>
    <row r="185" spans="1:24" ht="15.6" x14ac:dyDescent="0.3">
      <c r="A185" s="177"/>
      <c r="B185" s="208" t="s">
        <v>66</v>
      </c>
      <c r="C185" s="179"/>
      <c r="D185" s="179"/>
      <c r="E185" s="179"/>
      <c r="F185" s="179"/>
      <c r="G185" s="179"/>
      <c r="H185" s="179"/>
      <c r="I185" s="179"/>
      <c r="J185" s="179"/>
      <c r="K185" s="179"/>
      <c r="L185" s="179"/>
      <c r="M185" s="179"/>
      <c r="N185" s="179"/>
      <c r="O185" s="179"/>
      <c r="P185" s="179"/>
      <c r="Q185" s="179"/>
      <c r="R185" s="179"/>
      <c r="S185" s="179"/>
      <c r="T185" s="179"/>
      <c r="U185" s="179"/>
      <c r="V185" s="213"/>
      <c r="W185" s="179"/>
      <c r="X185" s="5"/>
    </row>
    <row r="186" spans="1:24" ht="15.6" x14ac:dyDescent="0.3">
      <c r="A186" s="278"/>
      <c r="B186" s="279" t="s">
        <v>67</v>
      </c>
      <c r="C186" s="279"/>
      <c r="D186" s="279"/>
      <c r="E186" s="279"/>
      <c r="F186" s="279"/>
      <c r="G186" s="279"/>
      <c r="H186" s="279"/>
      <c r="I186" s="279"/>
      <c r="J186" s="279"/>
      <c r="K186" s="279"/>
      <c r="L186" s="279"/>
      <c r="M186" s="279"/>
      <c r="N186" s="279"/>
      <c r="O186" s="279"/>
      <c r="P186" s="279"/>
      <c r="Q186" s="279"/>
      <c r="R186" s="279"/>
      <c r="S186" s="279"/>
      <c r="T186" s="279"/>
      <c r="U186" s="279"/>
      <c r="V186" s="339">
        <f>(V100+V102+V103+V104+V105)/-(V106+V107)</f>
        <v>3.1574968500629987</v>
      </c>
      <c r="W186" s="282" t="s">
        <v>120</v>
      </c>
      <c r="X186" s="5"/>
    </row>
    <row r="187" spans="1:24" ht="15.6" x14ac:dyDescent="0.3">
      <c r="A187" s="278"/>
      <c r="B187" s="279" t="s">
        <v>68</v>
      </c>
      <c r="C187" s="279"/>
      <c r="D187" s="279"/>
      <c r="E187" s="279"/>
      <c r="F187" s="279"/>
      <c r="G187" s="279"/>
      <c r="H187" s="279"/>
      <c r="I187" s="279"/>
      <c r="J187" s="279"/>
      <c r="K187" s="279"/>
      <c r="L187" s="279"/>
      <c r="M187" s="279"/>
      <c r="N187" s="279"/>
      <c r="O187" s="279"/>
      <c r="P187" s="279"/>
      <c r="Q187" s="279"/>
      <c r="R187" s="279"/>
      <c r="S187" s="279"/>
      <c r="T187" s="279"/>
      <c r="U187" s="279"/>
      <c r="V187" s="341">
        <v>1.59</v>
      </c>
      <c r="W187" s="282" t="s">
        <v>120</v>
      </c>
      <c r="X187" s="5"/>
    </row>
    <row r="188" spans="1:24" ht="15.6" x14ac:dyDescent="0.3">
      <c r="A188" s="278"/>
      <c r="B188" s="279" t="s">
        <v>69</v>
      </c>
      <c r="C188" s="279"/>
      <c r="D188" s="279"/>
      <c r="E188" s="279"/>
      <c r="F188" s="279"/>
      <c r="G188" s="279"/>
      <c r="H188" s="279"/>
      <c r="I188" s="279"/>
      <c r="J188" s="279"/>
      <c r="K188" s="279"/>
      <c r="L188" s="279"/>
      <c r="M188" s="279"/>
      <c r="N188" s="279"/>
      <c r="O188" s="279"/>
      <c r="P188" s="279"/>
      <c r="Q188" s="279"/>
      <c r="R188" s="279"/>
      <c r="S188" s="279"/>
      <c r="T188" s="279"/>
      <c r="U188" s="279"/>
      <c r="V188" s="339">
        <f>(V100+V102+V103+V104+V105+V106+V107)/-(V108+V109)</f>
        <v>12.115566037735849</v>
      </c>
      <c r="W188" s="282" t="s">
        <v>120</v>
      </c>
      <c r="X188" s="5"/>
    </row>
    <row r="189" spans="1:24" ht="15.6" x14ac:dyDescent="0.3">
      <c r="A189" s="278"/>
      <c r="B189" s="279" t="s">
        <v>70</v>
      </c>
      <c r="C189" s="279"/>
      <c r="D189" s="279"/>
      <c r="E189" s="279"/>
      <c r="F189" s="279"/>
      <c r="G189" s="279"/>
      <c r="H189" s="279"/>
      <c r="I189" s="279"/>
      <c r="J189" s="279"/>
      <c r="K189" s="279"/>
      <c r="L189" s="279"/>
      <c r="M189" s="279"/>
      <c r="N189" s="279"/>
      <c r="O189" s="279"/>
      <c r="P189" s="279"/>
      <c r="Q189" s="279"/>
      <c r="R189" s="279"/>
      <c r="S189" s="279"/>
      <c r="T189" s="279"/>
      <c r="U189" s="279"/>
      <c r="V189" s="341">
        <v>5.53</v>
      </c>
      <c r="W189" s="282" t="s">
        <v>120</v>
      </c>
      <c r="X189" s="5"/>
    </row>
    <row r="190" spans="1:24" ht="15.6" x14ac:dyDescent="0.3">
      <c r="A190" s="278"/>
      <c r="B190" s="279" t="s">
        <v>204</v>
      </c>
      <c r="C190" s="279"/>
      <c r="D190" s="279"/>
      <c r="E190" s="279"/>
      <c r="F190" s="279"/>
      <c r="G190" s="279"/>
      <c r="H190" s="279"/>
      <c r="I190" s="279"/>
      <c r="J190" s="279"/>
      <c r="K190" s="279"/>
      <c r="L190" s="279"/>
      <c r="M190" s="279"/>
      <c r="N190" s="279"/>
      <c r="O190" s="279"/>
      <c r="P190" s="279"/>
      <c r="Q190" s="279"/>
      <c r="R190" s="279"/>
      <c r="S190" s="279"/>
      <c r="T190" s="279"/>
      <c r="U190" s="279"/>
      <c r="V190" s="339">
        <f>(V100+V102+V103+V104+V105+V106+V107+V108+V109)/-(V110+V111)</f>
        <v>10.567264573991032</v>
      </c>
      <c r="W190" s="282" t="s">
        <v>120</v>
      </c>
      <c r="X190" s="5"/>
    </row>
    <row r="191" spans="1:24" ht="15.6" x14ac:dyDescent="0.3">
      <c r="A191" s="278"/>
      <c r="B191" s="279" t="s">
        <v>205</v>
      </c>
      <c r="C191" s="279"/>
      <c r="D191" s="279"/>
      <c r="E191" s="279"/>
      <c r="F191" s="279"/>
      <c r="G191" s="279"/>
      <c r="H191" s="279"/>
      <c r="I191" s="279"/>
      <c r="J191" s="279"/>
      <c r="K191" s="279"/>
      <c r="L191" s="279"/>
      <c r="M191" s="279"/>
      <c r="N191" s="279"/>
      <c r="O191" s="279"/>
      <c r="P191" s="279"/>
      <c r="Q191" s="279"/>
      <c r="R191" s="279"/>
      <c r="S191" s="279"/>
      <c r="T191" s="279"/>
      <c r="U191" s="279"/>
      <c r="V191" s="341">
        <v>5.23</v>
      </c>
      <c r="W191" s="282" t="s">
        <v>120</v>
      </c>
      <c r="X191" s="5"/>
    </row>
    <row r="192" spans="1:24" ht="15.6" x14ac:dyDescent="0.3">
      <c r="A192" s="278"/>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82"/>
      <c r="X192" s="5"/>
    </row>
    <row r="193" spans="1:24" ht="15.6" x14ac:dyDescent="0.3">
      <c r="A193" s="177"/>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5"/>
    </row>
    <row r="194" spans="1:24" ht="15.6" x14ac:dyDescent="0.3">
      <c r="A194" s="177"/>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5"/>
    </row>
    <row r="195" spans="1:24" ht="18" thickBot="1" x14ac:dyDescent="0.35">
      <c r="A195" s="194"/>
      <c r="B195" s="264" t="str">
        <f>B135</f>
        <v>PM12 INVESTOR REPORT QUARTER ENDING JANUARY 2012</v>
      </c>
      <c r="C195" s="265"/>
      <c r="D195" s="265"/>
      <c r="E195" s="265"/>
      <c r="F195" s="265"/>
      <c r="G195" s="265"/>
      <c r="H195" s="265"/>
      <c r="I195" s="265"/>
      <c r="J195" s="265"/>
      <c r="K195" s="265"/>
      <c r="L195" s="265"/>
      <c r="M195" s="265"/>
      <c r="N195" s="265"/>
      <c r="O195" s="265"/>
      <c r="P195" s="265"/>
      <c r="Q195" s="265"/>
      <c r="R195" s="265"/>
      <c r="S195" s="265"/>
      <c r="T195" s="265"/>
      <c r="U195" s="265"/>
      <c r="V195" s="265"/>
      <c r="W195" s="266"/>
      <c r="X195" s="5"/>
    </row>
    <row r="196" spans="1:24" ht="15.6" x14ac:dyDescent="0.3">
      <c r="A196" s="235"/>
      <c r="B196" s="392" t="s">
        <v>71</v>
      </c>
      <c r="C196" s="393"/>
      <c r="D196" s="393"/>
      <c r="E196" s="393"/>
      <c r="F196" s="393"/>
      <c r="G196" s="394"/>
      <c r="H196" s="394"/>
      <c r="I196" s="394"/>
      <c r="J196" s="394"/>
      <c r="K196" s="394"/>
      <c r="L196" s="394"/>
      <c r="M196" s="394"/>
      <c r="N196" s="394"/>
      <c r="O196" s="394"/>
      <c r="P196" s="394"/>
      <c r="Q196" s="394"/>
      <c r="R196" s="394"/>
      <c r="S196" s="394"/>
      <c r="T196" s="394">
        <v>40939</v>
      </c>
      <c r="U196" s="236"/>
      <c r="V196" s="236"/>
      <c r="W196" s="236"/>
      <c r="X196" s="5"/>
    </row>
    <row r="197" spans="1:24" ht="15.6" x14ac:dyDescent="0.3">
      <c r="A197" s="214"/>
      <c r="B197" s="215"/>
      <c r="C197" s="216"/>
      <c r="D197" s="216"/>
      <c r="E197" s="216"/>
      <c r="F197" s="216"/>
      <c r="G197" s="217"/>
      <c r="H197" s="217"/>
      <c r="I197" s="217"/>
      <c r="J197" s="217"/>
      <c r="K197" s="217"/>
      <c r="L197" s="217"/>
      <c r="M197" s="217"/>
      <c r="N197" s="217"/>
      <c r="O197" s="217"/>
      <c r="P197" s="217"/>
      <c r="Q197" s="217"/>
      <c r="R197" s="217"/>
      <c r="S197" s="217"/>
      <c r="T197" s="217"/>
      <c r="U197" s="179"/>
      <c r="V197" s="179"/>
      <c r="W197" s="179"/>
      <c r="X197" s="5"/>
    </row>
    <row r="198" spans="1:24" ht="15.6" x14ac:dyDescent="0.3">
      <c r="A198" s="344"/>
      <c r="B198" s="279" t="s">
        <v>72</v>
      </c>
      <c r="C198" s="395"/>
      <c r="D198" s="395"/>
      <c r="E198" s="395"/>
      <c r="F198" s="395"/>
      <c r="G198" s="386"/>
      <c r="H198" s="386"/>
      <c r="I198" s="386"/>
      <c r="J198" s="386"/>
      <c r="K198" s="386"/>
      <c r="L198" s="386"/>
      <c r="M198" s="386"/>
      <c r="N198" s="386"/>
      <c r="O198" s="386"/>
      <c r="P198" s="386"/>
      <c r="Q198" s="386"/>
      <c r="R198" s="386"/>
      <c r="S198" s="386"/>
      <c r="T198" s="313">
        <v>5.2060000000000002E-2</v>
      </c>
      <c r="U198" s="279"/>
      <c r="V198" s="279"/>
      <c r="W198" s="310"/>
      <c r="X198" s="5"/>
    </row>
    <row r="199" spans="1:24" ht="15.6" x14ac:dyDescent="0.3">
      <c r="A199" s="344"/>
      <c r="B199" s="279" t="s">
        <v>156</v>
      </c>
      <c r="C199" s="395"/>
      <c r="D199" s="395"/>
      <c r="E199" s="395"/>
      <c r="F199" s="395"/>
      <c r="G199" s="386"/>
      <c r="H199" s="386"/>
      <c r="I199" s="386"/>
      <c r="J199" s="386"/>
      <c r="K199" s="386"/>
      <c r="L199" s="386"/>
      <c r="M199" s="386"/>
      <c r="N199" s="386"/>
      <c r="O199" s="386"/>
      <c r="P199" s="386"/>
      <c r="Q199" s="386"/>
      <c r="R199" s="386"/>
      <c r="S199" s="386"/>
      <c r="T199" s="313">
        <f>'Oct 06'!T197</f>
        <v>4.8538814772447772E-2</v>
      </c>
      <c r="U199" s="279"/>
      <c r="V199" s="279"/>
      <c r="W199" s="310"/>
      <c r="X199" s="5"/>
    </row>
    <row r="200" spans="1:24" ht="15.6" x14ac:dyDescent="0.3">
      <c r="A200" s="344"/>
      <c r="B200" s="279" t="s">
        <v>73</v>
      </c>
      <c r="C200" s="395"/>
      <c r="D200" s="395"/>
      <c r="E200" s="395"/>
      <c r="F200" s="395"/>
      <c r="G200" s="386"/>
      <c r="H200" s="386"/>
      <c r="I200" s="386"/>
      <c r="J200" s="386"/>
      <c r="K200" s="386"/>
      <c r="L200" s="386"/>
      <c r="M200" s="386"/>
      <c r="N200" s="386"/>
      <c r="O200" s="386"/>
      <c r="P200" s="386"/>
      <c r="Q200" s="386"/>
      <c r="R200" s="386"/>
      <c r="S200" s="386"/>
      <c r="T200" s="313">
        <f>T198-T199</f>
        <v>3.5211852275522301E-3</v>
      </c>
      <c r="U200" s="279"/>
      <c r="V200" s="279"/>
      <c r="W200" s="310"/>
      <c r="X200" s="5"/>
    </row>
    <row r="201" spans="1:24" ht="15.6" x14ac:dyDescent="0.3">
      <c r="A201" s="344"/>
      <c r="B201" s="279" t="s">
        <v>74</v>
      </c>
      <c r="C201" s="395"/>
      <c r="D201" s="395"/>
      <c r="E201" s="395"/>
      <c r="F201" s="395"/>
      <c r="G201" s="386"/>
      <c r="H201" s="386"/>
      <c r="I201" s="386"/>
      <c r="J201" s="386"/>
      <c r="K201" s="386"/>
      <c r="L201" s="386"/>
      <c r="M201" s="386"/>
      <c r="N201" s="386"/>
      <c r="O201" s="386"/>
      <c r="P201" s="386"/>
      <c r="Q201" s="386"/>
      <c r="R201" s="386"/>
      <c r="S201" s="386"/>
      <c r="T201" s="313">
        <v>2.7269999999999999E-2</v>
      </c>
      <c r="U201" s="279"/>
      <c r="V201" s="279"/>
      <c r="W201" s="310"/>
      <c r="X201" s="5"/>
    </row>
    <row r="202" spans="1:24" ht="15.6" x14ac:dyDescent="0.3">
      <c r="A202" s="344"/>
      <c r="B202" s="279" t="s">
        <v>225</v>
      </c>
      <c r="C202" s="395"/>
      <c r="D202" s="395"/>
      <c r="E202" s="395"/>
      <c r="F202" s="395"/>
      <c r="G202" s="386"/>
      <c r="H202" s="386"/>
      <c r="I202" s="386"/>
      <c r="J202" s="386"/>
      <c r="K202" s="386"/>
      <c r="L202" s="386"/>
      <c r="M202" s="386"/>
      <c r="N202" s="386"/>
      <c r="O202" s="386"/>
      <c r="P202" s="386"/>
      <c r="Q202" s="386"/>
      <c r="R202" s="386"/>
      <c r="S202" s="386"/>
      <c r="T202" s="313">
        <f>V43</f>
        <v>1.2920972606892787E-2</v>
      </c>
      <c r="U202" s="279"/>
      <c r="V202" s="279"/>
      <c r="W202" s="310"/>
      <c r="X202" s="5"/>
    </row>
    <row r="203" spans="1:24" ht="15.6" x14ac:dyDescent="0.3">
      <c r="A203" s="344"/>
      <c r="B203" s="279" t="s">
        <v>75</v>
      </c>
      <c r="C203" s="395"/>
      <c r="D203" s="395"/>
      <c r="E203" s="395"/>
      <c r="F203" s="395"/>
      <c r="G203" s="386"/>
      <c r="H203" s="386"/>
      <c r="I203" s="386"/>
      <c r="J203" s="386"/>
      <c r="K203" s="386"/>
      <c r="L203" s="386"/>
      <c r="M203" s="386"/>
      <c r="N203" s="386"/>
      <c r="O203" s="386"/>
      <c r="P203" s="386"/>
      <c r="Q203" s="386"/>
      <c r="R203" s="386"/>
      <c r="S203" s="386"/>
      <c r="T203" s="313">
        <f>T201-T202</f>
        <v>1.4349027393107212E-2</v>
      </c>
      <c r="U203" s="279"/>
      <c r="V203" s="279"/>
      <c r="W203" s="310"/>
      <c r="X203" s="5"/>
    </row>
    <row r="204" spans="1:24" ht="15.6" x14ac:dyDescent="0.3">
      <c r="A204" s="344"/>
      <c r="B204" s="279" t="s">
        <v>271</v>
      </c>
      <c r="C204" s="395"/>
      <c r="D204" s="395"/>
      <c r="E204" s="395"/>
      <c r="F204" s="395"/>
      <c r="G204" s="386"/>
      <c r="H204" s="386"/>
      <c r="I204" s="386"/>
      <c r="J204" s="386"/>
      <c r="K204" s="386"/>
      <c r="L204" s="386"/>
      <c r="M204" s="386"/>
      <c r="N204" s="386"/>
      <c r="O204" s="386"/>
      <c r="P204" s="386"/>
      <c r="Q204" s="386"/>
      <c r="R204" s="386"/>
      <c r="S204" s="386"/>
      <c r="T204" s="313">
        <f>+V100/N71</f>
        <v>8.1764150196796948E-3</v>
      </c>
      <c r="U204" s="279"/>
      <c r="V204" s="279"/>
      <c r="W204" s="310"/>
      <c r="X204" s="5"/>
    </row>
    <row r="205" spans="1:24" ht="15.6" x14ac:dyDescent="0.3">
      <c r="A205" s="344"/>
      <c r="B205" s="279" t="s">
        <v>214</v>
      </c>
      <c r="C205" s="395"/>
      <c r="D205" s="395"/>
      <c r="E205" s="395"/>
      <c r="F205" s="395"/>
      <c r="G205" s="386"/>
      <c r="H205" s="386"/>
      <c r="I205" s="386"/>
      <c r="J205" s="386"/>
      <c r="K205" s="386"/>
      <c r="L205" s="386"/>
      <c r="M205" s="386"/>
      <c r="N205" s="386"/>
      <c r="O205" s="386"/>
      <c r="P205" s="386"/>
      <c r="Q205" s="386"/>
      <c r="R205" s="386"/>
      <c r="S205" s="386"/>
      <c r="T205" s="346">
        <v>50710</v>
      </c>
      <c r="U205" s="279"/>
      <c r="V205" s="279"/>
      <c r="W205" s="310"/>
      <c r="X205" s="5"/>
    </row>
    <row r="206" spans="1:24" ht="15.6" x14ac:dyDescent="0.3">
      <c r="A206" s="344"/>
      <c r="B206" s="279" t="s">
        <v>215</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216</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76</v>
      </c>
      <c r="C208" s="395"/>
      <c r="D208" s="395"/>
      <c r="E208" s="395"/>
      <c r="F208" s="395"/>
      <c r="G208" s="386"/>
      <c r="H208" s="386"/>
      <c r="I208" s="386"/>
      <c r="J208" s="386"/>
      <c r="K208" s="386"/>
      <c r="L208" s="386"/>
      <c r="M208" s="386"/>
      <c r="N208" s="386"/>
      <c r="O208" s="386"/>
      <c r="P208" s="386"/>
      <c r="Q208" s="386"/>
      <c r="R208" s="386"/>
      <c r="S208" s="386"/>
      <c r="T208" s="319">
        <v>21.06</v>
      </c>
      <c r="U208" s="279" t="s">
        <v>115</v>
      </c>
      <c r="V208" s="279"/>
      <c r="W208" s="310"/>
      <c r="X208" s="5"/>
    </row>
    <row r="209" spans="1:24" ht="15.6" x14ac:dyDescent="0.3">
      <c r="A209" s="344"/>
      <c r="B209" s="279" t="s">
        <v>77</v>
      </c>
      <c r="C209" s="395"/>
      <c r="D209" s="395"/>
      <c r="E209" s="395"/>
      <c r="F209" s="395"/>
      <c r="G209" s="386"/>
      <c r="H209" s="386"/>
      <c r="I209" s="386"/>
      <c r="J209" s="386"/>
      <c r="K209" s="386"/>
      <c r="L209" s="386"/>
      <c r="M209" s="386"/>
      <c r="N209" s="386"/>
      <c r="O209" s="386"/>
      <c r="P209" s="386"/>
      <c r="Q209" s="386"/>
      <c r="R209" s="386"/>
      <c r="S209" s="386"/>
      <c r="T209" s="319">
        <v>15.64</v>
      </c>
      <c r="U209" s="279" t="s">
        <v>115</v>
      </c>
      <c r="V209" s="279"/>
      <c r="W209" s="310"/>
      <c r="X209" s="5"/>
    </row>
    <row r="210" spans="1:24" ht="15.6" x14ac:dyDescent="0.3">
      <c r="A210" s="344"/>
      <c r="B210" s="279" t="s">
        <v>78</v>
      </c>
      <c r="C210" s="395"/>
      <c r="D210" s="395"/>
      <c r="E210" s="395"/>
      <c r="F210" s="395"/>
      <c r="G210" s="386"/>
      <c r="H210" s="386"/>
      <c r="I210" s="386"/>
      <c r="J210" s="386"/>
      <c r="K210" s="386"/>
      <c r="L210" s="386"/>
      <c r="M210" s="386"/>
      <c r="N210" s="386"/>
      <c r="O210" s="386"/>
      <c r="P210" s="386"/>
      <c r="Q210" s="386"/>
      <c r="R210" s="386"/>
      <c r="S210" s="386"/>
      <c r="T210" s="313">
        <f>P68/N68</f>
        <v>6.7969830811721067E-3</v>
      </c>
      <c r="U210" s="279"/>
      <c r="V210" s="279"/>
      <c r="W210" s="310"/>
      <c r="X210" s="5"/>
    </row>
    <row r="211" spans="1:24" ht="15.6" x14ac:dyDescent="0.3">
      <c r="A211" s="344"/>
      <c r="B211" s="279" t="s">
        <v>79</v>
      </c>
      <c r="C211" s="395"/>
      <c r="D211" s="395"/>
      <c r="E211" s="395"/>
      <c r="F211" s="395"/>
      <c r="G211" s="386"/>
      <c r="H211" s="386"/>
      <c r="I211" s="386"/>
      <c r="J211" s="386"/>
      <c r="K211" s="386"/>
      <c r="L211" s="386"/>
      <c r="M211" s="386"/>
      <c r="N211" s="386"/>
      <c r="O211" s="386"/>
      <c r="P211" s="386"/>
      <c r="Q211" s="386"/>
      <c r="R211" s="386"/>
      <c r="S211" s="386"/>
      <c r="T211" s="313">
        <v>7.9100000000000004E-2</v>
      </c>
      <c r="U211" s="279"/>
      <c r="V211" s="279"/>
      <c r="W211" s="310"/>
      <c r="X211" s="5"/>
    </row>
    <row r="212" spans="1:24" ht="15.6" x14ac:dyDescent="0.3">
      <c r="A212" s="214"/>
      <c r="B212" s="342"/>
      <c r="C212" s="342"/>
      <c r="D212" s="342"/>
      <c r="E212" s="342"/>
      <c r="F212" s="342"/>
      <c r="G212" s="275"/>
      <c r="H212" s="275"/>
      <c r="I212" s="275"/>
      <c r="J212" s="275"/>
      <c r="K212" s="275"/>
      <c r="L212" s="275"/>
      <c r="M212" s="275"/>
      <c r="N212" s="275"/>
      <c r="O212" s="275"/>
      <c r="P212" s="275"/>
      <c r="Q212" s="275"/>
      <c r="R212" s="275"/>
      <c r="S212" s="275"/>
      <c r="T212" s="338"/>
      <c r="U212" s="275"/>
      <c r="V212" s="343"/>
      <c r="W212" s="275"/>
      <c r="X212" s="5"/>
    </row>
    <row r="213" spans="1:24" ht="15.6" x14ac:dyDescent="0.3">
      <c r="A213" s="241"/>
      <c r="B213" s="388" t="s">
        <v>80</v>
      </c>
      <c r="C213" s="389"/>
      <c r="D213" s="389"/>
      <c r="E213" s="389"/>
      <c r="F213" s="396"/>
      <c r="G213" s="389"/>
      <c r="H213" s="389"/>
      <c r="I213" s="389"/>
      <c r="J213" s="389"/>
      <c r="K213" s="389"/>
      <c r="L213" s="389"/>
      <c r="M213" s="389"/>
      <c r="N213" s="389"/>
      <c r="O213" s="389"/>
      <c r="P213" s="389"/>
      <c r="Q213" s="389"/>
      <c r="R213" s="389"/>
      <c r="S213" s="389" t="s">
        <v>104</v>
      </c>
      <c r="T213" s="396" t="s">
        <v>111</v>
      </c>
      <c r="U213" s="224"/>
      <c r="V213" s="224"/>
      <c r="W213" s="224"/>
      <c r="X213" s="5"/>
    </row>
    <row r="214" spans="1:24" ht="15.6" x14ac:dyDescent="0.3">
      <c r="A214" s="219"/>
      <c r="B214" s="248" t="s">
        <v>81</v>
      </c>
      <c r="C214" s="204"/>
      <c r="D214" s="204"/>
      <c r="E214" s="204"/>
      <c r="F214" s="190"/>
      <c r="G214" s="190"/>
      <c r="H214" s="191"/>
      <c r="I214" s="191"/>
      <c r="J214" s="191"/>
      <c r="K214" s="191"/>
      <c r="L214" s="191"/>
      <c r="M214" s="191"/>
      <c r="N214" s="191"/>
      <c r="O214" s="191"/>
      <c r="P214" s="191"/>
      <c r="Q214" s="191"/>
      <c r="R214" s="191"/>
      <c r="S214" s="262">
        <v>11</v>
      </c>
      <c r="T214" s="263">
        <v>1482</v>
      </c>
      <c r="U214" s="190"/>
      <c r="V214" s="218"/>
      <c r="W214" s="220"/>
      <c r="X214" s="5"/>
    </row>
    <row r="215" spans="1:24" ht="15.6" x14ac:dyDescent="0.3">
      <c r="A215" s="352"/>
      <c r="B215" s="279" t="s">
        <v>150</v>
      </c>
      <c r="C215" s="353"/>
      <c r="D215" s="353"/>
      <c r="E215" s="353"/>
      <c r="F215" s="305"/>
      <c r="G215" s="305"/>
      <c r="H215" s="308"/>
      <c r="I215" s="308"/>
      <c r="J215" s="308"/>
      <c r="K215" s="308"/>
      <c r="L215" s="308"/>
      <c r="M215" s="308"/>
      <c r="N215" s="308"/>
      <c r="O215" s="308"/>
      <c r="P215" s="308"/>
      <c r="Q215" s="308"/>
      <c r="R215" s="308"/>
      <c r="S215" s="354">
        <f>+R267</f>
        <v>149</v>
      </c>
      <c r="T215" s="355">
        <f>+T267</f>
        <v>24601</v>
      </c>
      <c r="U215" s="305"/>
      <c r="V215" s="356"/>
      <c r="W215" s="357"/>
      <c r="X215" s="5"/>
    </row>
    <row r="216" spans="1:24" ht="15.6" x14ac:dyDescent="0.3">
      <c r="A216" s="352"/>
      <c r="B216" s="279" t="s">
        <v>82</v>
      </c>
      <c r="C216" s="353"/>
      <c r="D216" s="353"/>
      <c r="E216" s="353"/>
      <c r="F216" s="305"/>
      <c r="G216" s="305"/>
      <c r="H216" s="308"/>
      <c r="I216" s="308"/>
      <c r="J216" s="308"/>
      <c r="K216" s="308"/>
      <c r="L216" s="308"/>
      <c r="M216" s="308"/>
      <c r="N216" s="308"/>
      <c r="O216" s="308"/>
      <c r="P216" s="308"/>
      <c r="Q216" s="308"/>
      <c r="R216" s="308"/>
      <c r="S216" s="354">
        <f>+R279</f>
        <v>0</v>
      </c>
      <c r="T216" s="355">
        <f>+T279</f>
        <v>0</v>
      </c>
      <c r="U216" s="305"/>
      <c r="V216" s="356"/>
      <c r="W216" s="357"/>
      <c r="X216" s="5"/>
    </row>
    <row r="217" spans="1:24" ht="15.6" x14ac:dyDescent="0.3">
      <c r="A217" s="352"/>
      <c r="B217" s="304" t="s">
        <v>83</v>
      </c>
      <c r="C217" s="353"/>
      <c r="D217" s="353"/>
      <c r="E217" s="353"/>
      <c r="F217" s="305"/>
      <c r="G217" s="305"/>
      <c r="H217" s="305"/>
      <c r="I217" s="305"/>
      <c r="J217" s="305"/>
      <c r="K217" s="305"/>
      <c r="L217" s="305"/>
      <c r="M217" s="305"/>
      <c r="N217" s="305"/>
      <c r="O217" s="305"/>
      <c r="P217" s="305"/>
      <c r="Q217" s="305"/>
      <c r="R217" s="305"/>
      <c r="S217" s="279"/>
      <c r="T217" s="355">
        <v>0</v>
      </c>
      <c r="U217" s="305"/>
      <c r="V217" s="356"/>
      <c r="W217" s="357"/>
      <c r="X217" s="5"/>
    </row>
    <row r="218" spans="1:24" ht="15.6" x14ac:dyDescent="0.3">
      <c r="A218" s="352"/>
      <c r="B218" s="304" t="s">
        <v>84</v>
      </c>
      <c r="C218" s="353"/>
      <c r="D218" s="353"/>
      <c r="E218" s="353"/>
      <c r="F218" s="305"/>
      <c r="G218" s="305"/>
      <c r="H218" s="305"/>
      <c r="I218" s="305"/>
      <c r="J218" s="305"/>
      <c r="K218" s="305"/>
      <c r="L218" s="305"/>
      <c r="M218" s="305"/>
      <c r="N218" s="305"/>
      <c r="O218" s="305"/>
      <c r="P218" s="305"/>
      <c r="Q218" s="305"/>
      <c r="R218" s="305"/>
      <c r="S218" s="279"/>
      <c r="T218" s="358" t="s">
        <v>112</v>
      </c>
      <c r="U218" s="305"/>
      <c r="V218" s="356"/>
      <c r="W218" s="357"/>
      <c r="X218" s="5"/>
    </row>
    <row r="219" spans="1:24" ht="15.6" x14ac:dyDescent="0.3">
      <c r="A219" s="359"/>
      <c r="B219" s="304" t="s">
        <v>85</v>
      </c>
      <c r="C219" s="360"/>
      <c r="D219" s="360"/>
      <c r="E219" s="360"/>
      <c r="F219" s="360"/>
      <c r="G219" s="305"/>
      <c r="H219" s="305"/>
      <c r="I219" s="305"/>
      <c r="J219" s="305"/>
      <c r="K219" s="305"/>
      <c r="L219" s="305"/>
      <c r="M219" s="305"/>
      <c r="N219" s="305"/>
      <c r="O219" s="305"/>
      <c r="P219" s="305"/>
      <c r="Q219" s="305"/>
      <c r="R219" s="305"/>
      <c r="S219" s="279"/>
      <c r="T219" s="355"/>
      <c r="U219" s="305"/>
      <c r="V219" s="356"/>
      <c r="W219" s="361"/>
      <c r="X219" s="5"/>
    </row>
    <row r="220" spans="1:24" ht="15.6" x14ac:dyDescent="0.3">
      <c r="A220" s="359"/>
      <c r="B220" s="279" t="s">
        <v>86</v>
      </c>
      <c r="C220" s="360"/>
      <c r="D220" s="360"/>
      <c r="E220" s="360"/>
      <c r="F220" s="360"/>
      <c r="G220" s="305"/>
      <c r="H220" s="305"/>
      <c r="I220" s="305"/>
      <c r="J220" s="305"/>
      <c r="K220" s="305"/>
      <c r="L220" s="305"/>
      <c r="M220" s="305"/>
      <c r="N220" s="305"/>
      <c r="O220" s="305"/>
      <c r="P220" s="305"/>
      <c r="Q220" s="305"/>
      <c r="R220" s="305"/>
      <c r="S220" s="287"/>
      <c r="T220" s="355">
        <f>+V164</f>
        <v>284</v>
      </c>
      <c r="U220" s="305"/>
      <c r="V220" s="356"/>
      <c r="W220" s="361"/>
      <c r="X220" s="5"/>
    </row>
    <row r="221" spans="1:24" ht="15.6" x14ac:dyDescent="0.3">
      <c r="A221" s="352"/>
      <c r="B221" s="279" t="s">
        <v>87</v>
      </c>
      <c r="C221" s="353"/>
      <c r="D221" s="353"/>
      <c r="E221" s="353"/>
      <c r="F221" s="353"/>
      <c r="G221" s="305"/>
      <c r="H221" s="305"/>
      <c r="I221" s="305"/>
      <c r="J221" s="305"/>
      <c r="K221" s="305"/>
      <c r="L221" s="305"/>
      <c r="M221" s="305"/>
      <c r="N221" s="305"/>
      <c r="O221" s="305"/>
      <c r="P221" s="305"/>
      <c r="Q221" s="305"/>
      <c r="R221" s="305"/>
      <c r="S221" s="287"/>
      <c r="T221" s="355">
        <f>'Oct 11'!T221+'Jan 12'!T220</f>
        <v>3458</v>
      </c>
      <c r="U221" s="305"/>
      <c r="V221" s="356"/>
      <c r="W221" s="361"/>
      <c r="X221" s="5"/>
    </row>
    <row r="222" spans="1:24" ht="15.6" x14ac:dyDescent="0.3">
      <c r="A222" s="359"/>
      <c r="B222" s="304" t="s">
        <v>292</v>
      </c>
      <c r="C222" s="360"/>
      <c r="D222" s="360"/>
      <c r="E222" s="360"/>
      <c r="F222" s="360"/>
      <c r="G222" s="305"/>
      <c r="H222" s="305"/>
      <c r="I222" s="305"/>
      <c r="J222" s="305"/>
      <c r="K222" s="305"/>
      <c r="L222" s="305"/>
      <c r="M222" s="305"/>
      <c r="N222" s="305"/>
      <c r="O222" s="305"/>
      <c r="P222" s="305"/>
      <c r="Q222" s="305"/>
      <c r="R222" s="305"/>
      <c r="S222" s="287"/>
      <c r="T222" s="355"/>
      <c r="U222" s="305"/>
      <c r="V222" s="356"/>
      <c r="W222" s="361"/>
      <c r="X222" s="5"/>
    </row>
    <row r="223" spans="1:24" ht="15.6" x14ac:dyDescent="0.3">
      <c r="A223" s="359"/>
      <c r="B223" s="279" t="s">
        <v>290</v>
      </c>
      <c r="C223" s="360"/>
      <c r="D223" s="360"/>
      <c r="E223" s="360"/>
      <c r="F223" s="360"/>
      <c r="G223" s="305"/>
      <c r="H223" s="305"/>
      <c r="I223" s="305"/>
      <c r="J223" s="305"/>
      <c r="K223" s="305"/>
      <c r="L223" s="305"/>
      <c r="M223" s="305"/>
      <c r="N223" s="305"/>
      <c r="O223" s="305"/>
      <c r="P223" s="305"/>
      <c r="Q223" s="305"/>
      <c r="R223" s="305"/>
      <c r="S223" s="287">
        <v>0</v>
      </c>
      <c r="T223" s="355">
        <v>0</v>
      </c>
      <c r="U223" s="305"/>
      <c r="V223" s="356"/>
      <c r="W223" s="361"/>
      <c r="X223" s="5"/>
    </row>
    <row r="224" spans="1:24" ht="15.6" x14ac:dyDescent="0.3">
      <c r="A224" s="352"/>
      <c r="B224" s="279" t="s">
        <v>88</v>
      </c>
      <c r="C224" s="362"/>
      <c r="D224" s="362"/>
      <c r="E224" s="362"/>
      <c r="F224" s="363"/>
      <c r="G224" s="305"/>
      <c r="H224" s="305"/>
      <c r="I224" s="305"/>
      <c r="J224" s="305"/>
      <c r="K224" s="305"/>
      <c r="L224" s="305"/>
      <c r="M224" s="305"/>
      <c r="N224" s="305"/>
      <c r="O224" s="305"/>
      <c r="P224" s="305"/>
      <c r="Q224" s="305"/>
      <c r="R224" s="305"/>
      <c r="S224" s="279"/>
      <c r="T224" s="358">
        <v>0</v>
      </c>
      <c r="U224" s="305"/>
      <c r="V224" s="356"/>
      <c r="W224" s="361"/>
      <c r="X224" s="5"/>
    </row>
    <row r="225" spans="1:25" ht="15.6" x14ac:dyDescent="0.3">
      <c r="A225" s="352"/>
      <c r="B225" s="279" t="s">
        <v>89</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304" t="s">
        <v>223</v>
      </c>
      <c r="C226" s="362"/>
      <c r="D226" s="362"/>
      <c r="E226" s="362"/>
      <c r="F226" s="363"/>
      <c r="G226" s="305"/>
      <c r="H226" s="305"/>
      <c r="I226" s="305"/>
      <c r="J226" s="305"/>
      <c r="K226" s="305"/>
      <c r="L226" s="305"/>
      <c r="M226" s="305"/>
      <c r="N226" s="305"/>
      <c r="O226" s="305"/>
      <c r="P226" s="305"/>
      <c r="Q226" s="305"/>
      <c r="R226" s="305"/>
      <c r="S226" s="279"/>
      <c r="T226" s="364"/>
      <c r="U226" s="305"/>
      <c r="V226" s="356"/>
      <c r="W226" s="361"/>
      <c r="X226" s="5"/>
    </row>
    <row r="227" spans="1:25" ht="15.6" x14ac:dyDescent="0.3">
      <c r="A227" s="352"/>
      <c r="B227" s="279" t="s">
        <v>290</v>
      </c>
      <c r="C227" s="362"/>
      <c r="D227" s="362"/>
      <c r="E227" s="362"/>
      <c r="F227" s="363"/>
      <c r="G227" s="305"/>
      <c r="H227" s="305"/>
      <c r="I227" s="305"/>
      <c r="J227" s="305"/>
      <c r="K227" s="305"/>
      <c r="L227" s="305"/>
      <c r="M227" s="305"/>
      <c r="N227" s="305"/>
      <c r="O227" s="305"/>
      <c r="P227" s="305"/>
      <c r="Q227" s="305"/>
      <c r="R227" s="305"/>
      <c r="S227" s="287">
        <v>5</v>
      </c>
      <c r="T227" s="355">
        <v>1481</v>
      </c>
      <c r="U227" s="305"/>
      <c r="V227" s="356"/>
      <c r="W227" s="361"/>
      <c r="X227" s="5"/>
    </row>
    <row r="228" spans="1:25" ht="15.6" x14ac:dyDescent="0.3">
      <c r="A228" s="352"/>
      <c r="B228" s="279" t="s">
        <v>224</v>
      </c>
      <c r="C228" s="362"/>
      <c r="D228" s="362"/>
      <c r="E228" s="362"/>
      <c r="F228" s="363"/>
      <c r="G228" s="305"/>
      <c r="H228" s="305"/>
      <c r="I228" s="305"/>
      <c r="J228" s="305"/>
      <c r="K228" s="305"/>
      <c r="L228" s="305"/>
      <c r="M228" s="305"/>
      <c r="N228" s="305"/>
      <c r="O228" s="305"/>
      <c r="P228" s="305"/>
      <c r="Q228" s="305"/>
      <c r="R228" s="305"/>
      <c r="S228" s="279"/>
      <c r="T228" s="358">
        <v>8.99</v>
      </c>
      <c r="U228" s="305"/>
      <c r="V228" s="356"/>
      <c r="W228" s="361"/>
      <c r="X228" s="5"/>
    </row>
    <row r="229" spans="1:25" ht="15.6" x14ac:dyDescent="0.3">
      <c r="A229" s="352"/>
      <c r="B229" s="360"/>
      <c r="C229" s="362"/>
      <c r="D229" s="362"/>
      <c r="E229" s="362"/>
      <c r="F229" s="363"/>
      <c r="G229" s="305"/>
      <c r="H229" s="305"/>
      <c r="I229" s="305"/>
      <c r="J229" s="305"/>
      <c r="K229" s="305"/>
      <c r="L229" s="305"/>
      <c r="M229" s="305"/>
      <c r="N229" s="305"/>
      <c r="O229" s="305"/>
      <c r="P229" s="305"/>
      <c r="Q229" s="305"/>
      <c r="R229" s="305"/>
      <c r="S229" s="279"/>
      <c r="T229" s="364"/>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305"/>
      <c r="T230" s="365"/>
      <c r="U230" s="305"/>
      <c r="V230" s="356"/>
      <c r="W230" s="361"/>
      <c r="X230" s="5"/>
    </row>
    <row r="231" spans="1:25" ht="17.399999999999999" x14ac:dyDescent="0.3">
      <c r="A231" s="352"/>
      <c r="B231" s="366" t="s">
        <v>174</v>
      </c>
      <c r="C231" s="362"/>
      <c r="D231" s="362"/>
      <c r="E231" s="362"/>
      <c r="F231" s="363"/>
      <c r="G231" s="305"/>
      <c r="H231" s="305"/>
      <c r="I231" s="305"/>
      <c r="J231" s="305"/>
      <c r="K231" s="305"/>
      <c r="L231" s="305"/>
      <c r="M231" s="305"/>
      <c r="N231" s="305"/>
      <c r="O231" s="305"/>
      <c r="P231" s="367" t="s">
        <v>173</v>
      </c>
      <c r="Q231" s="305"/>
      <c r="R231" s="305"/>
      <c r="S231" s="305"/>
      <c r="T231" s="365"/>
      <c r="U231" s="305"/>
      <c r="V231" s="356"/>
      <c r="W231" s="361"/>
      <c r="X231" s="5"/>
    </row>
    <row r="232" spans="1:25" ht="15.6" x14ac:dyDescent="0.3">
      <c r="A232" s="347"/>
      <c r="B232" s="342"/>
      <c r="C232" s="348"/>
      <c r="D232" s="348"/>
      <c r="E232" s="348"/>
      <c r="F232" s="349"/>
      <c r="G232" s="275"/>
      <c r="H232" s="275"/>
      <c r="I232" s="275"/>
      <c r="J232" s="275"/>
      <c r="K232" s="275"/>
      <c r="L232" s="275"/>
      <c r="M232" s="275"/>
      <c r="N232" s="275"/>
      <c r="O232" s="275"/>
      <c r="P232" s="275"/>
      <c r="Q232" s="275"/>
      <c r="R232" s="275"/>
      <c r="S232" s="275"/>
      <c r="T232" s="350"/>
      <c r="U232" s="275"/>
      <c r="V232" s="343"/>
      <c r="W232" s="351"/>
      <c r="X232" s="5"/>
    </row>
    <row r="233" spans="1:25" ht="15.6" x14ac:dyDescent="0.3">
      <c r="A233" s="223"/>
      <c r="B233" s="388" t="s">
        <v>304</v>
      </c>
      <c r="C233" s="389"/>
      <c r="D233" s="389"/>
      <c r="E233" s="389"/>
      <c r="F233" s="396"/>
      <c r="G233" s="389"/>
      <c r="H233" s="389"/>
      <c r="I233" s="389"/>
      <c r="J233" s="389"/>
      <c r="K233" s="389"/>
      <c r="L233" s="389"/>
      <c r="M233" s="389"/>
      <c r="N233" s="389"/>
      <c r="O233" s="389"/>
      <c r="P233" s="389"/>
      <c r="Q233" s="389"/>
      <c r="R233" s="396" t="s">
        <v>104</v>
      </c>
      <c r="S233" s="389" t="s">
        <v>105</v>
      </c>
      <c r="T233" s="396" t="s">
        <v>113</v>
      </c>
      <c r="U233" s="389" t="s">
        <v>105</v>
      </c>
      <c r="V233" s="224"/>
      <c r="W233" s="388"/>
      <c r="X233" s="5"/>
    </row>
    <row r="234" spans="1:25" ht="15.6" x14ac:dyDescent="0.3">
      <c r="A234" s="189"/>
      <c r="B234" s="247" t="s">
        <v>90</v>
      </c>
      <c r="C234" s="261"/>
      <c r="D234" s="261"/>
      <c r="E234" s="261"/>
      <c r="F234" s="248"/>
      <c r="G234" s="261"/>
      <c r="H234" s="261"/>
      <c r="I234" s="261"/>
      <c r="J234" s="261"/>
      <c r="K234" s="261"/>
      <c r="L234" s="261"/>
      <c r="M234" s="261"/>
      <c r="N234" s="261"/>
      <c r="O234" s="261"/>
      <c r="P234" s="261"/>
      <c r="Q234" s="261"/>
      <c r="R234" s="329">
        <f t="shared" ref="R234:R241" si="1">+R246+R258+R270</f>
        <v>7312</v>
      </c>
      <c r="S234" s="372">
        <f t="shared" ref="S234:S241" si="2">R234/$R$243</f>
        <v>0.98744091829844705</v>
      </c>
      <c r="T234" s="330">
        <f t="shared" ref="T234:T241" si="3">+T246+T258+T270</f>
        <v>973909</v>
      </c>
      <c r="U234" s="372">
        <f t="shared" ref="U234:U241" si="4">T234/$T$243</f>
        <v>0.9822750364857491</v>
      </c>
      <c r="V234" s="218"/>
      <c r="W234" s="221"/>
      <c r="X234" s="5"/>
    </row>
    <row r="235" spans="1:25" ht="15.6" x14ac:dyDescent="0.3">
      <c r="A235" s="278"/>
      <c r="B235" s="329" t="s">
        <v>91</v>
      </c>
      <c r="C235" s="371"/>
      <c r="D235" s="371"/>
      <c r="E235" s="371"/>
      <c r="F235" s="279"/>
      <c r="G235" s="372"/>
      <c r="H235" s="371"/>
      <c r="I235" s="371"/>
      <c r="J235" s="371"/>
      <c r="K235" s="371"/>
      <c r="L235" s="371"/>
      <c r="M235" s="371"/>
      <c r="N235" s="371"/>
      <c r="O235" s="371"/>
      <c r="P235" s="371"/>
      <c r="Q235" s="371"/>
      <c r="R235" s="329">
        <f t="shared" si="1"/>
        <v>45</v>
      </c>
      <c r="S235" s="372">
        <f t="shared" si="2"/>
        <v>6.0769750168804858E-3</v>
      </c>
      <c r="T235" s="330">
        <f t="shared" si="3"/>
        <v>10008</v>
      </c>
      <c r="U235" s="372">
        <f t="shared" si="4"/>
        <v>1.0093970345432045E-2</v>
      </c>
      <c r="V235" s="356"/>
      <c r="W235" s="361"/>
      <c r="X235" s="5"/>
      <c r="Y235" s="109"/>
    </row>
    <row r="236" spans="1:25" ht="15.6" x14ac:dyDescent="0.3">
      <c r="A236" s="278"/>
      <c r="B236" s="329" t="s">
        <v>92</v>
      </c>
      <c r="C236" s="371"/>
      <c r="D236" s="371"/>
      <c r="E236" s="371"/>
      <c r="F236" s="279"/>
      <c r="G236" s="372"/>
      <c r="H236" s="371"/>
      <c r="I236" s="371"/>
      <c r="J236" s="371"/>
      <c r="K236" s="371"/>
      <c r="L236" s="371"/>
      <c r="M236" s="371"/>
      <c r="N236" s="371"/>
      <c r="O236" s="371"/>
      <c r="P236" s="371"/>
      <c r="Q236" s="371"/>
      <c r="R236" s="329">
        <f t="shared" si="1"/>
        <v>17</v>
      </c>
      <c r="S236" s="372">
        <f t="shared" si="2"/>
        <v>2.2957461174881837E-3</v>
      </c>
      <c r="T236" s="330">
        <f t="shared" si="3"/>
        <v>2919</v>
      </c>
      <c r="U236" s="372">
        <f t="shared" si="4"/>
        <v>2.9440746840843465E-3</v>
      </c>
      <c r="V236" s="356"/>
      <c r="W236" s="361"/>
      <c r="X236" s="5"/>
    </row>
    <row r="237" spans="1:25" ht="15.6" x14ac:dyDescent="0.3">
      <c r="A237" s="278"/>
      <c r="B237" s="329" t="s">
        <v>161</v>
      </c>
      <c r="C237" s="371"/>
      <c r="D237" s="371"/>
      <c r="E237" s="371"/>
      <c r="F237" s="279"/>
      <c r="G237" s="372"/>
      <c r="H237" s="371"/>
      <c r="I237" s="371"/>
      <c r="J237" s="371"/>
      <c r="K237" s="371"/>
      <c r="L237" s="371"/>
      <c r="M237" s="371"/>
      <c r="N237" s="371"/>
      <c r="O237" s="371"/>
      <c r="P237" s="371"/>
      <c r="Q237" s="371"/>
      <c r="R237" s="329">
        <f t="shared" si="1"/>
        <v>4</v>
      </c>
      <c r="S237" s="372">
        <f t="shared" si="2"/>
        <v>5.4017555705604316E-4</v>
      </c>
      <c r="T237" s="330">
        <f t="shared" si="3"/>
        <v>563</v>
      </c>
      <c r="U237" s="372">
        <f t="shared" si="4"/>
        <v>5.6783626143867318E-4</v>
      </c>
      <c r="V237" s="356"/>
      <c r="W237" s="361"/>
      <c r="X237" s="5"/>
      <c r="Y237" s="109"/>
    </row>
    <row r="238" spans="1:25" ht="15.6" x14ac:dyDescent="0.3">
      <c r="A238" s="278"/>
      <c r="B238" s="329" t="s">
        <v>162</v>
      </c>
      <c r="C238" s="371"/>
      <c r="D238" s="371"/>
      <c r="E238" s="371"/>
      <c r="F238" s="279"/>
      <c r="G238" s="372"/>
      <c r="H238" s="371"/>
      <c r="I238" s="371"/>
      <c r="J238" s="371"/>
      <c r="K238" s="371"/>
      <c r="L238" s="371"/>
      <c r="M238" s="371"/>
      <c r="N238" s="371"/>
      <c r="O238" s="371"/>
      <c r="P238" s="371"/>
      <c r="Q238" s="371"/>
      <c r="R238" s="329">
        <f t="shared" si="1"/>
        <v>1</v>
      </c>
      <c r="S238" s="372">
        <f t="shared" si="2"/>
        <v>1.3504388926401079E-4</v>
      </c>
      <c r="T238" s="330">
        <f t="shared" si="3"/>
        <v>90</v>
      </c>
      <c r="U238" s="372">
        <f t="shared" si="4"/>
        <v>9.0773114617194648E-5</v>
      </c>
      <c r="V238" s="356"/>
      <c r="W238" s="361"/>
      <c r="X238" s="5"/>
    </row>
    <row r="239" spans="1:25" ht="15.6" x14ac:dyDescent="0.3">
      <c r="A239" s="278"/>
      <c r="B239" s="329" t="s">
        <v>163</v>
      </c>
      <c r="C239" s="371"/>
      <c r="D239" s="371"/>
      <c r="E239" s="371"/>
      <c r="F239" s="279"/>
      <c r="G239" s="372"/>
      <c r="H239" s="371"/>
      <c r="I239" s="371"/>
      <c r="J239" s="371"/>
      <c r="K239" s="371"/>
      <c r="L239" s="371"/>
      <c r="M239" s="371"/>
      <c r="N239" s="371"/>
      <c r="O239" s="371"/>
      <c r="P239" s="371"/>
      <c r="Q239" s="371"/>
      <c r="R239" s="329">
        <f t="shared" si="1"/>
        <v>4</v>
      </c>
      <c r="S239" s="372">
        <f t="shared" si="2"/>
        <v>5.4017555705604316E-4</v>
      </c>
      <c r="T239" s="330">
        <f t="shared" si="3"/>
        <v>333</v>
      </c>
      <c r="U239" s="372">
        <f t="shared" si="4"/>
        <v>3.358605240836202E-4</v>
      </c>
      <c r="V239" s="356"/>
      <c r="W239" s="361"/>
      <c r="X239" s="5"/>
      <c r="Y239" s="109"/>
    </row>
    <row r="240" spans="1:25" ht="15.6" x14ac:dyDescent="0.3">
      <c r="A240" s="278"/>
      <c r="B240" s="329" t="s">
        <v>164</v>
      </c>
      <c r="C240" s="371"/>
      <c r="D240" s="371"/>
      <c r="E240" s="371"/>
      <c r="F240" s="279"/>
      <c r="G240" s="372"/>
      <c r="H240" s="371"/>
      <c r="I240" s="371"/>
      <c r="J240" s="371"/>
      <c r="K240" s="371"/>
      <c r="L240" s="371"/>
      <c r="M240" s="371"/>
      <c r="N240" s="371"/>
      <c r="O240" s="371"/>
      <c r="P240" s="371"/>
      <c r="Q240" s="371"/>
      <c r="R240" s="329">
        <f t="shared" si="1"/>
        <v>12</v>
      </c>
      <c r="S240" s="372">
        <f t="shared" si="2"/>
        <v>1.6205266711681297E-3</v>
      </c>
      <c r="T240" s="330">
        <f t="shared" si="3"/>
        <v>1687</v>
      </c>
      <c r="U240" s="372">
        <f t="shared" si="4"/>
        <v>1.7014916039911931E-3</v>
      </c>
      <c r="V240" s="356"/>
      <c r="W240" s="361"/>
      <c r="X240" s="5"/>
    </row>
    <row r="241" spans="1:25" ht="15.6" x14ac:dyDescent="0.3">
      <c r="A241" s="278"/>
      <c r="B241" s="329" t="s">
        <v>165</v>
      </c>
      <c r="C241" s="371"/>
      <c r="D241" s="371"/>
      <c r="E241" s="371"/>
      <c r="F241" s="279"/>
      <c r="G241" s="372"/>
      <c r="H241" s="371"/>
      <c r="I241" s="371"/>
      <c r="J241" s="371"/>
      <c r="K241" s="371"/>
      <c r="L241" s="371"/>
      <c r="M241" s="371"/>
      <c r="N241" s="371"/>
      <c r="O241" s="371"/>
      <c r="P241" s="371"/>
      <c r="Q241" s="371"/>
      <c r="R241" s="329">
        <f t="shared" si="1"/>
        <v>10</v>
      </c>
      <c r="S241" s="372">
        <f t="shared" si="2"/>
        <v>1.3504388926401081E-3</v>
      </c>
      <c r="T241" s="330">
        <f t="shared" si="3"/>
        <v>1974</v>
      </c>
      <c r="U241" s="372">
        <f t="shared" si="4"/>
        <v>1.9909569806038025E-3</v>
      </c>
      <c r="V241" s="356"/>
      <c r="W241" s="361"/>
      <c r="X241" s="5"/>
      <c r="Y241" s="109"/>
    </row>
    <row r="242" spans="1:25" ht="15.6" x14ac:dyDescent="0.3">
      <c r="A242" s="278"/>
      <c r="B242" s="329"/>
      <c r="C242" s="371"/>
      <c r="D242" s="371"/>
      <c r="E242" s="371"/>
      <c r="F242" s="279"/>
      <c r="G242" s="372"/>
      <c r="H242" s="371"/>
      <c r="I242" s="371"/>
      <c r="J242" s="371"/>
      <c r="K242" s="371"/>
      <c r="L242" s="371"/>
      <c r="M242" s="371"/>
      <c r="N242" s="371"/>
      <c r="O242" s="371"/>
      <c r="P242" s="371"/>
      <c r="Q242" s="371"/>
      <c r="R242" s="329"/>
      <c r="S242" s="372"/>
      <c r="T242" s="330"/>
      <c r="U242" s="372"/>
      <c r="V242" s="356"/>
      <c r="W242" s="361"/>
      <c r="X242" s="5"/>
    </row>
    <row r="243" spans="1:25" ht="15.6" x14ac:dyDescent="0.3">
      <c r="A243" s="278"/>
      <c r="B243" s="279" t="s">
        <v>119</v>
      </c>
      <c r="C243" s="279"/>
      <c r="D243" s="279"/>
      <c r="E243" s="279"/>
      <c r="F243" s="279"/>
      <c r="G243" s="279"/>
      <c r="H243" s="373"/>
      <c r="I243" s="373"/>
      <c r="J243" s="373"/>
      <c r="K243" s="373"/>
      <c r="L243" s="373"/>
      <c r="M243" s="373"/>
      <c r="N243" s="373"/>
      <c r="O243" s="373"/>
      <c r="P243" s="373"/>
      <c r="Q243" s="373"/>
      <c r="R243" s="329">
        <f>SUM(R234:R242)</f>
        <v>7405</v>
      </c>
      <c r="S243" s="372">
        <f>SUM(S234:S242)</f>
        <v>0.99999999999999989</v>
      </c>
      <c r="T243" s="330">
        <f>SUM(T234:T242)</f>
        <v>991483</v>
      </c>
      <c r="U243" s="372">
        <f>SUM(U234:U242)</f>
        <v>1</v>
      </c>
      <c r="V243" s="305"/>
      <c r="W243" s="310"/>
      <c r="X243" s="5"/>
    </row>
    <row r="244" spans="1:25" ht="15.6" x14ac:dyDescent="0.3">
      <c r="A244" s="347"/>
      <c r="B244" s="342"/>
      <c r="C244" s="348"/>
      <c r="D244" s="348"/>
      <c r="E244" s="348"/>
      <c r="F244" s="349"/>
      <c r="G244" s="275"/>
      <c r="H244" s="275"/>
      <c r="I244" s="275"/>
      <c r="J244" s="275"/>
      <c r="K244" s="275"/>
      <c r="L244" s="275"/>
      <c r="M244" s="275"/>
      <c r="N244" s="275"/>
      <c r="O244" s="275"/>
      <c r="P244" s="275"/>
      <c r="Q244" s="275"/>
      <c r="R244" s="275"/>
      <c r="S244" s="275"/>
      <c r="T244" s="350"/>
      <c r="U244" s="275"/>
      <c r="V244" s="343"/>
      <c r="W244" s="351"/>
      <c r="X244" s="5"/>
    </row>
    <row r="245" spans="1:25" ht="15.6" x14ac:dyDescent="0.3">
      <c r="A245" s="223"/>
      <c r="B245" s="388" t="s">
        <v>167</v>
      </c>
      <c r="C245" s="389"/>
      <c r="D245" s="389"/>
      <c r="E245" s="389"/>
      <c r="F245" s="396"/>
      <c r="G245" s="389"/>
      <c r="H245" s="389"/>
      <c r="I245" s="389"/>
      <c r="J245" s="389"/>
      <c r="K245" s="389"/>
      <c r="L245" s="389"/>
      <c r="M245" s="389"/>
      <c r="N245" s="389"/>
      <c r="O245" s="389"/>
      <c r="P245" s="389"/>
      <c r="Q245" s="389"/>
      <c r="R245" s="396" t="s">
        <v>104</v>
      </c>
      <c r="S245" s="389" t="s">
        <v>105</v>
      </c>
      <c r="T245" s="396" t="s">
        <v>113</v>
      </c>
      <c r="U245" s="389" t="s">
        <v>105</v>
      </c>
      <c r="V245" s="224"/>
      <c r="W245" s="388"/>
      <c r="X245" s="5"/>
    </row>
    <row r="246" spans="1:25" ht="15.6" x14ac:dyDescent="0.3">
      <c r="A246" s="189"/>
      <c r="B246" s="247" t="s">
        <v>90</v>
      </c>
      <c r="C246" s="261"/>
      <c r="D246" s="261"/>
      <c r="E246" s="261"/>
      <c r="F246" s="248"/>
      <c r="G246" s="261"/>
      <c r="H246" s="261"/>
      <c r="I246" s="261"/>
      <c r="J246" s="261"/>
      <c r="K246" s="261"/>
      <c r="L246" s="261"/>
      <c r="M246" s="261"/>
      <c r="N246" s="261"/>
      <c r="O246" s="261"/>
      <c r="P246" s="261"/>
      <c r="Q246" s="261"/>
      <c r="R246" s="247">
        <v>7205</v>
      </c>
      <c r="S246" s="250">
        <f t="shared" ref="S246:S253" si="5">R246/$R$255</f>
        <v>0.99297133406835725</v>
      </c>
      <c r="T246" s="251">
        <v>956321</v>
      </c>
      <c r="U246" s="250">
        <f t="shared" ref="U246:U253" si="6">T246/$T$255</f>
        <v>0.98907726072054292</v>
      </c>
      <c r="V246" s="218"/>
      <c r="W246" s="221"/>
      <c r="X246" s="5"/>
    </row>
    <row r="247" spans="1:25" ht="15.6" x14ac:dyDescent="0.3">
      <c r="A247" s="278"/>
      <c r="B247" s="329" t="s">
        <v>91</v>
      </c>
      <c r="C247" s="371"/>
      <c r="D247" s="371"/>
      <c r="E247" s="371"/>
      <c r="F247" s="279"/>
      <c r="G247" s="372"/>
      <c r="H247" s="371"/>
      <c r="I247" s="371"/>
      <c r="J247" s="371"/>
      <c r="K247" s="371"/>
      <c r="L247" s="371"/>
      <c r="M247" s="371"/>
      <c r="N247" s="371"/>
      <c r="O247" s="371"/>
      <c r="P247" s="371"/>
      <c r="Q247" s="371"/>
      <c r="R247" s="329">
        <v>36</v>
      </c>
      <c r="S247" s="372">
        <f t="shared" si="5"/>
        <v>4.9614112458654909E-3</v>
      </c>
      <c r="T247" s="330">
        <v>8452</v>
      </c>
      <c r="U247" s="372">
        <f t="shared" si="6"/>
        <v>8.7415010311496129E-3</v>
      </c>
      <c r="V247" s="356"/>
      <c r="W247" s="361"/>
      <c r="X247" s="5"/>
      <c r="Y247" s="109"/>
    </row>
    <row r="248" spans="1:25" ht="15.6" x14ac:dyDescent="0.3">
      <c r="A248" s="278"/>
      <c r="B248" s="329" t="s">
        <v>92</v>
      </c>
      <c r="C248" s="371"/>
      <c r="D248" s="371"/>
      <c r="E248" s="371"/>
      <c r="F248" s="279"/>
      <c r="G248" s="372"/>
      <c r="H248" s="371"/>
      <c r="I248" s="371"/>
      <c r="J248" s="371"/>
      <c r="K248" s="371"/>
      <c r="L248" s="371"/>
      <c r="M248" s="371"/>
      <c r="N248" s="371"/>
      <c r="O248" s="371"/>
      <c r="P248" s="371"/>
      <c r="Q248" s="371"/>
      <c r="R248" s="329">
        <v>8</v>
      </c>
      <c r="S248" s="372">
        <f t="shared" si="5"/>
        <v>1.1025358324145535E-3</v>
      </c>
      <c r="T248" s="330">
        <v>1238</v>
      </c>
      <c r="U248" s="372">
        <f t="shared" si="6"/>
        <v>1.2804044340467605E-3</v>
      </c>
      <c r="V248" s="356"/>
      <c r="W248" s="361"/>
      <c r="X248" s="5"/>
    </row>
    <row r="249" spans="1:25" ht="15.6" x14ac:dyDescent="0.3">
      <c r="A249" s="278"/>
      <c r="B249" s="329" t="s">
        <v>161</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c r="Y249" s="109"/>
    </row>
    <row r="250" spans="1:25" ht="15.6" x14ac:dyDescent="0.3">
      <c r="A250" s="278"/>
      <c r="B250" s="329" t="s">
        <v>162</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row>
    <row r="251" spans="1:25" ht="15.6" x14ac:dyDescent="0.3">
      <c r="A251" s="278"/>
      <c r="B251" s="329" t="s">
        <v>163</v>
      </c>
      <c r="C251" s="371"/>
      <c r="D251" s="371"/>
      <c r="E251" s="371"/>
      <c r="F251" s="279"/>
      <c r="G251" s="372"/>
      <c r="H251" s="371"/>
      <c r="I251" s="371"/>
      <c r="J251" s="371"/>
      <c r="K251" s="371"/>
      <c r="L251" s="371"/>
      <c r="M251" s="371"/>
      <c r="N251" s="371"/>
      <c r="O251" s="371"/>
      <c r="P251" s="371"/>
      <c r="Q251" s="371"/>
      <c r="R251" s="329">
        <v>1</v>
      </c>
      <c r="S251" s="372">
        <f t="shared" si="5"/>
        <v>1.3781697905181919E-4</v>
      </c>
      <c r="T251" s="330">
        <v>20</v>
      </c>
      <c r="U251" s="372">
        <f t="shared" si="6"/>
        <v>2.0685047399786115E-5</v>
      </c>
      <c r="V251" s="356"/>
      <c r="W251" s="361"/>
      <c r="X251" s="5"/>
      <c r="Y251" s="109"/>
    </row>
    <row r="252" spans="1:25" ht="15.6" x14ac:dyDescent="0.3">
      <c r="A252" s="278"/>
      <c r="B252" s="329" t="s">
        <v>164</v>
      </c>
      <c r="C252" s="371"/>
      <c r="D252" s="371"/>
      <c r="E252" s="371"/>
      <c r="F252" s="279"/>
      <c r="G252" s="372"/>
      <c r="H252" s="371"/>
      <c r="I252" s="371"/>
      <c r="J252" s="371"/>
      <c r="K252" s="371"/>
      <c r="L252" s="371"/>
      <c r="M252" s="371"/>
      <c r="N252" s="371"/>
      <c r="O252" s="371"/>
      <c r="P252" s="371"/>
      <c r="Q252" s="371"/>
      <c r="R252" s="329">
        <v>5</v>
      </c>
      <c r="S252" s="372">
        <f t="shared" si="5"/>
        <v>6.8908489525909588E-4</v>
      </c>
      <c r="T252" s="330">
        <v>687</v>
      </c>
      <c r="U252" s="372">
        <f t="shared" si="6"/>
        <v>7.1053137818265309E-4</v>
      </c>
      <c r="V252" s="356"/>
      <c r="W252" s="361"/>
      <c r="X252" s="5"/>
    </row>
    <row r="253" spans="1:25" ht="15.6" x14ac:dyDescent="0.3">
      <c r="A253" s="278"/>
      <c r="B253" s="329" t="s">
        <v>165</v>
      </c>
      <c r="C253" s="371"/>
      <c r="D253" s="371"/>
      <c r="E253" s="371"/>
      <c r="F253" s="279"/>
      <c r="G253" s="372"/>
      <c r="H253" s="371"/>
      <c r="I253" s="371"/>
      <c r="J253" s="371"/>
      <c r="K253" s="371"/>
      <c r="L253" s="371"/>
      <c r="M253" s="371"/>
      <c r="N253" s="371"/>
      <c r="O253" s="371"/>
      <c r="P253" s="371"/>
      <c r="Q253" s="371"/>
      <c r="R253" s="329">
        <v>1</v>
      </c>
      <c r="S253" s="372">
        <f t="shared" si="5"/>
        <v>1.3781697905181919E-4</v>
      </c>
      <c r="T253" s="330">
        <v>164</v>
      </c>
      <c r="U253" s="372">
        <f t="shared" si="6"/>
        <v>1.6961738867824616E-4</v>
      </c>
      <c r="V253" s="356"/>
      <c r="W253" s="361"/>
      <c r="X253" s="5"/>
      <c r="Y253" s="109"/>
    </row>
    <row r="254" spans="1:25" ht="15.6" x14ac:dyDescent="0.3">
      <c r="A254" s="278"/>
      <c r="B254" s="329"/>
      <c r="C254" s="371"/>
      <c r="D254" s="371"/>
      <c r="E254" s="371"/>
      <c r="F254" s="279"/>
      <c r="G254" s="372"/>
      <c r="H254" s="371"/>
      <c r="I254" s="371"/>
      <c r="J254" s="371"/>
      <c r="K254" s="371"/>
      <c r="L254" s="371"/>
      <c r="M254" s="371"/>
      <c r="N254" s="371"/>
      <c r="O254" s="371"/>
      <c r="P254" s="371"/>
      <c r="Q254" s="371"/>
      <c r="R254" s="329"/>
      <c r="S254" s="372"/>
      <c r="T254" s="330"/>
      <c r="U254" s="372"/>
      <c r="V254" s="356"/>
      <c r="W254" s="361"/>
      <c r="X254" s="5"/>
    </row>
    <row r="255" spans="1:25" ht="15.6" x14ac:dyDescent="0.3">
      <c r="A255" s="278"/>
      <c r="B255" s="279" t="s">
        <v>119</v>
      </c>
      <c r="C255" s="279"/>
      <c r="D255" s="279"/>
      <c r="E255" s="279"/>
      <c r="F255" s="279"/>
      <c r="G255" s="279"/>
      <c r="H255" s="373"/>
      <c r="I255" s="373"/>
      <c r="J255" s="373"/>
      <c r="K255" s="373"/>
      <c r="L255" s="373"/>
      <c r="M255" s="373"/>
      <c r="N255" s="373"/>
      <c r="O255" s="373"/>
      <c r="P255" s="373"/>
      <c r="Q255" s="373"/>
      <c r="R255" s="329">
        <f>SUM(R246:R254)</f>
        <v>7256</v>
      </c>
      <c r="S255" s="372">
        <f>SUM(S246:S254)</f>
        <v>1</v>
      </c>
      <c r="T255" s="330">
        <f>SUM(T246:T254)</f>
        <v>966882</v>
      </c>
      <c r="U255" s="372">
        <f>SUM(U246:U254)</f>
        <v>1</v>
      </c>
      <c r="V255" s="305"/>
      <c r="W255" s="310"/>
      <c r="X255" s="5"/>
    </row>
    <row r="256" spans="1:25" ht="15.6" x14ac:dyDescent="0.3">
      <c r="A256" s="177"/>
      <c r="B256" s="275"/>
      <c r="C256" s="275"/>
      <c r="D256" s="275"/>
      <c r="E256" s="275"/>
      <c r="F256" s="275"/>
      <c r="G256" s="275"/>
      <c r="H256" s="368"/>
      <c r="I256" s="368"/>
      <c r="J256" s="368"/>
      <c r="K256" s="368"/>
      <c r="L256" s="368"/>
      <c r="M256" s="368"/>
      <c r="N256" s="368"/>
      <c r="O256" s="368"/>
      <c r="P256" s="368"/>
      <c r="Q256" s="368"/>
      <c r="R256" s="327"/>
      <c r="S256" s="369"/>
      <c r="T256" s="370"/>
      <c r="U256" s="369"/>
      <c r="V256" s="275"/>
      <c r="W256" s="275"/>
      <c r="X256" s="5"/>
    </row>
    <row r="257" spans="1:24" ht="15.6" x14ac:dyDescent="0.3">
      <c r="A257" s="243"/>
      <c r="B257" s="388" t="s">
        <v>283</v>
      </c>
      <c r="C257" s="389"/>
      <c r="D257" s="389"/>
      <c r="E257" s="389"/>
      <c r="F257" s="396"/>
      <c r="G257" s="389"/>
      <c r="H257" s="389"/>
      <c r="I257" s="389"/>
      <c r="J257" s="389"/>
      <c r="K257" s="389"/>
      <c r="L257" s="389"/>
      <c r="M257" s="389"/>
      <c r="N257" s="389"/>
      <c r="O257" s="389"/>
      <c r="P257" s="389"/>
      <c r="Q257" s="389"/>
      <c r="R257" s="396" t="s">
        <v>104</v>
      </c>
      <c r="S257" s="389" t="s">
        <v>105</v>
      </c>
      <c r="T257" s="396" t="s">
        <v>113</v>
      </c>
      <c r="U257" s="389" t="s">
        <v>105</v>
      </c>
      <c r="V257" s="244"/>
      <c r="W257" s="245"/>
      <c r="X257" s="5"/>
    </row>
    <row r="258" spans="1:24" ht="15.6" x14ac:dyDescent="0.3">
      <c r="A258" s="189"/>
      <c r="B258" s="247" t="s">
        <v>90</v>
      </c>
      <c r="C258" s="261"/>
      <c r="D258" s="261"/>
      <c r="E258" s="261"/>
      <c r="F258" s="248"/>
      <c r="G258" s="261"/>
      <c r="H258" s="261"/>
      <c r="I258" s="261"/>
      <c r="J258" s="261"/>
      <c r="K258" s="261"/>
      <c r="L258" s="261"/>
      <c r="M258" s="261"/>
      <c r="N258" s="261"/>
      <c r="O258" s="261"/>
      <c r="P258" s="261"/>
      <c r="Q258" s="261"/>
      <c r="R258" s="247">
        <v>107</v>
      </c>
      <c r="S258" s="250">
        <f t="shared" ref="S258:S265" si="7">R258/$R$267</f>
        <v>0.71812080536912748</v>
      </c>
      <c r="T258" s="251">
        <v>17588</v>
      </c>
      <c r="U258" s="250">
        <f t="shared" ref="U258:U265" si="8">T258/$T$267</f>
        <v>0.71493028738669162</v>
      </c>
      <c r="V258" s="190"/>
      <c r="W258" s="190"/>
      <c r="X258" s="5"/>
    </row>
    <row r="259" spans="1:24" ht="15.6" x14ac:dyDescent="0.3">
      <c r="A259" s="278"/>
      <c r="B259" s="329" t="s">
        <v>91</v>
      </c>
      <c r="C259" s="371"/>
      <c r="D259" s="371"/>
      <c r="E259" s="371"/>
      <c r="F259" s="279"/>
      <c r="G259" s="372"/>
      <c r="H259" s="371"/>
      <c r="I259" s="371"/>
      <c r="J259" s="371"/>
      <c r="K259" s="371"/>
      <c r="L259" s="371"/>
      <c r="M259" s="371"/>
      <c r="N259" s="371"/>
      <c r="O259" s="371"/>
      <c r="P259" s="371"/>
      <c r="Q259" s="371"/>
      <c r="R259" s="329">
        <v>9</v>
      </c>
      <c r="S259" s="372">
        <f t="shared" si="7"/>
        <v>6.0402684563758392E-2</v>
      </c>
      <c r="T259" s="330">
        <v>1556</v>
      </c>
      <c r="U259" s="372">
        <f t="shared" si="8"/>
        <v>6.3249461404007973E-2</v>
      </c>
      <c r="V259" s="305"/>
      <c r="W259" s="310"/>
      <c r="X259" s="5"/>
    </row>
    <row r="260" spans="1:24" ht="15.6" x14ac:dyDescent="0.3">
      <c r="A260" s="278"/>
      <c r="B260" s="329" t="s">
        <v>92</v>
      </c>
      <c r="C260" s="371"/>
      <c r="D260" s="371"/>
      <c r="E260" s="371"/>
      <c r="F260" s="279"/>
      <c r="G260" s="372"/>
      <c r="H260" s="371"/>
      <c r="I260" s="371"/>
      <c r="J260" s="371"/>
      <c r="K260" s="371"/>
      <c r="L260" s="371"/>
      <c r="M260" s="371"/>
      <c r="N260" s="371"/>
      <c r="O260" s="371"/>
      <c r="P260" s="371"/>
      <c r="Q260" s="371"/>
      <c r="R260" s="329">
        <v>9</v>
      </c>
      <c r="S260" s="372">
        <f t="shared" si="7"/>
        <v>6.0402684563758392E-2</v>
      </c>
      <c r="T260" s="330">
        <v>1681</v>
      </c>
      <c r="U260" s="372">
        <f t="shared" si="8"/>
        <v>6.8330555668468768E-2</v>
      </c>
      <c r="V260" s="305"/>
      <c r="W260" s="310"/>
      <c r="X260" s="5"/>
    </row>
    <row r="261" spans="1:24" ht="15.6" x14ac:dyDescent="0.3">
      <c r="A261" s="278"/>
      <c r="B261" s="329" t="s">
        <v>161</v>
      </c>
      <c r="C261" s="371"/>
      <c r="D261" s="371"/>
      <c r="E261" s="371"/>
      <c r="F261" s="279"/>
      <c r="G261" s="372"/>
      <c r="H261" s="371"/>
      <c r="I261" s="371"/>
      <c r="J261" s="371"/>
      <c r="K261" s="371"/>
      <c r="L261" s="371"/>
      <c r="M261" s="371"/>
      <c r="N261" s="371"/>
      <c r="O261" s="371"/>
      <c r="P261" s="371"/>
      <c r="Q261" s="371"/>
      <c r="R261" s="329">
        <v>4</v>
      </c>
      <c r="S261" s="372">
        <f t="shared" si="7"/>
        <v>2.6845637583892617E-2</v>
      </c>
      <c r="T261" s="330">
        <v>563</v>
      </c>
      <c r="U261" s="372">
        <f t="shared" si="8"/>
        <v>2.2885248567131419E-2</v>
      </c>
      <c r="V261" s="305"/>
      <c r="W261" s="310"/>
      <c r="X261" s="5"/>
    </row>
    <row r="262" spans="1:24" ht="15.6" x14ac:dyDescent="0.3">
      <c r="A262" s="278"/>
      <c r="B262" s="329" t="s">
        <v>162</v>
      </c>
      <c r="C262" s="371"/>
      <c r="D262" s="371"/>
      <c r="E262" s="371"/>
      <c r="F262" s="279"/>
      <c r="G262" s="372"/>
      <c r="H262" s="371"/>
      <c r="I262" s="371"/>
      <c r="J262" s="371"/>
      <c r="K262" s="371"/>
      <c r="L262" s="371"/>
      <c r="M262" s="371"/>
      <c r="N262" s="371"/>
      <c r="O262" s="371"/>
      <c r="P262" s="371"/>
      <c r="Q262" s="371"/>
      <c r="R262" s="329">
        <v>1</v>
      </c>
      <c r="S262" s="372">
        <f t="shared" si="7"/>
        <v>6.7114093959731542E-3</v>
      </c>
      <c r="T262" s="330">
        <v>90</v>
      </c>
      <c r="U262" s="372">
        <f t="shared" si="8"/>
        <v>3.6583878704117721E-3</v>
      </c>
      <c r="V262" s="305"/>
      <c r="W262" s="310"/>
      <c r="X262" s="5"/>
    </row>
    <row r="263" spans="1:24" ht="15.6" x14ac:dyDescent="0.3">
      <c r="A263" s="278"/>
      <c r="B263" s="329" t="s">
        <v>163</v>
      </c>
      <c r="C263" s="371"/>
      <c r="D263" s="371"/>
      <c r="E263" s="371"/>
      <c r="F263" s="279"/>
      <c r="G263" s="372"/>
      <c r="H263" s="371"/>
      <c r="I263" s="371"/>
      <c r="J263" s="371"/>
      <c r="K263" s="371"/>
      <c r="L263" s="371"/>
      <c r="M263" s="371"/>
      <c r="N263" s="371"/>
      <c r="O263" s="371"/>
      <c r="P263" s="371"/>
      <c r="Q263" s="371"/>
      <c r="R263" s="329">
        <v>3</v>
      </c>
      <c r="S263" s="372">
        <f t="shared" si="7"/>
        <v>2.0134228187919462E-2</v>
      </c>
      <c r="T263" s="330">
        <v>313</v>
      </c>
      <c r="U263" s="372">
        <f t="shared" si="8"/>
        <v>1.2723060038209829E-2</v>
      </c>
      <c r="V263" s="305"/>
      <c r="W263" s="310"/>
      <c r="X263" s="5"/>
    </row>
    <row r="264" spans="1:24" ht="15.6" x14ac:dyDescent="0.3">
      <c r="A264" s="278"/>
      <c r="B264" s="329" t="s">
        <v>164</v>
      </c>
      <c r="C264" s="371"/>
      <c r="D264" s="371"/>
      <c r="E264" s="371"/>
      <c r="F264" s="279"/>
      <c r="G264" s="372"/>
      <c r="H264" s="371"/>
      <c r="I264" s="371"/>
      <c r="J264" s="371"/>
      <c r="K264" s="371"/>
      <c r="L264" s="371"/>
      <c r="M264" s="371"/>
      <c r="N264" s="371"/>
      <c r="O264" s="371"/>
      <c r="P264" s="371"/>
      <c r="Q264" s="371"/>
      <c r="R264" s="329">
        <v>7</v>
      </c>
      <c r="S264" s="372">
        <f t="shared" si="7"/>
        <v>4.6979865771812082E-2</v>
      </c>
      <c r="T264" s="330">
        <v>1000</v>
      </c>
      <c r="U264" s="372">
        <f t="shared" si="8"/>
        <v>4.0648754115686352E-2</v>
      </c>
      <c r="V264" s="305"/>
      <c r="W264" s="310"/>
      <c r="X264" s="5"/>
    </row>
    <row r="265" spans="1:24" ht="15.6" x14ac:dyDescent="0.3">
      <c r="A265" s="278"/>
      <c r="B265" s="329" t="s">
        <v>165</v>
      </c>
      <c r="C265" s="371"/>
      <c r="D265" s="371"/>
      <c r="E265" s="371"/>
      <c r="F265" s="279"/>
      <c r="G265" s="372"/>
      <c r="H265" s="371"/>
      <c r="I265" s="371"/>
      <c r="J265" s="371"/>
      <c r="K265" s="371"/>
      <c r="L265" s="371"/>
      <c r="M265" s="371"/>
      <c r="N265" s="371"/>
      <c r="O265" s="371"/>
      <c r="P265" s="371"/>
      <c r="Q265" s="371"/>
      <c r="R265" s="329">
        <v>9</v>
      </c>
      <c r="S265" s="372">
        <f t="shared" si="7"/>
        <v>6.0402684563758392E-2</v>
      </c>
      <c r="T265" s="330">
        <v>1810</v>
      </c>
      <c r="U265" s="372">
        <f t="shared" si="8"/>
        <v>7.3574244949392298E-2</v>
      </c>
      <c r="V265" s="305"/>
      <c r="W265" s="310"/>
      <c r="X265" s="5"/>
    </row>
    <row r="266" spans="1:24" ht="15.6" x14ac:dyDescent="0.3">
      <c r="A266" s="278"/>
      <c r="B266" s="329"/>
      <c r="C266" s="371"/>
      <c r="D266" s="371"/>
      <c r="E266" s="371"/>
      <c r="F266" s="279"/>
      <c r="G266" s="372"/>
      <c r="H266" s="371"/>
      <c r="I266" s="371"/>
      <c r="J266" s="371"/>
      <c r="K266" s="371"/>
      <c r="L266" s="371"/>
      <c r="M266" s="371"/>
      <c r="N266" s="371"/>
      <c r="O266" s="371"/>
      <c r="P266" s="371"/>
      <c r="Q266" s="371"/>
      <c r="R266" s="329"/>
      <c r="S266" s="372"/>
      <c r="T266" s="330"/>
      <c r="U266" s="372"/>
      <c r="V266" s="305"/>
      <c r="W266" s="310"/>
      <c r="X266" s="5"/>
    </row>
    <row r="267" spans="1:24" ht="15.6" x14ac:dyDescent="0.3">
      <c r="A267" s="278"/>
      <c r="B267" s="279" t="s">
        <v>119</v>
      </c>
      <c r="C267" s="279"/>
      <c r="D267" s="279"/>
      <c r="E267" s="279"/>
      <c r="F267" s="279"/>
      <c r="G267" s="279"/>
      <c r="H267" s="373"/>
      <c r="I267" s="373"/>
      <c r="J267" s="373"/>
      <c r="K267" s="373"/>
      <c r="L267" s="373"/>
      <c r="M267" s="373"/>
      <c r="N267" s="373"/>
      <c r="O267" s="373"/>
      <c r="P267" s="373"/>
      <c r="Q267" s="373"/>
      <c r="R267" s="329">
        <f>SUM(R258:R266)</f>
        <v>149</v>
      </c>
      <c r="S267" s="372">
        <f>SUM(S258:S266)</f>
        <v>1</v>
      </c>
      <c r="T267" s="330">
        <f>SUM(T258:T266)</f>
        <v>24601</v>
      </c>
      <c r="U267" s="372">
        <f>SUM(U258:U266)</f>
        <v>1</v>
      </c>
      <c r="V267" s="305"/>
      <c r="W267" s="310"/>
      <c r="X267" s="5"/>
    </row>
    <row r="268" spans="1:24" ht="15.6" x14ac:dyDescent="0.3">
      <c r="A268" s="177"/>
      <c r="B268" s="275"/>
      <c r="C268" s="275"/>
      <c r="D268" s="275"/>
      <c r="E268" s="275"/>
      <c r="F268" s="275"/>
      <c r="G268" s="275"/>
      <c r="H268" s="368"/>
      <c r="I268" s="368"/>
      <c r="J268" s="368"/>
      <c r="K268" s="368"/>
      <c r="L268" s="368"/>
      <c r="M268" s="368"/>
      <c r="N268" s="368"/>
      <c r="O268" s="368"/>
      <c r="P268" s="368"/>
      <c r="Q268" s="368"/>
      <c r="R268" s="327"/>
      <c r="S268" s="369"/>
      <c r="T268" s="370"/>
      <c r="U268" s="369"/>
      <c r="V268" s="275"/>
      <c r="W268" s="275"/>
      <c r="X268" s="5"/>
    </row>
    <row r="269" spans="1:24" ht="15.6" x14ac:dyDescent="0.3">
      <c r="A269" s="243"/>
      <c r="B269" s="388" t="s">
        <v>169</v>
      </c>
      <c r="C269" s="244"/>
      <c r="D269" s="244"/>
      <c r="E269" s="244"/>
      <c r="F269" s="244"/>
      <c r="G269" s="244"/>
      <c r="H269" s="246"/>
      <c r="I269" s="246"/>
      <c r="J269" s="246"/>
      <c r="K269" s="246"/>
      <c r="L269" s="246"/>
      <c r="M269" s="246"/>
      <c r="N269" s="246"/>
      <c r="O269" s="246"/>
      <c r="P269" s="246"/>
      <c r="Q269" s="246"/>
      <c r="R269" s="396" t="s">
        <v>104</v>
      </c>
      <c r="S269" s="389" t="s">
        <v>105</v>
      </c>
      <c r="T269" s="396" t="s">
        <v>113</v>
      </c>
      <c r="U269" s="389" t="s">
        <v>105</v>
      </c>
      <c r="V269" s="244"/>
      <c r="W269" s="245"/>
      <c r="X269" s="5"/>
    </row>
    <row r="270" spans="1:24" ht="15.6" x14ac:dyDescent="0.3">
      <c r="A270" s="189"/>
      <c r="B270" s="247" t="s">
        <v>90</v>
      </c>
      <c r="C270" s="248"/>
      <c r="D270" s="248"/>
      <c r="E270" s="248"/>
      <c r="F270" s="248"/>
      <c r="G270" s="248"/>
      <c r="H270" s="249"/>
      <c r="I270" s="249"/>
      <c r="J270" s="249"/>
      <c r="K270" s="249"/>
      <c r="L270" s="249"/>
      <c r="M270" s="249"/>
      <c r="N270" s="249"/>
      <c r="O270" s="249"/>
      <c r="P270" s="249"/>
      <c r="Q270" s="249"/>
      <c r="R270" s="247">
        <v>0</v>
      </c>
      <c r="S270" s="250">
        <v>0</v>
      </c>
      <c r="T270" s="251">
        <v>0</v>
      </c>
      <c r="U270" s="250">
        <v>0</v>
      </c>
      <c r="V270" s="248"/>
      <c r="W270" s="190"/>
      <c r="X270" s="5"/>
    </row>
    <row r="271" spans="1:24" ht="15.6" x14ac:dyDescent="0.3">
      <c r="A271" s="278"/>
      <c r="B271" s="329" t="s">
        <v>91</v>
      </c>
      <c r="C271" s="279"/>
      <c r="D271" s="279"/>
      <c r="E271" s="279"/>
      <c r="F271" s="279"/>
      <c r="G271" s="279"/>
      <c r="H271" s="373"/>
      <c r="I271" s="373"/>
      <c r="J271" s="373"/>
      <c r="K271" s="373"/>
      <c r="L271" s="373"/>
      <c r="M271" s="373"/>
      <c r="N271" s="373"/>
      <c r="O271" s="373"/>
      <c r="P271" s="373"/>
      <c r="Q271" s="373"/>
      <c r="R271" s="329">
        <v>0</v>
      </c>
      <c r="S271" s="372">
        <v>0</v>
      </c>
      <c r="T271" s="330">
        <v>0</v>
      </c>
      <c r="U271" s="372">
        <v>0</v>
      </c>
      <c r="V271" s="279"/>
      <c r="W271" s="310"/>
      <c r="X271" s="5"/>
    </row>
    <row r="272" spans="1:24" ht="15.6" x14ac:dyDescent="0.3">
      <c r="A272" s="278"/>
      <c r="B272" s="329" t="s">
        <v>92</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161</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162</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163</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164</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165</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c r="C278" s="279"/>
      <c r="D278" s="279"/>
      <c r="E278" s="279"/>
      <c r="F278" s="279"/>
      <c r="G278" s="279"/>
      <c r="H278" s="373"/>
      <c r="I278" s="373"/>
      <c r="J278" s="373"/>
      <c r="K278" s="373"/>
      <c r="L278" s="373"/>
      <c r="M278" s="373"/>
      <c r="N278" s="373"/>
      <c r="O278" s="373"/>
      <c r="P278" s="373"/>
      <c r="Q278" s="373"/>
      <c r="R278" s="329"/>
      <c r="S278" s="372"/>
      <c r="T278" s="330"/>
      <c r="U278" s="372"/>
      <c r="V278" s="279"/>
      <c r="W278" s="310"/>
      <c r="X278" s="5"/>
    </row>
    <row r="279" spans="1:24" ht="15.6" x14ac:dyDescent="0.3">
      <c r="A279" s="278"/>
      <c r="B279" s="279" t="s">
        <v>119</v>
      </c>
      <c r="C279" s="279"/>
      <c r="D279" s="279"/>
      <c r="E279" s="279"/>
      <c r="F279" s="279"/>
      <c r="G279" s="279"/>
      <c r="H279" s="373"/>
      <c r="I279" s="373"/>
      <c r="J279" s="373"/>
      <c r="K279" s="373"/>
      <c r="L279" s="373"/>
      <c r="M279" s="373"/>
      <c r="N279" s="373"/>
      <c r="O279" s="373"/>
      <c r="P279" s="373"/>
      <c r="Q279" s="373"/>
      <c r="R279" s="329">
        <f>SUM(R270:R277)</f>
        <v>0</v>
      </c>
      <c r="S279" s="372">
        <f>SUM(S270:S278)</f>
        <v>0</v>
      </c>
      <c r="T279" s="330">
        <f>SUM(T270:T277)</f>
        <v>0</v>
      </c>
      <c r="U279" s="372">
        <f>SUM(U270:U278)</f>
        <v>0</v>
      </c>
      <c r="V279" s="279"/>
      <c r="W279" s="310"/>
      <c r="X279" s="5"/>
    </row>
    <row r="280" spans="1:24" ht="15.6" x14ac:dyDescent="0.3">
      <c r="A280" s="278"/>
      <c r="B280" s="279"/>
      <c r="C280" s="279"/>
      <c r="D280" s="279"/>
      <c r="E280" s="279"/>
      <c r="F280" s="279"/>
      <c r="G280" s="279"/>
      <c r="H280" s="373"/>
      <c r="I280" s="373"/>
      <c r="J280" s="373"/>
      <c r="K280" s="373"/>
      <c r="L280" s="373"/>
      <c r="M280" s="373"/>
      <c r="N280" s="373"/>
      <c r="O280" s="373"/>
      <c r="P280" s="373"/>
      <c r="Q280" s="373"/>
      <c r="R280" s="329"/>
      <c r="S280" s="372"/>
      <c r="T280" s="330"/>
      <c r="U280" s="372"/>
      <c r="V280" s="279"/>
      <c r="W280" s="310"/>
      <c r="X280" s="5"/>
    </row>
    <row r="281" spans="1:24" ht="15.6" x14ac:dyDescent="0.3">
      <c r="A281" s="278"/>
      <c r="B281" s="288" t="s">
        <v>170</v>
      </c>
      <c r="C281" s="279"/>
      <c r="D281" s="279"/>
      <c r="E281" s="279"/>
      <c r="F281" s="279"/>
      <c r="G281" s="279"/>
      <c r="H281" s="373"/>
      <c r="I281" s="373"/>
      <c r="J281" s="373"/>
      <c r="K281" s="373"/>
      <c r="L281" s="373"/>
      <c r="M281" s="373"/>
      <c r="N281" s="373"/>
      <c r="O281" s="373"/>
      <c r="P281" s="373"/>
      <c r="Q281" s="373"/>
      <c r="R281" s="376">
        <f>R279+R267+R255</f>
        <v>7405</v>
      </c>
      <c r="S281" s="372"/>
      <c r="T281" s="397">
        <f>+T279+T267+T255</f>
        <v>991483</v>
      </c>
      <c r="U281" s="372"/>
      <c r="V281" s="279"/>
      <c r="W281" s="310"/>
      <c r="X281" s="5"/>
    </row>
    <row r="282" spans="1:24" ht="15.6" x14ac:dyDescent="0.3">
      <c r="A282" s="177"/>
      <c r="B282" s="340"/>
      <c r="C282" s="340"/>
      <c r="D282" s="340"/>
      <c r="E282" s="340"/>
      <c r="F282" s="340"/>
      <c r="G282" s="340"/>
      <c r="H282" s="374"/>
      <c r="I282" s="374"/>
      <c r="J282" s="374"/>
      <c r="K282" s="374"/>
      <c r="L282" s="374"/>
      <c r="M282" s="374"/>
      <c r="N282" s="374"/>
      <c r="O282" s="374"/>
      <c r="P282" s="374"/>
      <c r="Q282" s="374"/>
      <c r="R282" s="374"/>
      <c r="S282" s="374"/>
      <c r="T282" s="375"/>
      <c r="U282" s="374"/>
      <c r="V282" s="340"/>
      <c r="W282" s="275"/>
      <c r="X282" s="5"/>
    </row>
    <row r="283" spans="1:24" ht="15.6" x14ac:dyDescent="0.3">
      <c r="A283" s="177"/>
      <c r="B283" s="252"/>
      <c r="C283" s="252"/>
      <c r="D283" s="252"/>
      <c r="E283" s="252"/>
      <c r="F283" s="252"/>
      <c r="G283" s="252"/>
      <c r="H283" s="253"/>
      <c r="I283" s="253"/>
      <c r="J283" s="253"/>
      <c r="K283" s="253"/>
      <c r="L283" s="253"/>
      <c r="M283" s="253"/>
      <c r="N283" s="253"/>
      <c r="O283" s="253"/>
      <c r="P283" s="253"/>
      <c r="Q283" s="253"/>
      <c r="R283" s="253"/>
      <c r="S283" s="253"/>
      <c r="T283" s="254"/>
      <c r="U283" s="253"/>
      <c r="V283" s="252"/>
      <c r="W283" s="179"/>
      <c r="X283" s="5"/>
    </row>
    <row r="284" spans="1:24" ht="15.6" x14ac:dyDescent="0.3">
      <c r="A284" s="222"/>
      <c r="B284" s="378" t="s">
        <v>93</v>
      </c>
      <c r="C284" s="252"/>
      <c r="D284" s="252"/>
      <c r="E284" s="252"/>
      <c r="F284" s="381" t="s">
        <v>99</v>
      </c>
      <c r="G284" s="252"/>
      <c r="H284" s="378" t="s">
        <v>101</v>
      </c>
      <c r="I284" s="257"/>
      <c r="J284" s="257"/>
      <c r="K284" s="257"/>
      <c r="L284" s="257"/>
      <c r="M284" s="257"/>
      <c r="N284" s="257"/>
      <c r="O284" s="257"/>
      <c r="P284" s="257"/>
      <c r="Q284" s="257"/>
      <c r="R284" s="257"/>
      <c r="S284" s="257"/>
      <c r="T284" s="257"/>
      <c r="U284" s="257"/>
      <c r="V284" s="257"/>
      <c r="W284" s="187"/>
      <c r="X284" s="5"/>
    </row>
    <row r="285" spans="1:24" ht="15.6" x14ac:dyDescent="0.3">
      <c r="A285" s="222"/>
      <c r="B285" s="257"/>
      <c r="C285" s="252"/>
      <c r="D285" s="252"/>
      <c r="E285" s="252"/>
      <c r="F285" s="252"/>
      <c r="G285" s="252"/>
      <c r="H285" s="252"/>
      <c r="I285" s="257"/>
      <c r="J285" s="257"/>
      <c r="K285" s="257"/>
      <c r="L285" s="257"/>
      <c r="M285" s="257"/>
      <c r="N285" s="257"/>
      <c r="O285" s="257"/>
      <c r="P285" s="257"/>
      <c r="Q285" s="257"/>
      <c r="R285" s="257"/>
      <c r="S285" s="257"/>
      <c r="T285" s="257"/>
      <c r="U285" s="257"/>
      <c r="V285" s="257"/>
      <c r="W285" s="187"/>
      <c r="X285" s="5"/>
    </row>
    <row r="286" spans="1:24" ht="15.6" x14ac:dyDescent="0.3">
      <c r="A286" s="222"/>
      <c r="B286" s="378" t="s">
        <v>94</v>
      </c>
      <c r="C286" s="378"/>
      <c r="D286" s="378"/>
      <c r="E286" s="378"/>
      <c r="F286" s="398" t="s">
        <v>153</v>
      </c>
      <c r="G286" s="378"/>
      <c r="H286" s="378" t="s">
        <v>157</v>
      </c>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277</v>
      </c>
      <c r="C287" s="378"/>
      <c r="D287" s="378"/>
      <c r="E287" s="378"/>
      <c r="F287" s="398" t="s">
        <v>278</v>
      </c>
      <c r="G287" s="378"/>
      <c r="H287" s="378" t="s">
        <v>279</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95</v>
      </c>
      <c r="C288" s="378"/>
      <c r="D288" s="378"/>
      <c r="E288" s="378"/>
      <c r="F288" s="398" t="s">
        <v>152</v>
      </c>
      <c r="G288" s="378"/>
      <c r="H288" s="378" t="s">
        <v>158</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c r="C289" s="378"/>
      <c r="D289" s="378"/>
      <c r="E289" s="378"/>
      <c r="F289" s="378"/>
      <c r="G289" s="259"/>
      <c r="H289" s="257"/>
      <c r="I289" s="257"/>
      <c r="J289" s="257"/>
      <c r="K289" s="257"/>
      <c r="L289" s="257"/>
      <c r="M289" s="257"/>
      <c r="N289" s="257"/>
      <c r="O289" s="257"/>
      <c r="P289" s="257"/>
      <c r="Q289" s="257"/>
      <c r="R289" s="257"/>
      <c r="S289" s="257"/>
      <c r="T289" s="257"/>
      <c r="U289" s="257"/>
      <c r="V289" s="257"/>
      <c r="W289" s="187"/>
      <c r="X289" s="5"/>
    </row>
    <row r="290" spans="1:24" ht="18" thickBot="1" x14ac:dyDescent="0.35">
      <c r="A290" s="222"/>
      <c r="B290" s="260" t="str">
        <f>B195</f>
        <v>PM12 INVESTOR REPORT QUARTER ENDING JANUARY 2012</v>
      </c>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x14ac:dyDescent="0.2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row>
  </sheetData>
  <hyperlinks>
    <hyperlink ref="P231" r:id="rId1" xr:uid="{00000000-0004-0000-1500-000000000000}"/>
    <hyperlink ref="I9" r:id="rId2" xr:uid="{00000000-0004-0000-15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195" max="14" man="1"/>
  </rowBreak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89CB31"/>
  </sheetPr>
  <dimension ref="A1:Y291"/>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0.64449999999999996</v>
      </c>
      <c r="T16" s="381" t="s">
        <v>145</v>
      </c>
      <c r="U16" s="380">
        <v>0.35549999999999998</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41050</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314</v>
      </c>
      <c r="E27" s="285"/>
      <c r="F27" s="285" t="s">
        <v>148</v>
      </c>
      <c r="G27" s="285"/>
      <c r="H27" s="285" t="s">
        <v>148</v>
      </c>
      <c r="I27" s="285"/>
      <c r="J27" s="285" t="s">
        <v>148</v>
      </c>
      <c r="K27" s="285"/>
      <c r="L27" s="285" t="s">
        <v>171</v>
      </c>
      <c r="M27" s="285"/>
      <c r="N27" s="285" t="s">
        <v>171</v>
      </c>
      <c r="O27" s="285"/>
      <c r="P27" s="285" t="s">
        <v>149</v>
      </c>
      <c r="Q27" s="285"/>
      <c r="R27" s="285" t="s">
        <v>149</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912202.05</v>
      </c>
      <c r="E32" s="289"/>
      <c r="F32" s="290">
        <f>F31*F38</f>
        <v>88179.661999999997</v>
      </c>
      <c r="G32" s="290"/>
      <c r="H32" s="295">
        <f>H31*H38</f>
        <v>148993.22200000001</v>
      </c>
      <c r="I32" s="295"/>
      <c r="J32" s="294">
        <f>J31*J38</f>
        <v>189129.89170000001</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907708.35000000009</v>
      </c>
      <c r="E33" s="301"/>
      <c r="F33" s="303">
        <f>F37*F31</f>
        <v>87745.271000000008</v>
      </c>
      <c r="G33" s="303"/>
      <c r="H33" s="384">
        <f>H31*H37</f>
        <v>148259.25099999999</v>
      </c>
      <c r="I33" s="384"/>
      <c r="J33" s="383">
        <f>J37*J31</f>
        <v>188198.1979</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495761.74572990002</v>
      </c>
      <c r="E35" s="289"/>
      <c r="F35" s="290">
        <f>F34*F38</f>
        <v>88179.661999999997</v>
      </c>
      <c r="G35" s="290"/>
      <c r="H35" s="290">
        <f>H34*H38</f>
        <v>102754.2397896</v>
      </c>
      <c r="I35" s="290"/>
      <c r="J35" s="290">
        <f>J34*J38</f>
        <v>102788.14326340001</v>
      </c>
      <c r="K35" s="290"/>
      <c r="L35" s="290">
        <f>+L34</f>
        <v>25000</v>
      </c>
      <c r="M35" s="290"/>
      <c r="N35" s="290">
        <f>+N34</f>
        <v>86897</v>
      </c>
      <c r="O35" s="290"/>
      <c r="P35" s="290">
        <f>+P34</f>
        <v>17000</v>
      </c>
      <c r="Q35" s="290"/>
      <c r="R35" s="290">
        <f>+R34</f>
        <v>73103</v>
      </c>
      <c r="S35" s="290"/>
      <c r="T35" s="290"/>
      <c r="U35" s="291"/>
      <c r="V35" s="290">
        <f>SUM(C35:R35)-1</f>
        <v>991482.79078290006</v>
      </c>
      <c r="W35" s="292"/>
      <c r="X35" s="5"/>
    </row>
    <row r="36" spans="1:24" ht="15.6" x14ac:dyDescent="0.3">
      <c r="A36" s="283"/>
      <c r="B36" s="288" t="s">
        <v>295</v>
      </c>
      <c r="C36" s="301"/>
      <c r="D36" s="303">
        <f>D34*D37</f>
        <v>493319.51864130003</v>
      </c>
      <c r="E36" s="301"/>
      <c r="F36" s="303">
        <f>F34*F37</f>
        <v>87745.271000000008</v>
      </c>
      <c r="G36" s="303"/>
      <c r="H36" s="303">
        <f>H34*H37</f>
        <v>102248.0514468</v>
      </c>
      <c r="I36" s="303"/>
      <c r="J36" s="303">
        <f>J34*J37</f>
        <v>102281.7871558</v>
      </c>
      <c r="K36" s="303"/>
      <c r="L36" s="303">
        <f>+L34</f>
        <v>25000</v>
      </c>
      <c r="M36" s="303"/>
      <c r="N36" s="303">
        <f>+N34</f>
        <v>86897</v>
      </c>
      <c r="O36" s="303"/>
      <c r="P36" s="303">
        <f>+P34</f>
        <v>17000</v>
      </c>
      <c r="Q36" s="303"/>
      <c r="R36" s="303">
        <f>+R34</f>
        <v>73103</v>
      </c>
      <c r="S36" s="302"/>
      <c r="T36" s="302"/>
      <c r="U36" s="291"/>
      <c r="V36" s="303">
        <f>SUM(C36:R36)-1</f>
        <v>987593.62824390002</v>
      </c>
      <c r="W36" s="292"/>
      <c r="X36" s="5"/>
    </row>
    <row r="37" spans="1:24" ht="15.6" x14ac:dyDescent="0.3">
      <c r="A37" s="278"/>
      <c r="B37" s="304" t="s">
        <v>135</v>
      </c>
      <c r="C37" s="305"/>
      <c r="D37" s="306">
        <v>0.60513890000000004</v>
      </c>
      <c r="E37" s="307"/>
      <c r="F37" s="306">
        <v>0.60513980000000001</v>
      </c>
      <c r="G37" s="306"/>
      <c r="H37" s="306">
        <v>0.60513980000000001</v>
      </c>
      <c r="I37" s="306"/>
      <c r="J37" s="306">
        <v>0.60513890000000004</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0.60813470000000003</v>
      </c>
      <c r="E38" s="307"/>
      <c r="F38" s="306">
        <v>0.6081356</v>
      </c>
      <c r="G38" s="306"/>
      <c r="H38" s="306">
        <v>0.6081356</v>
      </c>
      <c r="I38" s="306"/>
      <c r="J38" s="306">
        <v>0.60813470000000003</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235</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3.6024999999999998E-3</v>
      </c>
      <c r="E40" s="279"/>
      <c r="F40" s="314">
        <v>1.3158100000000001E-2</v>
      </c>
      <c r="G40" s="313"/>
      <c r="H40" s="314">
        <v>1.2970000000000001E-2</v>
      </c>
      <c r="I40" s="314"/>
      <c r="J40" s="314">
        <v>7.2259999999999998E-3</v>
      </c>
      <c r="K40" s="313"/>
      <c r="L40" s="314">
        <v>1.55581E-2</v>
      </c>
      <c r="M40" s="313"/>
      <c r="N40" s="314">
        <v>1.537E-2</v>
      </c>
      <c r="O40" s="313"/>
      <c r="P40" s="314">
        <v>1.9958099999999999E-2</v>
      </c>
      <c r="Q40" s="313"/>
      <c r="R40" s="314">
        <v>1.9769999999999999E-2</v>
      </c>
      <c r="S40" s="313"/>
      <c r="T40" s="314"/>
      <c r="U40" s="281"/>
      <c r="V40" s="287"/>
      <c r="W40" s="282"/>
      <c r="X40" s="5"/>
    </row>
    <row r="41" spans="1:24" ht="15.6" x14ac:dyDescent="0.3">
      <c r="A41" s="278"/>
      <c r="B41" s="279" t="s">
        <v>13</v>
      </c>
      <c r="C41" s="279"/>
      <c r="D41" s="314">
        <v>4.0509999999999999E-3</v>
      </c>
      <c r="E41" s="279"/>
      <c r="F41" s="314">
        <v>1.2476299999999999E-2</v>
      </c>
      <c r="G41" s="313"/>
      <c r="H41" s="314">
        <v>1.702E-2</v>
      </c>
      <c r="I41" s="314"/>
      <c r="J41" s="314">
        <v>6.7721999999999999E-3</v>
      </c>
      <c r="K41" s="313"/>
      <c r="L41" s="314">
        <v>1.48763E-2</v>
      </c>
      <c r="M41" s="313"/>
      <c r="N41" s="314">
        <v>1.942E-2</v>
      </c>
      <c r="O41" s="313"/>
      <c r="P41" s="314">
        <v>1.92763E-2</v>
      </c>
      <c r="Q41" s="313"/>
      <c r="R41" s="314">
        <v>2.3820000000000001E-2</v>
      </c>
      <c r="S41" s="313"/>
      <c r="T41" s="314"/>
      <c r="U41" s="281"/>
      <c r="V41" s="313" t="s">
        <v>199</v>
      </c>
      <c r="W41" s="282"/>
      <c r="X41" s="5"/>
    </row>
    <row r="42" spans="1:24" ht="15.6" x14ac:dyDescent="0.3">
      <c r="A42" s="278"/>
      <c r="B42" s="279" t="s">
        <v>296</v>
      </c>
      <c r="C42" s="279"/>
      <c r="D42" s="287" t="s">
        <v>286</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1.2161399999999999E-2</v>
      </c>
      <c r="E43" s="314"/>
      <c r="F43" s="314">
        <f>+F40</f>
        <v>1.3158100000000001E-2</v>
      </c>
      <c r="G43" s="314"/>
      <c r="H43" s="314">
        <v>1.3080100000000001E-2</v>
      </c>
      <c r="I43" s="314"/>
      <c r="J43" s="314">
        <v>1.33221E-2</v>
      </c>
      <c r="K43" s="314"/>
      <c r="L43" s="314">
        <f>+L40</f>
        <v>1.55581E-2</v>
      </c>
      <c r="M43" s="314"/>
      <c r="N43" s="314">
        <v>1.5760099999999999E-2</v>
      </c>
      <c r="O43" s="314"/>
      <c r="P43" s="314">
        <f>+P40</f>
        <v>1.9958099999999999E-2</v>
      </c>
      <c r="Q43" s="313"/>
      <c r="R43" s="314">
        <v>2.04301E-2</v>
      </c>
      <c r="S43" s="287"/>
      <c r="T43" s="287"/>
      <c r="U43" s="281"/>
      <c r="V43" s="313">
        <f>SUMPRODUCT(D43:R43,D35:R35)/V35</f>
        <v>1.3609989700040919E-2</v>
      </c>
      <c r="W43" s="282"/>
      <c r="X43" s="5"/>
    </row>
    <row r="44" spans="1:24" ht="15.6" x14ac:dyDescent="0.3">
      <c r="A44" s="278"/>
      <c r="B44" s="279" t="s">
        <v>298</v>
      </c>
      <c r="C44" s="315"/>
      <c r="D44" s="314">
        <v>1.14796E-2</v>
      </c>
      <c r="E44" s="314"/>
      <c r="F44" s="314">
        <f>+F41</f>
        <v>1.2476299999999999E-2</v>
      </c>
      <c r="G44" s="314"/>
      <c r="H44" s="314">
        <v>1.2398299999999999E-2</v>
      </c>
      <c r="I44" s="314"/>
      <c r="J44" s="314">
        <v>1.26403E-2</v>
      </c>
      <c r="K44" s="314"/>
      <c r="L44" s="314">
        <f>+L41</f>
        <v>1.48763E-2</v>
      </c>
      <c r="M44" s="314"/>
      <c r="N44" s="314">
        <v>1.5078299999999999E-2</v>
      </c>
      <c r="O44" s="314"/>
      <c r="P44" s="314">
        <f>+P41</f>
        <v>1.92763E-2</v>
      </c>
      <c r="Q44" s="313"/>
      <c r="R44" s="314">
        <v>1.97483E-2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206</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0.25713006776987019</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41044</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92</v>
      </c>
      <c r="S57" s="279"/>
      <c r="T57" s="325">
        <v>40862</v>
      </c>
      <c r="U57" s="326"/>
      <c r="V57" s="325">
        <v>40953</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90</v>
      </c>
      <c r="S58" s="279"/>
      <c r="T58" s="325">
        <v>40954</v>
      </c>
      <c r="U58" s="326"/>
      <c r="V58" s="325">
        <v>41043</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41030</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313</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991483</v>
      </c>
      <c r="O68" s="329"/>
      <c r="P68" s="329">
        <f>3889+41+48</f>
        <v>3978</v>
      </c>
      <c r="Q68" s="329"/>
      <c r="R68" s="329">
        <f>41+48</f>
        <v>89</v>
      </c>
      <c r="S68" s="329"/>
      <c r="T68" s="329">
        <v>0</v>
      </c>
      <c r="U68" s="329"/>
      <c r="V68" s="330">
        <f>+N68-P68+R68-T68</f>
        <v>987594</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991483</v>
      </c>
      <c r="O71" s="329"/>
      <c r="P71" s="329">
        <f>SUM(P68:P70)</f>
        <v>3978</v>
      </c>
      <c r="Q71" s="329"/>
      <c r="R71" s="329">
        <f>SUM(R68:R70)</f>
        <v>89</v>
      </c>
      <c r="S71" s="329"/>
      <c r="T71" s="329">
        <f>SUM(T68:T70)</f>
        <v>0</v>
      </c>
      <c r="U71" s="329"/>
      <c r="V71" s="329">
        <f>SUM(V68:V70)</f>
        <v>987594</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991483</v>
      </c>
      <c r="O84" s="329"/>
      <c r="P84" s="329"/>
      <c r="Q84" s="329"/>
      <c r="R84" s="329"/>
      <c r="S84" s="329"/>
      <c r="T84" s="329"/>
      <c r="U84" s="329"/>
      <c r="V84" s="329">
        <f>SUM(V71:V83)</f>
        <v>987594</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+T196</f>
        <v>41029</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3978-305</f>
        <v>3673</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4906+2869-1053-347</f>
        <v>6375</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104+8</f>
        <v>112</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78</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699</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3673</v>
      </c>
      <c r="U96" s="279"/>
      <c r="V96" s="329">
        <f>SUM(V88:V95)</f>
        <v>7264</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-2</v>
      </c>
      <c r="U97" s="279"/>
      <c r="V97" s="329">
        <v>2</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-445</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3671</v>
      </c>
      <c r="U100" s="279"/>
      <c r="V100" s="329">
        <f>V96+V98+V97+V99</f>
        <v>6821</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259</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210</v>
      </c>
      <c r="C104" s="279"/>
      <c r="D104" s="279"/>
      <c r="E104" s="279"/>
      <c r="F104" s="279"/>
      <c r="G104" s="279"/>
      <c r="H104" s="279"/>
      <c r="I104" s="279"/>
      <c r="J104" s="279"/>
      <c r="K104" s="279"/>
      <c r="L104" s="279"/>
      <c r="M104" s="279"/>
      <c r="N104" s="279"/>
      <c r="O104" s="279"/>
      <c r="P104" s="279"/>
      <c r="Q104" s="279"/>
      <c r="R104" s="279"/>
      <c r="S104" s="279"/>
      <c r="T104" s="279"/>
      <c r="U104" s="279"/>
      <c r="V104" s="330">
        <f>-369-234-12</f>
        <v>-615</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-44</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-2442+286</f>
        <v>-2156</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-286</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-338</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-96</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-368</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-84</v>
      </c>
      <c r="W111" s="282"/>
      <c r="X111" s="5"/>
      <c r="Y111" s="109"/>
    </row>
    <row r="112" spans="1:25" ht="15.6" x14ac:dyDescent="0.3">
      <c r="A112" s="336">
        <v>7</v>
      </c>
      <c r="B112" s="279" t="s">
        <v>35</v>
      </c>
      <c r="C112" s="279"/>
      <c r="D112" s="279"/>
      <c r="E112" s="279"/>
      <c r="F112" s="279"/>
      <c r="G112" s="279"/>
      <c r="H112" s="279"/>
      <c r="I112" s="279"/>
      <c r="J112" s="279"/>
      <c r="K112" s="279"/>
      <c r="L112" s="279"/>
      <c r="M112" s="279"/>
      <c r="N112" s="279"/>
      <c r="O112" s="279"/>
      <c r="P112" s="279"/>
      <c r="Q112" s="279"/>
      <c r="R112" s="279"/>
      <c r="S112" s="279"/>
      <c r="T112" s="279"/>
      <c r="U112" s="279"/>
      <c r="V112" s="330">
        <v>-8</v>
      </c>
      <c r="W112" s="282"/>
      <c r="X112" s="5"/>
    </row>
    <row r="113" spans="1:24" ht="15.6" x14ac:dyDescent="0.3">
      <c r="A113" s="336">
        <f t="shared" ref="A113:A118" si="0">+A112+1</f>
        <v>8</v>
      </c>
      <c r="B113" s="279" t="s">
        <v>46</v>
      </c>
      <c r="C113" s="279"/>
      <c r="D113" s="279"/>
      <c r="E113" s="279"/>
      <c r="F113" s="279"/>
      <c r="G113" s="279"/>
      <c r="H113" s="279"/>
      <c r="I113" s="279"/>
      <c r="J113" s="279"/>
      <c r="K113" s="279"/>
      <c r="L113" s="279"/>
      <c r="M113" s="279"/>
      <c r="N113" s="279"/>
      <c r="O113" s="279"/>
      <c r="P113" s="279"/>
      <c r="Q113" s="279"/>
      <c r="R113" s="279"/>
      <c r="S113" s="279"/>
      <c r="T113" s="329">
        <f>-V113</f>
        <v>305</v>
      </c>
      <c r="U113" s="279"/>
      <c r="V113" s="330">
        <v>-305</v>
      </c>
      <c r="W113" s="282"/>
      <c r="X113" s="5"/>
    </row>
    <row r="114" spans="1:24" ht="15.6" x14ac:dyDescent="0.3">
      <c r="A114" s="336">
        <f t="shared" si="0"/>
        <v>9</v>
      </c>
      <c r="B114" s="279" t="s">
        <v>130</v>
      </c>
      <c r="C114" s="279"/>
      <c r="D114" s="279"/>
      <c r="E114" s="279"/>
      <c r="F114" s="279"/>
      <c r="G114" s="279"/>
      <c r="H114" s="279"/>
      <c r="I114" s="279"/>
      <c r="J114" s="279"/>
      <c r="K114" s="279"/>
      <c r="L114" s="279"/>
      <c r="M114" s="279"/>
      <c r="N114" s="279"/>
      <c r="O114" s="279"/>
      <c r="P114" s="279"/>
      <c r="Q114" s="279"/>
      <c r="R114" s="279"/>
      <c r="S114" s="279"/>
      <c r="T114" s="279"/>
      <c r="U114" s="279"/>
      <c r="V114" s="330">
        <v>0</v>
      </c>
      <c r="W114" s="282"/>
      <c r="X114" s="5"/>
    </row>
    <row r="115" spans="1:24" ht="15.6" x14ac:dyDescent="0.3">
      <c r="A115" s="336">
        <f t="shared" si="0"/>
        <v>10</v>
      </c>
      <c r="B115" s="279" t="s">
        <v>36</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37</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154</v>
      </c>
      <c r="C117" s="279"/>
      <c r="D117" s="279"/>
      <c r="E117" s="279"/>
      <c r="F117" s="279"/>
      <c r="G117" s="279"/>
      <c r="H117" s="279"/>
      <c r="I117" s="279"/>
      <c r="J117" s="279"/>
      <c r="K117" s="279"/>
      <c r="L117" s="279"/>
      <c r="M117" s="279"/>
      <c r="N117" s="279"/>
      <c r="O117" s="279"/>
      <c r="P117" s="279"/>
      <c r="Q117" s="279"/>
      <c r="R117" s="279"/>
      <c r="S117" s="279"/>
      <c r="T117" s="279"/>
      <c r="U117" s="279"/>
      <c r="V117" s="330">
        <v>-369</v>
      </c>
      <c r="W117" s="282"/>
      <c r="X117" s="5"/>
    </row>
    <row r="118" spans="1:24" ht="15.6" x14ac:dyDescent="0.3">
      <c r="A118" s="336">
        <f t="shared" si="0"/>
        <v>13</v>
      </c>
      <c r="B118" s="279" t="s">
        <v>131</v>
      </c>
      <c r="C118" s="279"/>
      <c r="D118" s="279"/>
      <c r="E118" s="279"/>
      <c r="F118" s="279"/>
      <c r="G118" s="279"/>
      <c r="H118" s="279"/>
      <c r="I118" s="279"/>
      <c r="J118" s="279"/>
      <c r="K118" s="279"/>
      <c r="L118" s="279"/>
      <c r="M118" s="279"/>
      <c r="N118" s="279"/>
      <c r="O118" s="279"/>
      <c r="P118" s="279"/>
      <c r="Q118" s="279"/>
      <c r="R118" s="279"/>
      <c r="S118" s="279"/>
      <c r="T118" s="279"/>
      <c r="U118" s="279"/>
      <c r="V118" s="330">
        <f>-V100-SUM(V102:V117)</f>
        <v>-2150</v>
      </c>
      <c r="W118" s="282"/>
      <c r="X118" s="5"/>
    </row>
    <row r="119" spans="1:24" ht="15.6" x14ac:dyDescent="0.3">
      <c r="A119" s="278"/>
      <c r="B119" s="333" t="s">
        <v>38</v>
      </c>
      <c r="C119" s="305"/>
      <c r="D119" s="305"/>
      <c r="E119" s="305"/>
      <c r="F119" s="305"/>
      <c r="G119" s="305"/>
      <c r="H119" s="305"/>
      <c r="I119" s="305"/>
      <c r="J119" s="305"/>
      <c r="K119" s="305"/>
      <c r="L119" s="305"/>
      <c r="M119" s="305"/>
      <c r="N119" s="305"/>
      <c r="O119" s="305"/>
      <c r="P119" s="305"/>
      <c r="Q119" s="305"/>
      <c r="R119" s="305"/>
      <c r="S119" s="305"/>
      <c r="T119" s="305"/>
      <c r="U119" s="305"/>
      <c r="V119" s="337"/>
      <c r="W119" s="310"/>
      <c r="X119" s="5"/>
    </row>
    <row r="120" spans="1:24" ht="15.6" x14ac:dyDescent="0.3">
      <c r="A120" s="278"/>
      <c r="B120" s="279" t="s">
        <v>179</v>
      </c>
      <c r="C120" s="279"/>
      <c r="D120" s="279"/>
      <c r="E120" s="279"/>
      <c r="F120" s="279"/>
      <c r="G120" s="279"/>
      <c r="H120" s="279"/>
      <c r="I120" s="279"/>
      <c r="J120" s="279"/>
      <c r="K120" s="279"/>
      <c r="L120" s="279"/>
      <c r="M120" s="279"/>
      <c r="N120" s="279"/>
      <c r="O120" s="279"/>
      <c r="P120" s="279"/>
      <c r="Q120" s="279"/>
      <c r="R120" s="279"/>
      <c r="S120" s="279"/>
      <c r="T120" s="329">
        <f>-T180</f>
        <v>0</v>
      </c>
      <c r="U120" s="329"/>
      <c r="V120" s="330"/>
      <c r="W120" s="282"/>
      <c r="X120" s="5"/>
    </row>
    <row r="121" spans="1:24" ht="15.6" x14ac:dyDescent="0.3">
      <c r="A121" s="278"/>
      <c r="B121" s="279" t="s">
        <v>180</v>
      </c>
      <c r="C121" s="279"/>
      <c r="D121" s="279"/>
      <c r="E121" s="279"/>
      <c r="F121" s="279"/>
      <c r="G121" s="279"/>
      <c r="H121" s="279"/>
      <c r="I121" s="279"/>
      <c r="J121" s="279"/>
      <c r="K121" s="279"/>
      <c r="L121" s="279"/>
      <c r="M121" s="279"/>
      <c r="N121" s="279"/>
      <c r="O121" s="279"/>
      <c r="P121" s="279"/>
      <c r="Q121" s="279"/>
      <c r="R121" s="279"/>
      <c r="S121" s="279"/>
      <c r="T121" s="329">
        <v>-46</v>
      </c>
      <c r="U121" s="329"/>
      <c r="V121" s="330"/>
      <c r="W121" s="282"/>
      <c r="X121" s="5"/>
    </row>
    <row r="122" spans="1:24" ht="15.6" x14ac:dyDescent="0.3">
      <c r="A122" s="278"/>
      <c r="B122" s="279" t="s">
        <v>39</v>
      </c>
      <c r="C122" s="279"/>
      <c r="D122" s="279"/>
      <c r="E122" s="279"/>
      <c r="F122" s="279"/>
      <c r="G122" s="279"/>
      <c r="H122" s="279"/>
      <c r="I122" s="279"/>
      <c r="J122" s="279"/>
      <c r="K122" s="279"/>
      <c r="L122" s="279"/>
      <c r="M122" s="279"/>
      <c r="N122" s="279"/>
      <c r="O122" s="279"/>
      <c r="P122" s="279"/>
      <c r="Q122" s="279"/>
      <c r="R122" s="279"/>
      <c r="S122" s="279"/>
      <c r="T122" s="329">
        <f>-S180</f>
        <v>-41</v>
      </c>
      <c r="U122" s="329"/>
      <c r="V122" s="330"/>
      <c r="W122" s="282"/>
      <c r="X122" s="5"/>
    </row>
    <row r="123" spans="1:24" ht="15.6" x14ac:dyDescent="0.3">
      <c r="A123" s="278"/>
      <c r="B123" s="279" t="s">
        <v>203</v>
      </c>
      <c r="C123" s="279"/>
      <c r="D123" s="279"/>
      <c r="E123" s="279"/>
      <c r="F123" s="279"/>
      <c r="G123" s="279"/>
      <c r="H123" s="279"/>
      <c r="I123" s="279"/>
      <c r="J123" s="279"/>
      <c r="K123" s="279"/>
      <c r="L123" s="279"/>
      <c r="M123" s="279"/>
      <c r="N123" s="279"/>
      <c r="O123" s="279"/>
      <c r="P123" s="279"/>
      <c r="Q123" s="279"/>
      <c r="R123" s="279"/>
      <c r="S123" s="279"/>
      <c r="T123" s="329">
        <v>-2442</v>
      </c>
      <c r="U123" s="329"/>
      <c r="V123" s="330"/>
      <c r="W123" s="282"/>
      <c r="X123" s="5"/>
    </row>
    <row r="124" spans="1:24" ht="15.6" x14ac:dyDescent="0.3">
      <c r="A124" s="278"/>
      <c r="B124" s="279" t="s">
        <v>201</v>
      </c>
      <c r="C124" s="279"/>
      <c r="D124" s="279"/>
      <c r="E124" s="279"/>
      <c r="F124" s="279"/>
      <c r="G124" s="279"/>
      <c r="H124" s="279"/>
      <c r="I124" s="279"/>
      <c r="J124" s="279"/>
      <c r="K124" s="279"/>
      <c r="L124" s="279"/>
      <c r="M124" s="279"/>
      <c r="N124" s="279"/>
      <c r="O124" s="279"/>
      <c r="P124" s="279"/>
      <c r="Q124" s="279"/>
      <c r="R124" s="279"/>
      <c r="S124" s="279"/>
      <c r="T124" s="329">
        <v>-435</v>
      </c>
      <c r="U124" s="329"/>
      <c r="V124" s="330"/>
      <c r="W124" s="282"/>
      <c r="X124" s="5"/>
    </row>
    <row r="125" spans="1:24" ht="15.6" x14ac:dyDescent="0.3">
      <c r="A125" s="278"/>
      <c r="B125" s="279" t="s">
        <v>200</v>
      </c>
      <c r="C125" s="279"/>
      <c r="D125" s="279"/>
      <c r="E125" s="279"/>
      <c r="F125" s="279"/>
      <c r="G125" s="279"/>
      <c r="H125" s="279"/>
      <c r="I125" s="279"/>
      <c r="J125" s="279"/>
      <c r="K125" s="279"/>
      <c r="L125" s="279"/>
      <c r="M125" s="279"/>
      <c r="N125" s="279"/>
      <c r="O125" s="279"/>
      <c r="P125" s="279"/>
      <c r="Q125" s="279"/>
      <c r="R125" s="279"/>
      <c r="S125" s="279"/>
      <c r="T125" s="329">
        <v>-506</v>
      </c>
      <c r="U125" s="329"/>
      <c r="V125" s="330"/>
      <c r="W125" s="282"/>
      <c r="X125" s="5"/>
    </row>
    <row r="126" spans="1:24" ht="15.6" x14ac:dyDescent="0.3">
      <c r="A126" s="278"/>
      <c r="B126" s="279" t="s">
        <v>260</v>
      </c>
      <c r="C126" s="279"/>
      <c r="D126" s="279"/>
      <c r="E126" s="279"/>
      <c r="F126" s="279"/>
      <c r="G126" s="279"/>
      <c r="H126" s="279"/>
      <c r="I126" s="279"/>
      <c r="J126" s="279"/>
      <c r="K126" s="279"/>
      <c r="L126" s="279"/>
      <c r="M126" s="279"/>
      <c r="N126" s="279"/>
      <c r="O126" s="279"/>
      <c r="P126" s="279"/>
      <c r="Q126" s="279"/>
      <c r="R126" s="279"/>
      <c r="S126" s="279"/>
      <c r="T126" s="329">
        <v>-506</v>
      </c>
      <c r="U126" s="329"/>
      <c r="V126" s="330"/>
      <c r="W126" s="282"/>
      <c r="X126" s="5"/>
    </row>
    <row r="127" spans="1:24" ht="15.6" x14ac:dyDescent="0.3">
      <c r="A127" s="278"/>
      <c r="B127" s="279" t="s">
        <v>195</v>
      </c>
      <c r="C127" s="279"/>
      <c r="D127" s="279"/>
      <c r="E127" s="279"/>
      <c r="F127" s="279"/>
      <c r="G127" s="279"/>
      <c r="H127" s="279"/>
      <c r="I127" s="279"/>
      <c r="J127" s="279"/>
      <c r="K127" s="279"/>
      <c r="L127" s="279"/>
      <c r="M127" s="279"/>
      <c r="N127" s="279"/>
      <c r="O127" s="279"/>
      <c r="P127" s="279"/>
      <c r="Q127" s="279"/>
      <c r="R127" s="279"/>
      <c r="S127" s="279"/>
      <c r="T127" s="329">
        <v>0</v>
      </c>
      <c r="U127" s="329"/>
      <c r="V127" s="330"/>
      <c r="W127" s="282"/>
      <c r="X127" s="5"/>
    </row>
    <row r="128" spans="1:24" ht="15.6" x14ac:dyDescent="0.3">
      <c r="A128" s="278"/>
      <c r="B128" s="279" t="s">
        <v>194</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261</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193</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40</v>
      </c>
      <c r="C131" s="279"/>
      <c r="D131" s="279"/>
      <c r="E131" s="279"/>
      <c r="F131" s="279"/>
      <c r="G131" s="279"/>
      <c r="H131" s="279"/>
      <c r="I131" s="279"/>
      <c r="J131" s="279"/>
      <c r="K131" s="279"/>
      <c r="L131" s="279"/>
      <c r="M131" s="279"/>
      <c r="N131" s="279"/>
      <c r="O131" s="279"/>
      <c r="P131" s="279"/>
      <c r="Q131" s="279"/>
      <c r="R131" s="279"/>
      <c r="S131" s="279"/>
      <c r="T131" s="329">
        <f>SUM(T120:T130)</f>
        <v>-3976</v>
      </c>
      <c r="U131" s="329"/>
      <c r="V131" s="329">
        <f>SUM(V101:V128)</f>
        <v>-6821</v>
      </c>
      <c r="W131" s="282"/>
      <c r="X131" s="5"/>
    </row>
    <row r="132" spans="1:24" ht="15.6" x14ac:dyDescent="0.3">
      <c r="A132" s="278"/>
      <c r="B132" s="279" t="s">
        <v>41</v>
      </c>
      <c r="C132" s="279"/>
      <c r="D132" s="279"/>
      <c r="E132" s="279"/>
      <c r="F132" s="279"/>
      <c r="G132" s="279"/>
      <c r="H132" s="279"/>
      <c r="I132" s="279"/>
      <c r="J132" s="279"/>
      <c r="K132" s="279"/>
      <c r="L132" s="279"/>
      <c r="M132" s="279"/>
      <c r="N132" s="279"/>
      <c r="O132" s="279"/>
      <c r="P132" s="279"/>
      <c r="Q132" s="279"/>
      <c r="R132" s="279"/>
      <c r="S132" s="279"/>
      <c r="T132" s="329">
        <f>T100+T131+T113</f>
        <v>0</v>
      </c>
      <c r="U132" s="329"/>
      <c r="V132" s="329">
        <f>V100+V131</f>
        <v>0</v>
      </c>
      <c r="W132" s="282"/>
      <c r="X132" s="5"/>
    </row>
    <row r="133" spans="1:24" ht="15.6" x14ac:dyDescent="0.3">
      <c r="A133" s="177"/>
      <c r="B133" s="275"/>
      <c r="C133" s="275"/>
      <c r="D133" s="275"/>
      <c r="E133" s="275"/>
      <c r="F133" s="275"/>
      <c r="G133" s="275"/>
      <c r="H133" s="275"/>
      <c r="I133" s="275"/>
      <c r="J133" s="275"/>
      <c r="K133" s="275"/>
      <c r="L133" s="275"/>
      <c r="M133" s="275"/>
      <c r="N133" s="275"/>
      <c r="O133" s="275"/>
      <c r="P133" s="275"/>
      <c r="Q133" s="275"/>
      <c r="R133" s="275"/>
      <c r="S133" s="275"/>
      <c r="T133" s="327"/>
      <c r="U133" s="327"/>
      <c r="V133" s="327"/>
      <c r="W133" s="275"/>
      <c r="X133" s="5"/>
    </row>
    <row r="134" spans="1:24" ht="15.6" x14ac:dyDescent="0.3">
      <c r="A134" s="177"/>
      <c r="B134" s="179"/>
      <c r="C134" s="179"/>
      <c r="D134" s="179"/>
      <c r="E134" s="179"/>
      <c r="F134" s="179"/>
      <c r="G134" s="179"/>
      <c r="H134" s="179"/>
      <c r="I134" s="179"/>
      <c r="J134" s="179"/>
      <c r="K134" s="179"/>
      <c r="L134" s="179"/>
      <c r="M134" s="179"/>
      <c r="N134" s="179"/>
      <c r="O134" s="179"/>
      <c r="P134" s="179"/>
      <c r="Q134" s="179"/>
      <c r="R134" s="179"/>
      <c r="S134" s="179"/>
      <c r="T134" s="179"/>
      <c r="U134" s="179"/>
      <c r="V134" s="199"/>
      <c r="W134" s="179"/>
      <c r="X134" s="5"/>
    </row>
    <row r="135" spans="1:24" ht="18" thickBot="1" x14ac:dyDescent="0.35">
      <c r="A135" s="194"/>
      <c r="B135" s="264" t="str">
        <f>B64</f>
        <v>PM12 INVESTOR REPORT QUARTER ENDING APRIL 2012</v>
      </c>
      <c r="C135" s="195"/>
      <c r="D135" s="195"/>
      <c r="E135" s="195"/>
      <c r="F135" s="195"/>
      <c r="G135" s="195"/>
      <c r="H135" s="195"/>
      <c r="I135" s="195"/>
      <c r="J135" s="195"/>
      <c r="K135" s="195"/>
      <c r="L135" s="195"/>
      <c r="M135" s="195"/>
      <c r="N135" s="195"/>
      <c r="O135" s="195"/>
      <c r="P135" s="195"/>
      <c r="Q135" s="195"/>
      <c r="R135" s="195"/>
      <c r="S135" s="195"/>
      <c r="T135" s="195"/>
      <c r="U135" s="195"/>
      <c r="V135" s="207"/>
      <c r="W135" s="197"/>
      <c r="X135" s="5"/>
    </row>
    <row r="136" spans="1:24" ht="15.6" x14ac:dyDescent="0.3">
      <c r="A136" s="235"/>
      <c r="B136" s="392" t="s">
        <v>42</v>
      </c>
      <c r="C136" s="236"/>
      <c r="D136" s="236"/>
      <c r="E136" s="236"/>
      <c r="F136" s="236"/>
      <c r="G136" s="236"/>
      <c r="H136" s="236"/>
      <c r="I136" s="236"/>
      <c r="J136" s="236"/>
      <c r="K136" s="236"/>
      <c r="L136" s="236"/>
      <c r="M136" s="236"/>
      <c r="N136" s="236"/>
      <c r="O136" s="236"/>
      <c r="P136" s="236"/>
      <c r="Q136" s="236"/>
      <c r="R136" s="236"/>
      <c r="S136" s="236"/>
      <c r="T136" s="236"/>
      <c r="U136" s="236"/>
      <c r="V136" s="237"/>
      <c r="W136" s="236"/>
      <c r="X136" s="5"/>
    </row>
    <row r="137" spans="1:24" ht="15.6" x14ac:dyDescent="0.3">
      <c r="A137" s="177"/>
      <c r="B137" s="186"/>
      <c r="C137" s="179"/>
      <c r="D137" s="179"/>
      <c r="E137" s="179"/>
      <c r="F137" s="179"/>
      <c r="G137" s="179"/>
      <c r="H137" s="179"/>
      <c r="I137" s="179"/>
      <c r="J137" s="179"/>
      <c r="K137" s="179"/>
      <c r="L137" s="179"/>
      <c r="M137" s="179"/>
      <c r="N137" s="179"/>
      <c r="O137" s="179"/>
      <c r="P137" s="179"/>
      <c r="Q137" s="179"/>
      <c r="R137" s="179"/>
      <c r="S137" s="179"/>
      <c r="T137" s="179"/>
      <c r="U137" s="179"/>
      <c r="V137" s="199"/>
      <c r="W137" s="179"/>
      <c r="X137" s="5"/>
    </row>
    <row r="138" spans="1:24" ht="15.6" x14ac:dyDescent="0.3">
      <c r="A138" s="177"/>
      <c r="B138" s="208" t="s">
        <v>43</v>
      </c>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278"/>
      <c r="B139" s="279" t="s">
        <v>44</v>
      </c>
      <c r="C139" s="279"/>
      <c r="D139" s="279"/>
      <c r="E139" s="279"/>
      <c r="F139" s="279"/>
      <c r="G139" s="279"/>
      <c r="H139" s="279"/>
      <c r="I139" s="279"/>
      <c r="J139" s="279"/>
      <c r="K139" s="279"/>
      <c r="L139" s="279"/>
      <c r="M139" s="279"/>
      <c r="N139" s="279"/>
      <c r="O139" s="279"/>
      <c r="P139" s="279"/>
      <c r="Q139" s="279"/>
      <c r="R139" s="279"/>
      <c r="S139" s="279"/>
      <c r="T139" s="279"/>
      <c r="U139" s="279"/>
      <c r="V139" s="330">
        <f>+V34*0.019</f>
        <v>28503.895</v>
      </c>
      <c r="W139" s="310"/>
      <c r="X139" s="5"/>
    </row>
    <row r="140" spans="1:24" ht="15.6" x14ac:dyDescent="0.3">
      <c r="A140" s="278"/>
      <c r="B140" s="279" t="s">
        <v>45</v>
      </c>
      <c r="C140" s="279"/>
      <c r="D140" s="279"/>
      <c r="E140" s="279"/>
      <c r="F140" s="279"/>
      <c r="G140" s="279"/>
      <c r="H140" s="279"/>
      <c r="I140" s="279"/>
      <c r="J140" s="279"/>
      <c r="K140" s="279"/>
      <c r="L140" s="279"/>
      <c r="M140" s="279"/>
      <c r="N140" s="279"/>
      <c r="O140" s="279"/>
      <c r="P140" s="279"/>
      <c r="Q140" s="279"/>
      <c r="R140" s="279"/>
      <c r="S140" s="279"/>
      <c r="T140" s="279"/>
      <c r="U140" s="279"/>
      <c r="V140" s="330">
        <v>28504</v>
      </c>
      <c r="W140" s="310"/>
      <c r="X140" s="5"/>
    </row>
    <row r="141" spans="1:24" ht="15.6" x14ac:dyDescent="0.3">
      <c r="A141" s="278"/>
      <c r="B141" s="279" t="s">
        <v>141</v>
      </c>
      <c r="C141" s="279"/>
      <c r="D141" s="279"/>
      <c r="E141" s="279"/>
      <c r="F141" s="279"/>
      <c r="G141" s="279"/>
      <c r="H141" s="279"/>
      <c r="I141" s="279"/>
      <c r="J141" s="279"/>
      <c r="K141" s="279"/>
      <c r="L141" s="279"/>
      <c r="M141" s="279"/>
      <c r="N141" s="279"/>
      <c r="O141" s="279"/>
      <c r="P141" s="279"/>
      <c r="Q141" s="279"/>
      <c r="R141" s="279"/>
      <c r="S141" s="279"/>
      <c r="T141" s="279"/>
      <c r="U141" s="279"/>
      <c r="V141" s="330">
        <v>0</v>
      </c>
      <c r="W141" s="310"/>
      <c r="X141" s="5"/>
    </row>
    <row r="142" spans="1:24" ht="15.6" x14ac:dyDescent="0.3">
      <c r="A142" s="278"/>
      <c r="B142" s="279" t="s">
        <v>128</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129</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181</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46</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134</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230</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c r="Y147" s="109"/>
    </row>
    <row r="148" spans="1:25" ht="15.6" x14ac:dyDescent="0.3">
      <c r="A148" s="278"/>
      <c r="B148" s="279" t="s">
        <v>47</v>
      </c>
      <c r="C148" s="279"/>
      <c r="D148" s="279"/>
      <c r="E148" s="279"/>
      <c r="F148" s="279"/>
      <c r="G148" s="279"/>
      <c r="H148" s="279"/>
      <c r="I148" s="279"/>
      <c r="J148" s="279"/>
      <c r="K148" s="279"/>
      <c r="L148" s="279"/>
      <c r="M148" s="279"/>
      <c r="N148" s="279"/>
      <c r="O148" s="279"/>
      <c r="P148" s="279"/>
      <c r="Q148" s="279"/>
      <c r="R148" s="279"/>
      <c r="S148" s="279"/>
      <c r="T148" s="279"/>
      <c r="U148" s="279"/>
      <c r="V148" s="330">
        <f>SUM(V140:V147)</f>
        <v>28504</v>
      </c>
      <c r="W148" s="310"/>
      <c r="X148" s="5"/>
    </row>
    <row r="149" spans="1:25" ht="15.6" x14ac:dyDescent="0.3">
      <c r="A149" s="278"/>
      <c r="B149" s="305"/>
      <c r="C149" s="305"/>
      <c r="D149" s="305"/>
      <c r="E149" s="305"/>
      <c r="F149" s="305"/>
      <c r="G149" s="305"/>
      <c r="H149" s="305"/>
      <c r="I149" s="305"/>
      <c r="J149" s="305"/>
      <c r="K149" s="305"/>
      <c r="L149" s="305"/>
      <c r="M149" s="305"/>
      <c r="N149" s="305"/>
      <c r="O149" s="305"/>
      <c r="P149" s="305"/>
      <c r="Q149" s="305"/>
      <c r="R149" s="305"/>
      <c r="S149" s="305"/>
      <c r="T149" s="305"/>
      <c r="U149" s="305"/>
      <c r="V149" s="335"/>
      <c r="W149" s="310"/>
      <c r="X149" s="5"/>
    </row>
    <row r="150" spans="1:25" ht="15.6" x14ac:dyDescent="0.3">
      <c r="A150" s="278"/>
      <c r="B150" s="333" t="s">
        <v>269</v>
      </c>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279" t="s">
        <v>160</v>
      </c>
      <c r="C151" s="279"/>
      <c r="D151" s="279"/>
      <c r="E151" s="279"/>
      <c r="F151" s="279"/>
      <c r="G151" s="279"/>
      <c r="H151" s="279"/>
      <c r="I151" s="279"/>
      <c r="J151" s="279"/>
      <c r="K151" s="279"/>
      <c r="L151" s="279"/>
      <c r="M151" s="279"/>
      <c r="N151" s="279"/>
      <c r="O151" s="279"/>
      <c r="P151" s="279"/>
      <c r="Q151" s="279"/>
      <c r="R151" s="279"/>
      <c r="S151" s="279"/>
      <c r="T151" s="279"/>
      <c r="U151" s="279"/>
      <c r="V151" s="330">
        <v>0</v>
      </c>
      <c r="W151" s="310"/>
      <c r="X151" s="5"/>
    </row>
    <row r="152" spans="1:25" ht="15.6" x14ac:dyDescent="0.3">
      <c r="A152" s="278"/>
      <c r="B152" s="279" t="s">
        <v>178</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270</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305"/>
      <c r="C154" s="305"/>
      <c r="D154" s="305"/>
      <c r="E154" s="305"/>
      <c r="F154" s="305"/>
      <c r="G154" s="305"/>
      <c r="H154" s="305"/>
      <c r="I154" s="305"/>
      <c r="J154" s="305"/>
      <c r="K154" s="305"/>
      <c r="L154" s="305"/>
      <c r="M154" s="305"/>
      <c r="N154" s="305"/>
      <c r="O154" s="305"/>
      <c r="P154" s="305"/>
      <c r="Q154" s="305"/>
      <c r="R154" s="305"/>
      <c r="S154" s="305"/>
      <c r="T154" s="305"/>
      <c r="U154" s="305"/>
      <c r="V154" s="335"/>
      <c r="W154" s="310"/>
      <c r="X154" s="5"/>
    </row>
    <row r="155" spans="1:25" ht="15.6" x14ac:dyDescent="0.3">
      <c r="A155" s="177"/>
      <c r="B155" s="275"/>
      <c r="C155" s="275"/>
      <c r="D155" s="275"/>
      <c r="E155" s="275"/>
      <c r="F155" s="275"/>
      <c r="G155" s="275"/>
      <c r="H155" s="275"/>
      <c r="I155" s="275"/>
      <c r="J155" s="275"/>
      <c r="K155" s="275"/>
      <c r="L155" s="275"/>
      <c r="M155" s="275"/>
      <c r="N155" s="275"/>
      <c r="O155" s="275"/>
      <c r="P155" s="275"/>
      <c r="Q155" s="275"/>
      <c r="R155" s="275"/>
      <c r="S155" s="275"/>
      <c r="T155" s="275"/>
      <c r="U155" s="275"/>
      <c r="V155" s="338"/>
      <c r="W155" s="275"/>
      <c r="X155" s="5"/>
    </row>
    <row r="156" spans="1:25" ht="15.6" x14ac:dyDescent="0.3">
      <c r="A156" s="177"/>
      <c r="B156" s="208" t="s">
        <v>24</v>
      </c>
      <c r="C156" s="179"/>
      <c r="D156" s="179"/>
      <c r="E156" s="179"/>
      <c r="F156" s="179"/>
      <c r="G156" s="179"/>
      <c r="H156" s="179"/>
      <c r="I156" s="179"/>
      <c r="J156" s="179"/>
      <c r="K156" s="179"/>
      <c r="L156" s="179"/>
      <c r="M156" s="179"/>
      <c r="N156" s="179"/>
      <c r="O156" s="179"/>
      <c r="P156" s="179"/>
      <c r="Q156" s="179"/>
      <c r="R156" s="179"/>
      <c r="S156" s="179"/>
      <c r="T156" s="179"/>
      <c r="U156" s="179"/>
      <c r="V156" s="199"/>
      <c r="W156" s="179"/>
      <c r="X156" s="5"/>
    </row>
    <row r="157" spans="1:25" ht="15.6" x14ac:dyDescent="0.3">
      <c r="A157" s="278"/>
      <c r="B157" s="279" t="s">
        <v>48</v>
      </c>
      <c r="C157" s="279"/>
      <c r="D157" s="279"/>
      <c r="E157" s="279"/>
      <c r="F157" s="279"/>
      <c r="G157" s="279"/>
      <c r="H157" s="279"/>
      <c r="I157" s="279"/>
      <c r="J157" s="279"/>
      <c r="K157" s="279"/>
      <c r="L157" s="279"/>
      <c r="M157" s="279"/>
      <c r="N157" s="279"/>
      <c r="O157" s="279"/>
      <c r="P157" s="279"/>
      <c r="Q157" s="279"/>
      <c r="R157" s="279"/>
      <c r="S157" s="279"/>
      <c r="T157" s="279"/>
      <c r="U157" s="279"/>
      <c r="V157" s="339" t="s">
        <v>123</v>
      </c>
      <c r="W157" s="282"/>
      <c r="X157" s="5"/>
    </row>
    <row r="158" spans="1:25" ht="15.6" x14ac:dyDescent="0.3">
      <c r="A158" s="278"/>
      <c r="B158" s="279" t="s">
        <v>49</v>
      </c>
      <c r="C158" s="281"/>
      <c r="D158" s="281"/>
      <c r="E158" s="281"/>
      <c r="F158" s="281"/>
      <c r="G158" s="281"/>
      <c r="H158" s="281"/>
      <c r="I158" s="281"/>
      <c r="J158" s="281"/>
      <c r="K158" s="281"/>
      <c r="L158" s="281"/>
      <c r="M158" s="281"/>
      <c r="N158" s="281"/>
      <c r="O158" s="281"/>
      <c r="P158" s="281"/>
      <c r="Q158" s="281"/>
      <c r="R158" s="281"/>
      <c r="S158" s="281"/>
      <c r="T158" s="281"/>
      <c r="U158" s="281"/>
      <c r="V158" s="339" t="s">
        <v>123</v>
      </c>
      <c r="W158" s="282"/>
      <c r="X158" s="5"/>
    </row>
    <row r="159" spans="1:25" ht="15.6" x14ac:dyDescent="0.3">
      <c r="A159" s="278"/>
      <c r="B159" s="279" t="s">
        <v>50</v>
      </c>
      <c r="C159" s="279"/>
      <c r="D159" s="279"/>
      <c r="E159" s="279"/>
      <c r="F159" s="279"/>
      <c r="G159" s="279"/>
      <c r="H159" s="279"/>
      <c r="I159" s="279"/>
      <c r="J159" s="279"/>
      <c r="K159" s="279"/>
      <c r="L159" s="279"/>
      <c r="M159" s="279"/>
      <c r="N159" s="279"/>
      <c r="O159" s="279"/>
      <c r="P159" s="279"/>
      <c r="Q159" s="279"/>
      <c r="R159" s="279"/>
      <c r="S159" s="279"/>
      <c r="T159" s="279"/>
      <c r="U159" s="279"/>
      <c r="V159" s="339" t="s">
        <v>123</v>
      </c>
      <c r="W159" s="282"/>
      <c r="X159" s="5"/>
    </row>
    <row r="160" spans="1:25" ht="15.6" x14ac:dyDescent="0.3">
      <c r="A160" s="278"/>
      <c r="B160" s="279" t="s">
        <v>51</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177"/>
      <c r="B161" s="275"/>
      <c r="C161" s="275"/>
      <c r="D161" s="275"/>
      <c r="E161" s="275"/>
      <c r="F161" s="275"/>
      <c r="G161" s="275"/>
      <c r="H161" s="275"/>
      <c r="I161" s="275"/>
      <c r="J161" s="275"/>
      <c r="K161" s="275"/>
      <c r="L161" s="275"/>
      <c r="M161" s="275"/>
      <c r="N161" s="275"/>
      <c r="O161" s="275"/>
      <c r="P161" s="275"/>
      <c r="Q161" s="275"/>
      <c r="R161" s="275"/>
      <c r="S161" s="275"/>
      <c r="T161" s="275"/>
      <c r="U161" s="275"/>
      <c r="V161" s="338"/>
      <c r="W161" s="275"/>
      <c r="X161" s="5"/>
    </row>
    <row r="162" spans="1:24" ht="15.6" x14ac:dyDescent="0.3">
      <c r="A162" s="177"/>
      <c r="B162" s="208" t="s">
        <v>52</v>
      </c>
      <c r="C162" s="179"/>
      <c r="D162" s="179"/>
      <c r="E162" s="179"/>
      <c r="F162" s="179"/>
      <c r="G162" s="179"/>
      <c r="H162" s="179"/>
      <c r="I162" s="179"/>
      <c r="J162" s="179"/>
      <c r="K162" s="179"/>
      <c r="L162" s="179"/>
      <c r="M162" s="179"/>
      <c r="N162" s="179"/>
      <c r="O162" s="179"/>
      <c r="P162" s="179"/>
      <c r="Q162" s="179"/>
      <c r="R162" s="179"/>
      <c r="S162" s="179"/>
      <c r="T162" s="179"/>
      <c r="U162" s="179"/>
      <c r="V162" s="209"/>
      <c r="W162" s="179"/>
      <c r="X162" s="5"/>
    </row>
    <row r="163" spans="1:24" ht="15.6" x14ac:dyDescent="0.3">
      <c r="A163" s="278"/>
      <c r="B163" s="279" t="s">
        <v>53</v>
      </c>
      <c r="C163" s="279"/>
      <c r="D163" s="279"/>
      <c r="E163" s="279"/>
      <c r="F163" s="279"/>
      <c r="G163" s="279"/>
      <c r="H163" s="279"/>
      <c r="I163" s="279"/>
      <c r="J163" s="279"/>
      <c r="K163" s="279"/>
      <c r="L163" s="279"/>
      <c r="M163" s="279"/>
      <c r="N163" s="279"/>
      <c r="O163" s="279"/>
      <c r="P163" s="279"/>
      <c r="Q163" s="279"/>
      <c r="R163" s="279"/>
      <c r="S163" s="279"/>
      <c r="T163" s="279"/>
      <c r="U163" s="279"/>
      <c r="V163" s="330">
        <v>0</v>
      </c>
      <c r="W163" s="310"/>
      <c r="X163" s="5"/>
    </row>
    <row r="164" spans="1:24" ht="15.6" x14ac:dyDescent="0.3">
      <c r="A164" s="278"/>
      <c r="B164" s="279" t="s">
        <v>54</v>
      </c>
      <c r="C164" s="279"/>
      <c r="D164" s="279"/>
      <c r="E164" s="279"/>
      <c r="F164" s="279"/>
      <c r="G164" s="279"/>
      <c r="H164" s="279"/>
      <c r="I164" s="279"/>
      <c r="J164" s="279"/>
      <c r="K164" s="279"/>
      <c r="L164" s="279"/>
      <c r="M164" s="279"/>
      <c r="N164" s="279"/>
      <c r="O164" s="279"/>
      <c r="P164" s="279"/>
      <c r="Q164" s="279"/>
      <c r="R164" s="279"/>
      <c r="S164" s="279"/>
      <c r="T164" s="279"/>
      <c r="U164" s="279"/>
      <c r="V164" s="330">
        <f>-V113</f>
        <v>305</v>
      </c>
      <c r="W164" s="310"/>
      <c r="X164" s="5"/>
    </row>
    <row r="165" spans="1:24" ht="15.6" x14ac:dyDescent="0.3">
      <c r="A165" s="278"/>
      <c r="B165" s="279" t="s">
        <v>55</v>
      </c>
      <c r="C165" s="279"/>
      <c r="D165" s="279"/>
      <c r="E165" s="279"/>
      <c r="F165" s="279"/>
      <c r="G165" s="279"/>
      <c r="H165" s="279"/>
      <c r="I165" s="279"/>
      <c r="J165" s="279"/>
      <c r="K165" s="279"/>
      <c r="L165" s="279"/>
      <c r="M165" s="279"/>
      <c r="N165" s="279"/>
      <c r="O165" s="279"/>
      <c r="P165" s="279"/>
      <c r="Q165" s="279"/>
      <c r="R165" s="279"/>
      <c r="S165" s="279"/>
      <c r="T165" s="279"/>
      <c r="U165" s="279"/>
      <c r="V165" s="330">
        <f>V164+V163</f>
        <v>305</v>
      </c>
      <c r="W165" s="310"/>
      <c r="X165" s="5"/>
    </row>
    <row r="166" spans="1:24" ht="15.6" x14ac:dyDescent="0.3">
      <c r="A166" s="278"/>
      <c r="B166" s="399" t="s">
        <v>310</v>
      </c>
      <c r="C166" s="279"/>
      <c r="D166" s="279"/>
      <c r="E166" s="279"/>
      <c r="F166" s="279"/>
      <c r="G166" s="279"/>
      <c r="H166" s="279"/>
      <c r="I166" s="279"/>
      <c r="J166" s="279"/>
      <c r="K166" s="279"/>
      <c r="L166" s="279"/>
      <c r="M166" s="279"/>
      <c r="N166" s="279"/>
      <c r="O166" s="279"/>
      <c r="P166" s="279"/>
      <c r="Q166" s="279"/>
      <c r="R166" s="279"/>
      <c r="S166" s="279"/>
      <c r="T166" s="279"/>
      <c r="U166" s="279"/>
      <c r="V166" s="330">
        <f>V113</f>
        <v>-305</v>
      </c>
      <c r="W166" s="310"/>
      <c r="X166" s="5"/>
    </row>
    <row r="167" spans="1:24" ht="15.6" x14ac:dyDescent="0.3">
      <c r="A167" s="278"/>
      <c r="B167" s="279" t="s">
        <v>56</v>
      </c>
      <c r="C167" s="279"/>
      <c r="D167" s="279"/>
      <c r="E167" s="279"/>
      <c r="F167" s="279"/>
      <c r="G167" s="279"/>
      <c r="H167" s="279"/>
      <c r="I167" s="279"/>
      <c r="J167" s="279"/>
      <c r="K167" s="279"/>
      <c r="L167" s="279"/>
      <c r="M167" s="279"/>
      <c r="N167" s="279"/>
      <c r="O167" s="279"/>
      <c r="P167" s="279"/>
      <c r="Q167" s="279"/>
      <c r="R167" s="279"/>
      <c r="S167" s="279"/>
      <c r="T167" s="279"/>
      <c r="U167" s="279"/>
      <c r="V167" s="330">
        <f>V165+V166</f>
        <v>0</v>
      </c>
      <c r="W167" s="310"/>
      <c r="X167" s="5"/>
    </row>
    <row r="168" spans="1:24" ht="15.6" x14ac:dyDescent="0.3">
      <c r="A168" s="278"/>
      <c r="B168" s="279" t="s">
        <v>282</v>
      </c>
      <c r="C168" s="279"/>
      <c r="D168" s="279"/>
      <c r="E168" s="279"/>
      <c r="F168" s="279"/>
      <c r="G168" s="279"/>
      <c r="H168" s="279"/>
      <c r="I168" s="279"/>
      <c r="J168" s="279"/>
      <c r="K168" s="279"/>
      <c r="L168" s="279"/>
      <c r="M168" s="279"/>
      <c r="N168" s="279"/>
      <c r="O168" s="279"/>
      <c r="P168" s="279"/>
      <c r="Q168" s="279"/>
      <c r="R168" s="279"/>
      <c r="S168" s="279"/>
      <c r="T168" s="279"/>
      <c r="U168" s="279"/>
      <c r="V168" s="330">
        <f>-V99</f>
        <v>445</v>
      </c>
      <c r="W168" s="310"/>
      <c r="X168" s="5"/>
    </row>
    <row r="169" spans="1:24" ht="16.2" thickBot="1" x14ac:dyDescent="0.35">
      <c r="A169" s="177"/>
      <c r="B169" s="275"/>
      <c r="C169" s="275"/>
      <c r="D169" s="275"/>
      <c r="E169" s="275"/>
      <c r="F169" s="275"/>
      <c r="G169" s="275"/>
      <c r="H169" s="275"/>
      <c r="I169" s="275"/>
      <c r="J169" s="275"/>
      <c r="K169" s="275"/>
      <c r="L169" s="275"/>
      <c r="M169" s="275"/>
      <c r="N169" s="275"/>
      <c r="O169" s="275"/>
      <c r="P169" s="275"/>
      <c r="Q169" s="275"/>
      <c r="R169" s="275"/>
      <c r="S169" s="275"/>
      <c r="T169" s="275"/>
      <c r="U169" s="275"/>
      <c r="V169" s="338"/>
      <c r="W169" s="275"/>
      <c r="X169" s="5"/>
    </row>
    <row r="170" spans="1:24"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76"/>
      <c r="U170" s="176"/>
      <c r="V170" s="198"/>
      <c r="W170" s="176"/>
      <c r="X170" s="5"/>
    </row>
    <row r="171" spans="1:24" ht="15.6" x14ac:dyDescent="0.3">
      <c r="A171" s="177"/>
      <c r="B171" s="208" t="s">
        <v>57</v>
      </c>
      <c r="C171" s="179"/>
      <c r="D171" s="179"/>
      <c r="E171" s="179"/>
      <c r="F171" s="179"/>
      <c r="G171" s="179"/>
      <c r="H171" s="179"/>
      <c r="I171" s="179"/>
      <c r="J171" s="179"/>
      <c r="K171" s="179"/>
      <c r="L171" s="179"/>
      <c r="M171" s="179"/>
      <c r="N171" s="179"/>
      <c r="O171" s="179"/>
      <c r="P171" s="179"/>
      <c r="Q171" s="179"/>
      <c r="R171" s="179"/>
      <c r="S171" s="179"/>
      <c r="T171" s="179"/>
      <c r="U171" s="179"/>
      <c r="V171" s="199"/>
      <c r="W171" s="179"/>
      <c r="X171" s="5"/>
    </row>
    <row r="172" spans="1:24" ht="15.6" x14ac:dyDescent="0.3">
      <c r="A172" s="177"/>
      <c r="B172" s="186"/>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278"/>
      <c r="B173" s="279" t="s">
        <v>58</v>
      </c>
      <c r="C173" s="279"/>
      <c r="D173" s="279"/>
      <c r="E173" s="279"/>
      <c r="F173" s="279"/>
      <c r="G173" s="279"/>
      <c r="H173" s="279"/>
      <c r="I173" s="279"/>
      <c r="J173" s="279"/>
      <c r="K173" s="279"/>
      <c r="L173" s="279"/>
      <c r="M173" s="279"/>
      <c r="N173" s="279"/>
      <c r="O173" s="279"/>
      <c r="P173" s="279"/>
      <c r="Q173" s="279"/>
      <c r="R173" s="279"/>
      <c r="S173" s="279"/>
      <c r="T173" s="279"/>
      <c r="U173" s="279"/>
      <c r="V173" s="330">
        <f>V71</f>
        <v>987594</v>
      </c>
      <c r="W173" s="282"/>
      <c r="X173" s="5"/>
    </row>
    <row r="174" spans="1:24" ht="15.6" x14ac:dyDescent="0.3">
      <c r="A174" s="278"/>
      <c r="B174" s="279" t="s">
        <v>59</v>
      </c>
      <c r="C174" s="279"/>
      <c r="D174" s="279"/>
      <c r="E174" s="279"/>
      <c r="F174" s="279"/>
      <c r="G174" s="279"/>
      <c r="H174" s="279"/>
      <c r="I174" s="279"/>
      <c r="J174" s="279"/>
      <c r="K174" s="279"/>
      <c r="L174" s="279"/>
      <c r="M174" s="279"/>
      <c r="N174" s="279"/>
      <c r="O174" s="279"/>
      <c r="P174" s="279"/>
      <c r="Q174" s="279"/>
      <c r="R174" s="279"/>
      <c r="S174" s="279"/>
      <c r="T174" s="279"/>
      <c r="U174" s="279"/>
      <c r="V174" s="330">
        <f>V84</f>
        <v>987594</v>
      </c>
      <c r="W174" s="282"/>
      <c r="X174" s="5"/>
    </row>
    <row r="175" spans="1:24" ht="16.2" thickBot="1" x14ac:dyDescent="0.35">
      <c r="A175" s="177"/>
      <c r="B175" s="275"/>
      <c r="C175" s="275"/>
      <c r="D175" s="275"/>
      <c r="E175" s="275"/>
      <c r="F175" s="275"/>
      <c r="G175" s="275"/>
      <c r="H175" s="275"/>
      <c r="I175" s="275"/>
      <c r="J175" s="275"/>
      <c r="K175" s="275"/>
      <c r="L175" s="275"/>
      <c r="M175" s="275"/>
      <c r="N175" s="275"/>
      <c r="O175" s="275"/>
      <c r="P175" s="275"/>
      <c r="Q175" s="275"/>
      <c r="R175" s="275"/>
      <c r="S175" s="275"/>
      <c r="T175" s="275"/>
      <c r="U175" s="275"/>
      <c r="V175" s="338"/>
      <c r="W175" s="275"/>
      <c r="X175" s="5"/>
    </row>
    <row r="176" spans="1:24"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76"/>
      <c r="U176" s="176"/>
      <c r="V176" s="198"/>
      <c r="W176" s="176"/>
      <c r="X176" s="5"/>
    </row>
    <row r="177" spans="1:24" ht="15.6" x14ac:dyDescent="0.3">
      <c r="A177" s="177"/>
      <c r="B177" s="208" t="s">
        <v>60</v>
      </c>
      <c r="C177" s="203"/>
      <c r="D177" s="203"/>
      <c r="E177" s="203"/>
      <c r="F177" s="203"/>
      <c r="G177" s="203"/>
      <c r="H177" s="210"/>
      <c r="I177" s="210"/>
      <c r="J177" s="210"/>
      <c r="K177" s="210"/>
      <c r="L177" s="210"/>
      <c r="M177" s="210"/>
      <c r="N177" s="210"/>
      <c r="O177" s="210"/>
      <c r="P177" s="210"/>
      <c r="Q177" s="210"/>
      <c r="R177" s="210"/>
      <c r="S177" s="210" t="s">
        <v>103</v>
      </c>
      <c r="T177" s="210" t="s">
        <v>182</v>
      </c>
      <c r="U177" s="181"/>
      <c r="V177" s="211" t="s">
        <v>119</v>
      </c>
      <c r="W177" s="212"/>
      <c r="X177" s="5"/>
    </row>
    <row r="178" spans="1:24" ht="15.6" x14ac:dyDescent="0.3">
      <c r="A178" s="278"/>
      <c r="B178" s="279" t="s">
        <v>61</v>
      </c>
      <c r="C178" s="279"/>
      <c r="D178" s="279"/>
      <c r="E178" s="279"/>
      <c r="F178" s="279"/>
      <c r="G178" s="279"/>
      <c r="H178" s="279"/>
      <c r="I178" s="279"/>
      <c r="J178" s="279"/>
      <c r="K178" s="279"/>
      <c r="L178" s="279"/>
      <c r="M178" s="279"/>
      <c r="N178" s="279"/>
      <c r="O178" s="279"/>
      <c r="P178" s="279"/>
      <c r="Q178" s="279"/>
      <c r="R178" s="279"/>
      <c r="S178" s="330">
        <f>+V34*0.16</f>
        <v>240032.80000000002</v>
      </c>
      <c r="T178" s="317"/>
      <c r="U178" s="279"/>
      <c r="V178" s="330"/>
      <c r="W178" s="310"/>
      <c r="X178" s="5"/>
    </row>
    <row r="179" spans="1:24" ht="15.6" x14ac:dyDescent="0.3">
      <c r="A179" s="278"/>
      <c r="B179" s="279" t="s">
        <v>62</v>
      </c>
      <c r="C179" s="279"/>
      <c r="D179" s="279"/>
      <c r="E179" s="279"/>
      <c r="F179" s="279"/>
      <c r="G179" s="279"/>
      <c r="H179" s="279"/>
      <c r="I179" s="279"/>
      <c r="J179" s="279"/>
      <c r="K179" s="279"/>
      <c r="L179" s="279"/>
      <c r="M179" s="279"/>
      <c r="N179" s="279"/>
      <c r="O179" s="279"/>
      <c r="P179" s="279"/>
      <c r="Q179" s="279"/>
      <c r="R179" s="279"/>
      <c r="S179" s="330">
        <f>+'Jan 12'!S181</f>
        <v>48483</v>
      </c>
      <c r="T179" s="330">
        <f>+'Jan 12'!T181</f>
        <v>6362</v>
      </c>
      <c r="U179" s="279"/>
      <c r="V179" s="330">
        <f>S179+T179</f>
        <v>54845</v>
      </c>
      <c r="W179" s="310"/>
      <c r="X179" s="5"/>
    </row>
    <row r="180" spans="1:24" ht="15.6" x14ac:dyDescent="0.3">
      <c r="A180" s="278"/>
      <c r="B180" s="279" t="s">
        <v>63</v>
      </c>
      <c r="C180" s="279"/>
      <c r="D180" s="279"/>
      <c r="E180" s="279"/>
      <c r="F180" s="279"/>
      <c r="G180" s="279"/>
      <c r="H180" s="279"/>
      <c r="I180" s="279"/>
      <c r="J180" s="279"/>
      <c r="K180" s="279"/>
      <c r="L180" s="279"/>
      <c r="M180" s="279"/>
      <c r="N180" s="279"/>
      <c r="O180" s="279"/>
      <c r="P180" s="279"/>
      <c r="Q180" s="279"/>
      <c r="R180" s="279"/>
      <c r="S180" s="329">
        <v>41</v>
      </c>
      <c r="T180" s="329">
        <v>0</v>
      </c>
      <c r="U180" s="279"/>
      <c r="V180" s="330">
        <f>S180+T180</f>
        <v>41</v>
      </c>
      <c r="W180" s="310"/>
      <c r="X180" s="5"/>
    </row>
    <row r="181" spans="1:24" ht="15.6" x14ac:dyDescent="0.3">
      <c r="A181" s="278"/>
      <c r="B181" s="279" t="s">
        <v>64</v>
      </c>
      <c r="C181" s="279"/>
      <c r="D181" s="279"/>
      <c r="E181" s="279"/>
      <c r="F181" s="279"/>
      <c r="G181" s="279"/>
      <c r="H181" s="279"/>
      <c r="I181" s="279"/>
      <c r="J181" s="279"/>
      <c r="K181" s="279"/>
      <c r="L181" s="279"/>
      <c r="M181" s="279"/>
      <c r="N181" s="279"/>
      <c r="O181" s="279"/>
      <c r="P181" s="279"/>
      <c r="Q181" s="279"/>
      <c r="R181" s="279"/>
      <c r="S181" s="330">
        <f>S179+S180</f>
        <v>48524</v>
      </c>
      <c r="T181" s="330">
        <f>T180+T179</f>
        <v>6362</v>
      </c>
      <c r="U181" s="279"/>
      <c r="V181" s="330">
        <f>S181+T181</f>
        <v>54886</v>
      </c>
      <c r="W181" s="310"/>
      <c r="X181" s="5"/>
    </row>
    <row r="182" spans="1:24" ht="15.6" x14ac:dyDescent="0.3">
      <c r="A182" s="278"/>
      <c r="B182" s="279" t="s">
        <v>65</v>
      </c>
      <c r="C182" s="279"/>
      <c r="D182" s="279"/>
      <c r="E182" s="279"/>
      <c r="F182" s="279"/>
      <c r="G182" s="279"/>
      <c r="H182" s="279"/>
      <c r="I182" s="279"/>
      <c r="J182" s="279"/>
      <c r="K182" s="279"/>
      <c r="L182" s="279"/>
      <c r="M182" s="279"/>
      <c r="N182" s="279"/>
      <c r="O182" s="279"/>
      <c r="P182" s="279"/>
      <c r="Q182" s="279"/>
      <c r="R182" s="279"/>
      <c r="S182" s="330">
        <f>S178-S181-T181</f>
        <v>185146.80000000002</v>
      </c>
      <c r="T182" s="317"/>
      <c r="U182" s="279"/>
      <c r="V182" s="330"/>
      <c r="W182" s="310"/>
      <c r="X182" s="5"/>
    </row>
    <row r="183" spans="1:24" ht="16.2" thickBot="1" x14ac:dyDescent="0.35">
      <c r="A183" s="177"/>
      <c r="B183" s="275"/>
      <c r="C183" s="275"/>
      <c r="D183" s="275"/>
      <c r="E183" s="275"/>
      <c r="F183" s="275"/>
      <c r="G183" s="275"/>
      <c r="H183" s="275"/>
      <c r="I183" s="275"/>
      <c r="J183" s="275"/>
      <c r="K183" s="275"/>
      <c r="L183" s="275"/>
      <c r="M183" s="275"/>
      <c r="N183" s="275"/>
      <c r="O183" s="275"/>
      <c r="P183" s="275"/>
      <c r="Q183" s="275"/>
      <c r="R183" s="275"/>
      <c r="S183" s="275"/>
      <c r="T183" s="275"/>
      <c r="U183" s="275"/>
      <c r="V183" s="338"/>
      <c r="W183" s="275"/>
      <c r="X183" s="5"/>
    </row>
    <row r="184" spans="1:24"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76"/>
      <c r="U184" s="176"/>
      <c r="V184" s="198"/>
      <c r="W184" s="176"/>
      <c r="X184" s="5"/>
    </row>
    <row r="185" spans="1:24" ht="15.6" x14ac:dyDescent="0.3">
      <c r="A185" s="177"/>
      <c r="B185" s="208" t="s">
        <v>66</v>
      </c>
      <c r="C185" s="179"/>
      <c r="D185" s="179"/>
      <c r="E185" s="179"/>
      <c r="F185" s="179"/>
      <c r="G185" s="179"/>
      <c r="H185" s="179"/>
      <c r="I185" s="179"/>
      <c r="J185" s="179"/>
      <c r="K185" s="179"/>
      <c r="L185" s="179"/>
      <c r="M185" s="179"/>
      <c r="N185" s="179"/>
      <c r="O185" s="179"/>
      <c r="P185" s="179"/>
      <c r="Q185" s="179"/>
      <c r="R185" s="179"/>
      <c r="S185" s="179"/>
      <c r="T185" s="179"/>
      <c r="U185" s="179"/>
      <c r="V185" s="213"/>
      <c r="W185" s="179"/>
      <c r="X185" s="5"/>
    </row>
    <row r="186" spans="1:24" ht="15.6" x14ac:dyDescent="0.3">
      <c r="A186" s="278"/>
      <c r="B186" s="279" t="s">
        <v>67</v>
      </c>
      <c r="C186" s="279"/>
      <c r="D186" s="279"/>
      <c r="E186" s="279"/>
      <c r="F186" s="279"/>
      <c r="G186" s="279"/>
      <c r="H186" s="279"/>
      <c r="I186" s="279"/>
      <c r="J186" s="279"/>
      <c r="K186" s="279"/>
      <c r="L186" s="279"/>
      <c r="M186" s="279"/>
      <c r="N186" s="279"/>
      <c r="O186" s="279"/>
      <c r="P186" s="279"/>
      <c r="Q186" s="279"/>
      <c r="R186" s="279"/>
      <c r="S186" s="279"/>
      <c r="T186" s="279"/>
      <c r="U186" s="279"/>
      <c r="V186" s="339">
        <f>(V100+V102+V103+V104+V105)/-(V106+V107)</f>
        <v>2.5225225225225225</v>
      </c>
      <c r="W186" s="282" t="s">
        <v>120</v>
      </c>
      <c r="X186" s="5"/>
    </row>
    <row r="187" spans="1:24" ht="15.6" x14ac:dyDescent="0.3">
      <c r="A187" s="278"/>
      <c r="B187" s="279" t="s">
        <v>68</v>
      </c>
      <c r="C187" s="279"/>
      <c r="D187" s="279"/>
      <c r="E187" s="279"/>
      <c r="F187" s="279"/>
      <c r="G187" s="279"/>
      <c r="H187" s="279"/>
      <c r="I187" s="279"/>
      <c r="J187" s="279"/>
      <c r="K187" s="279"/>
      <c r="L187" s="279"/>
      <c r="M187" s="279"/>
      <c r="N187" s="279"/>
      <c r="O187" s="279"/>
      <c r="P187" s="279"/>
      <c r="Q187" s="279"/>
      <c r="R187" s="279"/>
      <c r="S187" s="279"/>
      <c r="T187" s="279"/>
      <c r="U187" s="279"/>
      <c r="V187" s="341">
        <v>1.61</v>
      </c>
      <c r="W187" s="282" t="s">
        <v>120</v>
      </c>
      <c r="X187" s="5"/>
    </row>
    <row r="188" spans="1:24" ht="15.6" x14ac:dyDescent="0.3">
      <c r="A188" s="278"/>
      <c r="B188" s="279" t="s">
        <v>69</v>
      </c>
      <c r="C188" s="279"/>
      <c r="D188" s="279"/>
      <c r="E188" s="279"/>
      <c r="F188" s="279"/>
      <c r="G188" s="279"/>
      <c r="H188" s="279"/>
      <c r="I188" s="279"/>
      <c r="J188" s="279"/>
      <c r="K188" s="279"/>
      <c r="L188" s="279"/>
      <c r="M188" s="279"/>
      <c r="N188" s="279"/>
      <c r="O188" s="279"/>
      <c r="P188" s="279"/>
      <c r="Q188" s="279"/>
      <c r="R188" s="279"/>
      <c r="S188" s="279"/>
      <c r="T188" s="279"/>
      <c r="U188" s="279"/>
      <c r="V188" s="339">
        <f>(V100+V102+V103+V104+V105+V106+V107)/-(V108+V109)</f>
        <v>8.5668202764976957</v>
      </c>
      <c r="W188" s="282" t="s">
        <v>120</v>
      </c>
      <c r="X188" s="5"/>
    </row>
    <row r="189" spans="1:24" ht="15.6" x14ac:dyDescent="0.3">
      <c r="A189" s="278"/>
      <c r="B189" s="279" t="s">
        <v>70</v>
      </c>
      <c r="C189" s="279"/>
      <c r="D189" s="279"/>
      <c r="E189" s="279"/>
      <c r="F189" s="279"/>
      <c r="G189" s="279"/>
      <c r="H189" s="279"/>
      <c r="I189" s="279"/>
      <c r="J189" s="279"/>
      <c r="K189" s="279"/>
      <c r="L189" s="279"/>
      <c r="M189" s="279"/>
      <c r="N189" s="279"/>
      <c r="O189" s="279"/>
      <c r="P189" s="279"/>
      <c r="Q189" s="279"/>
      <c r="R189" s="279"/>
      <c r="S189" s="279"/>
      <c r="T189" s="279"/>
      <c r="U189" s="279"/>
      <c r="V189" s="341">
        <v>5.59</v>
      </c>
      <c r="W189" s="282" t="s">
        <v>120</v>
      </c>
      <c r="X189" s="5"/>
    </row>
    <row r="190" spans="1:24" ht="15.6" x14ac:dyDescent="0.3">
      <c r="A190" s="278"/>
      <c r="B190" s="279" t="s">
        <v>204</v>
      </c>
      <c r="C190" s="279"/>
      <c r="D190" s="279"/>
      <c r="E190" s="279"/>
      <c r="F190" s="279"/>
      <c r="G190" s="279"/>
      <c r="H190" s="279"/>
      <c r="I190" s="279"/>
      <c r="J190" s="279"/>
      <c r="K190" s="279"/>
      <c r="L190" s="279"/>
      <c r="M190" s="279"/>
      <c r="N190" s="279"/>
      <c r="O190" s="279"/>
      <c r="P190" s="279"/>
      <c r="Q190" s="279"/>
      <c r="R190" s="279"/>
      <c r="S190" s="279"/>
      <c r="T190" s="279"/>
      <c r="U190" s="279"/>
      <c r="V190" s="339">
        <f>(V100+V102+V103+V104+V105+V106+V107+V108+V109)/-(V110+V111)</f>
        <v>7.2654867256637168</v>
      </c>
      <c r="W190" s="282" t="s">
        <v>120</v>
      </c>
      <c r="X190" s="5"/>
    </row>
    <row r="191" spans="1:24" ht="15.6" x14ac:dyDescent="0.3">
      <c r="A191" s="278"/>
      <c r="B191" s="279" t="s">
        <v>205</v>
      </c>
      <c r="C191" s="279"/>
      <c r="D191" s="279"/>
      <c r="E191" s="279"/>
      <c r="F191" s="279"/>
      <c r="G191" s="279"/>
      <c r="H191" s="279"/>
      <c r="I191" s="279"/>
      <c r="J191" s="279"/>
      <c r="K191" s="279"/>
      <c r="L191" s="279"/>
      <c r="M191" s="279"/>
      <c r="N191" s="279"/>
      <c r="O191" s="279"/>
      <c r="P191" s="279"/>
      <c r="Q191" s="279"/>
      <c r="R191" s="279"/>
      <c r="S191" s="279"/>
      <c r="T191" s="279"/>
      <c r="U191" s="279"/>
      <c r="V191" s="341">
        <v>5.28</v>
      </c>
      <c r="W191" s="282" t="s">
        <v>120</v>
      </c>
      <c r="X191" s="5"/>
    </row>
    <row r="192" spans="1:24" ht="15.6" x14ac:dyDescent="0.3">
      <c r="A192" s="278"/>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82"/>
      <c r="X192" s="5"/>
    </row>
    <row r="193" spans="1:24" ht="15.6" x14ac:dyDescent="0.3">
      <c r="A193" s="177"/>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5"/>
    </row>
    <row r="194" spans="1:24" ht="15.6" x14ac:dyDescent="0.3">
      <c r="A194" s="177"/>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5"/>
    </row>
    <row r="195" spans="1:24" ht="18" thickBot="1" x14ac:dyDescent="0.35">
      <c r="A195" s="194"/>
      <c r="B195" s="264" t="str">
        <f>B135</f>
        <v>PM12 INVESTOR REPORT QUARTER ENDING APRIL 2012</v>
      </c>
      <c r="C195" s="265"/>
      <c r="D195" s="265"/>
      <c r="E195" s="265"/>
      <c r="F195" s="265"/>
      <c r="G195" s="265"/>
      <c r="H195" s="265"/>
      <c r="I195" s="265"/>
      <c r="J195" s="265"/>
      <c r="K195" s="265"/>
      <c r="L195" s="265"/>
      <c r="M195" s="265"/>
      <c r="N195" s="265"/>
      <c r="O195" s="265"/>
      <c r="P195" s="265"/>
      <c r="Q195" s="265"/>
      <c r="R195" s="265"/>
      <c r="S195" s="265"/>
      <c r="T195" s="265"/>
      <c r="U195" s="265"/>
      <c r="V195" s="265"/>
      <c r="W195" s="266"/>
      <c r="X195" s="5"/>
    </row>
    <row r="196" spans="1:24" ht="15.6" x14ac:dyDescent="0.3">
      <c r="A196" s="235"/>
      <c r="B196" s="392" t="s">
        <v>71</v>
      </c>
      <c r="C196" s="393"/>
      <c r="D196" s="393"/>
      <c r="E196" s="393"/>
      <c r="F196" s="393"/>
      <c r="G196" s="394"/>
      <c r="H196" s="394"/>
      <c r="I196" s="394"/>
      <c r="J196" s="394"/>
      <c r="K196" s="394"/>
      <c r="L196" s="394"/>
      <c r="M196" s="394"/>
      <c r="N196" s="394"/>
      <c r="O196" s="394"/>
      <c r="P196" s="394"/>
      <c r="Q196" s="394"/>
      <c r="R196" s="394"/>
      <c r="S196" s="394"/>
      <c r="T196" s="394">
        <v>41029</v>
      </c>
      <c r="U196" s="236"/>
      <c r="V196" s="236"/>
      <c r="W196" s="236"/>
      <c r="X196" s="5"/>
    </row>
    <row r="197" spans="1:24" ht="15.6" x14ac:dyDescent="0.3">
      <c r="A197" s="214"/>
      <c r="B197" s="215"/>
      <c r="C197" s="216"/>
      <c r="D197" s="216"/>
      <c r="E197" s="216"/>
      <c r="F197" s="216"/>
      <c r="G197" s="217"/>
      <c r="H197" s="217"/>
      <c r="I197" s="217"/>
      <c r="J197" s="217"/>
      <c r="K197" s="217"/>
      <c r="L197" s="217"/>
      <c r="M197" s="217"/>
      <c r="N197" s="217"/>
      <c r="O197" s="217"/>
      <c r="P197" s="217"/>
      <c r="Q197" s="217"/>
      <c r="R197" s="217"/>
      <c r="S197" s="217"/>
      <c r="T197" s="217"/>
      <c r="U197" s="179"/>
      <c r="V197" s="179"/>
      <c r="W197" s="179"/>
      <c r="X197" s="5"/>
    </row>
    <row r="198" spans="1:24" ht="15.6" x14ac:dyDescent="0.3">
      <c r="A198" s="344"/>
      <c r="B198" s="279" t="s">
        <v>72</v>
      </c>
      <c r="C198" s="395"/>
      <c r="D198" s="395"/>
      <c r="E198" s="395"/>
      <c r="F198" s="395"/>
      <c r="G198" s="386"/>
      <c r="H198" s="386"/>
      <c r="I198" s="386"/>
      <c r="J198" s="386"/>
      <c r="K198" s="386"/>
      <c r="L198" s="386"/>
      <c r="M198" s="386"/>
      <c r="N198" s="386"/>
      <c r="O198" s="386"/>
      <c r="P198" s="386"/>
      <c r="Q198" s="386"/>
      <c r="R198" s="386"/>
      <c r="S198" s="386"/>
      <c r="T198" s="313">
        <v>5.2060000000000002E-2</v>
      </c>
      <c r="U198" s="279"/>
      <c r="V198" s="279"/>
      <c r="W198" s="310"/>
      <c r="X198" s="5"/>
    </row>
    <row r="199" spans="1:24" ht="15.6" x14ac:dyDescent="0.3">
      <c r="A199" s="344"/>
      <c r="B199" s="279" t="s">
        <v>156</v>
      </c>
      <c r="C199" s="395"/>
      <c r="D199" s="395"/>
      <c r="E199" s="395"/>
      <c r="F199" s="395"/>
      <c r="G199" s="386"/>
      <c r="H199" s="386"/>
      <c r="I199" s="386"/>
      <c r="J199" s="386"/>
      <c r="K199" s="386"/>
      <c r="L199" s="386"/>
      <c r="M199" s="386"/>
      <c r="N199" s="386"/>
      <c r="O199" s="386"/>
      <c r="P199" s="386"/>
      <c r="Q199" s="386"/>
      <c r="R199" s="386"/>
      <c r="S199" s="386"/>
      <c r="T199" s="313">
        <f>'Oct 06'!T197</f>
        <v>4.8538814772447772E-2</v>
      </c>
      <c r="U199" s="279"/>
      <c r="V199" s="279"/>
      <c r="W199" s="310"/>
      <c r="X199" s="5"/>
    </row>
    <row r="200" spans="1:24" ht="15.6" x14ac:dyDescent="0.3">
      <c r="A200" s="344"/>
      <c r="B200" s="279" t="s">
        <v>73</v>
      </c>
      <c r="C200" s="395"/>
      <c r="D200" s="395"/>
      <c r="E200" s="395"/>
      <c r="F200" s="395"/>
      <c r="G200" s="386"/>
      <c r="H200" s="386"/>
      <c r="I200" s="386"/>
      <c r="J200" s="386"/>
      <c r="K200" s="386"/>
      <c r="L200" s="386"/>
      <c r="M200" s="386"/>
      <c r="N200" s="386"/>
      <c r="O200" s="386"/>
      <c r="P200" s="386"/>
      <c r="Q200" s="386"/>
      <c r="R200" s="386"/>
      <c r="S200" s="386"/>
      <c r="T200" s="313">
        <f>T198-T199</f>
        <v>3.5211852275522301E-3</v>
      </c>
      <c r="U200" s="279"/>
      <c r="V200" s="279"/>
      <c r="W200" s="310"/>
      <c r="X200" s="5"/>
    </row>
    <row r="201" spans="1:24" ht="15.6" x14ac:dyDescent="0.3">
      <c r="A201" s="344"/>
      <c r="B201" s="279" t="s">
        <v>74</v>
      </c>
      <c r="C201" s="395"/>
      <c r="D201" s="395"/>
      <c r="E201" s="395"/>
      <c r="F201" s="395"/>
      <c r="G201" s="386"/>
      <c r="H201" s="386"/>
      <c r="I201" s="386"/>
      <c r="J201" s="386"/>
      <c r="K201" s="386"/>
      <c r="L201" s="386"/>
      <c r="M201" s="386"/>
      <c r="N201" s="386"/>
      <c r="O201" s="386"/>
      <c r="P201" s="386"/>
      <c r="Q201" s="386"/>
      <c r="R201" s="386"/>
      <c r="S201" s="386"/>
      <c r="T201" s="313">
        <v>2.7289999999999998E-2</v>
      </c>
      <c r="U201" s="279"/>
      <c r="V201" s="279"/>
      <c r="W201" s="310"/>
      <c r="X201" s="5"/>
    </row>
    <row r="202" spans="1:24" ht="15.6" x14ac:dyDescent="0.3">
      <c r="A202" s="344"/>
      <c r="B202" s="279" t="s">
        <v>225</v>
      </c>
      <c r="C202" s="395"/>
      <c r="D202" s="395"/>
      <c r="E202" s="395"/>
      <c r="F202" s="395"/>
      <c r="G202" s="386"/>
      <c r="H202" s="386"/>
      <c r="I202" s="386"/>
      <c r="J202" s="386"/>
      <c r="K202" s="386"/>
      <c r="L202" s="386"/>
      <c r="M202" s="386"/>
      <c r="N202" s="386"/>
      <c r="O202" s="386"/>
      <c r="P202" s="386"/>
      <c r="Q202" s="386"/>
      <c r="R202" s="386"/>
      <c r="S202" s="386"/>
      <c r="T202" s="313">
        <f>V43</f>
        <v>1.3609989700040919E-2</v>
      </c>
      <c r="U202" s="279"/>
      <c r="V202" s="279"/>
      <c r="W202" s="310"/>
      <c r="X202" s="5"/>
    </row>
    <row r="203" spans="1:24" ht="15.6" x14ac:dyDescent="0.3">
      <c r="A203" s="344"/>
      <c r="B203" s="279" t="s">
        <v>75</v>
      </c>
      <c r="C203" s="395"/>
      <c r="D203" s="395"/>
      <c r="E203" s="395"/>
      <c r="F203" s="395"/>
      <c r="G203" s="386"/>
      <c r="H203" s="386"/>
      <c r="I203" s="386"/>
      <c r="J203" s="386"/>
      <c r="K203" s="386"/>
      <c r="L203" s="386"/>
      <c r="M203" s="386"/>
      <c r="N203" s="386"/>
      <c r="O203" s="386"/>
      <c r="P203" s="386"/>
      <c r="Q203" s="386"/>
      <c r="R203" s="386"/>
      <c r="S203" s="386"/>
      <c r="T203" s="313">
        <f>T201-T202</f>
        <v>1.368001029995908E-2</v>
      </c>
      <c r="U203" s="279"/>
      <c r="V203" s="279"/>
      <c r="W203" s="310"/>
      <c r="X203" s="5"/>
    </row>
    <row r="204" spans="1:24" ht="15.6" x14ac:dyDescent="0.3">
      <c r="A204" s="344"/>
      <c r="B204" s="279" t="s">
        <v>271</v>
      </c>
      <c r="C204" s="395"/>
      <c r="D204" s="395"/>
      <c r="E204" s="395"/>
      <c r="F204" s="395"/>
      <c r="G204" s="386"/>
      <c r="H204" s="386"/>
      <c r="I204" s="386"/>
      <c r="J204" s="386"/>
      <c r="K204" s="386"/>
      <c r="L204" s="386"/>
      <c r="M204" s="386"/>
      <c r="N204" s="386"/>
      <c r="O204" s="386"/>
      <c r="P204" s="386"/>
      <c r="Q204" s="386"/>
      <c r="R204" s="386"/>
      <c r="S204" s="386"/>
      <c r="T204" s="313">
        <f>+V100/N71</f>
        <v>6.8795934978209405E-3</v>
      </c>
      <c r="U204" s="279"/>
      <c r="V204" s="279"/>
      <c r="W204" s="310"/>
      <c r="X204" s="5"/>
    </row>
    <row r="205" spans="1:24" ht="15.6" x14ac:dyDescent="0.3">
      <c r="A205" s="344"/>
      <c r="B205" s="279" t="s">
        <v>214</v>
      </c>
      <c r="C205" s="395"/>
      <c r="D205" s="395"/>
      <c r="E205" s="395"/>
      <c r="F205" s="395"/>
      <c r="G205" s="386"/>
      <c r="H205" s="386"/>
      <c r="I205" s="386"/>
      <c r="J205" s="386"/>
      <c r="K205" s="386"/>
      <c r="L205" s="386"/>
      <c r="M205" s="386"/>
      <c r="N205" s="386"/>
      <c r="O205" s="386"/>
      <c r="P205" s="386"/>
      <c r="Q205" s="386"/>
      <c r="R205" s="386"/>
      <c r="S205" s="386"/>
      <c r="T205" s="346">
        <v>50710</v>
      </c>
      <c r="U205" s="279"/>
      <c r="V205" s="279"/>
      <c r="W205" s="310"/>
      <c r="X205" s="5"/>
    </row>
    <row r="206" spans="1:24" ht="15.6" x14ac:dyDescent="0.3">
      <c r="A206" s="344"/>
      <c r="B206" s="279" t="s">
        <v>215</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216</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76</v>
      </c>
      <c r="C208" s="395"/>
      <c r="D208" s="395"/>
      <c r="E208" s="395"/>
      <c r="F208" s="395"/>
      <c r="G208" s="386"/>
      <c r="H208" s="386"/>
      <c r="I208" s="386"/>
      <c r="J208" s="386"/>
      <c r="K208" s="386"/>
      <c r="L208" s="386"/>
      <c r="M208" s="386"/>
      <c r="N208" s="386"/>
      <c r="O208" s="386"/>
      <c r="P208" s="386"/>
      <c r="Q208" s="386"/>
      <c r="R208" s="386"/>
      <c r="S208" s="386"/>
      <c r="T208" s="319">
        <v>21.06</v>
      </c>
      <c r="U208" s="279" t="s">
        <v>115</v>
      </c>
      <c r="V208" s="279"/>
      <c r="W208" s="310"/>
      <c r="X208" s="5"/>
    </row>
    <row r="209" spans="1:24" ht="15.6" x14ac:dyDescent="0.3">
      <c r="A209" s="344"/>
      <c r="B209" s="279" t="s">
        <v>77</v>
      </c>
      <c r="C209" s="395"/>
      <c r="D209" s="395"/>
      <c r="E209" s="395"/>
      <c r="F209" s="395"/>
      <c r="G209" s="386"/>
      <c r="H209" s="386"/>
      <c r="I209" s="386"/>
      <c r="J209" s="386"/>
      <c r="K209" s="386"/>
      <c r="L209" s="386"/>
      <c r="M209" s="386"/>
      <c r="N209" s="386"/>
      <c r="O209" s="386"/>
      <c r="P209" s="386"/>
      <c r="Q209" s="386"/>
      <c r="R209" s="386"/>
      <c r="S209" s="386"/>
      <c r="T209" s="319">
        <v>15.4</v>
      </c>
      <c r="U209" s="279" t="s">
        <v>115</v>
      </c>
      <c r="V209" s="279"/>
      <c r="W209" s="310"/>
      <c r="X209" s="5"/>
    </row>
    <row r="210" spans="1:24" ht="15.6" x14ac:dyDescent="0.3">
      <c r="A210" s="344"/>
      <c r="B210" s="279" t="s">
        <v>78</v>
      </c>
      <c r="C210" s="395"/>
      <c r="D210" s="395"/>
      <c r="E210" s="395"/>
      <c r="F210" s="395"/>
      <c r="G210" s="386"/>
      <c r="H210" s="386"/>
      <c r="I210" s="386"/>
      <c r="J210" s="386"/>
      <c r="K210" s="386"/>
      <c r="L210" s="386"/>
      <c r="M210" s="386"/>
      <c r="N210" s="386"/>
      <c r="O210" s="386"/>
      <c r="P210" s="386"/>
      <c r="Q210" s="386"/>
      <c r="R210" s="386"/>
      <c r="S210" s="386"/>
      <c r="T210" s="313">
        <f>P68/N68</f>
        <v>4.0121716660800038E-3</v>
      </c>
      <c r="U210" s="279"/>
      <c r="V210" s="279"/>
      <c r="W210" s="310"/>
      <c r="X210" s="5"/>
    </row>
    <row r="211" spans="1:24" ht="15.6" x14ac:dyDescent="0.3">
      <c r="A211" s="344"/>
      <c r="B211" s="279" t="s">
        <v>79</v>
      </c>
      <c r="C211" s="395"/>
      <c r="D211" s="395"/>
      <c r="E211" s="395"/>
      <c r="F211" s="395"/>
      <c r="G211" s="386"/>
      <c r="H211" s="386"/>
      <c r="I211" s="386"/>
      <c r="J211" s="386"/>
      <c r="K211" s="386"/>
      <c r="L211" s="386"/>
      <c r="M211" s="386"/>
      <c r="N211" s="386"/>
      <c r="O211" s="386"/>
      <c r="P211" s="386"/>
      <c r="Q211" s="386"/>
      <c r="R211" s="386"/>
      <c r="S211" s="386"/>
      <c r="T211" s="313">
        <v>7.6399999999999996E-2</v>
      </c>
      <c r="U211" s="279"/>
      <c r="V211" s="279"/>
      <c r="W211" s="310"/>
      <c r="X211" s="5"/>
    </row>
    <row r="212" spans="1:24" ht="15.6" x14ac:dyDescent="0.3">
      <c r="A212" s="214"/>
      <c r="B212" s="342"/>
      <c r="C212" s="342"/>
      <c r="D212" s="342"/>
      <c r="E212" s="342"/>
      <c r="F212" s="342"/>
      <c r="G212" s="275"/>
      <c r="H212" s="275"/>
      <c r="I212" s="275"/>
      <c r="J212" s="275"/>
      <c r="K212" s="275"/>
      <c r="L212" s="275"/>
      <c r="M212" s="275"/>
      <c r="N212" s="275"/>
      <c r="O212" s="275"/>
      <c r="P212" s="275"/>
      <c r="Q212" s="275"/>
      <c r="R212" s="275"/>
      <c r="S212" s="275"/>
      <c r="T212" s="338"/>
      <c r="U212" s="275"/>
      <c r="V212" s="343"/>
      <c r="W212" s="275"/>
      <c r="X212" s="5"/>
    </row>
    <row r="213" spans="1:24" ht="15.6" x14ac:dyDescent="0.3">
      <c r="A213" s="241"/>
      <c r="B213" s="388" t="s">
        <v>80</v>
      </c>
      <c r="C213" s="389"/>
      <c r="D213" s="389"/>
      <c r="E213" s="389"/>
      <c r="F213" s="396"/>
      <c r="G213" s="389"/>
      <c r="H213" s="389"/>
      <c r="I213" s="389"/>
      <c r="J213" s="389"/>
      <c r="K213" s="389"/>
      <c r="L213" s="389"/>
      <c r="M213" s="389"/>
      <c r="N213" s="389"/>
      <c r="O213" s="389"/>
      <c r="P213" s="389"/>
      <c r="Q213" s="389"/>
      <c r="R213" s="389"/>
      <c r="S213" s="389" t="s">
        <v>104</v>
      </c>
      <c r="T213" s="396" t="s">
        <v>111</v>
      </c>
      <c r="U213" s="224"/>
      <c r="V213" s="224"/>
      <c r="W213" s="224"/>
      <c r="X213" s="5"/>
    </row>
    <row r="214" spans="1:24" ht="15.6" x14ac:dyDescent="0.3">
      <c r="A214" s="219"/>
      <c r="B214" s="248" t="s">
        <v>81</v>
      </c>
      <c r="C214" s="204"/>
      <c r="D214" s="204"/>
      <c r="E214" s="204"/>
      <c r="F214" s="190"/>
      <c r="G214" s="190"/>
      <c r="H214" s="191"/>
      <c r="I214" s="191"/>
      <c r="J214" s="191"/>
      <c r="K214" s="191"/>
      <c r="L214" s="191"/>
      <c r="M214" s="191"/>
      <c r="N214" s="191"/>
      <c r="O214" s="191"/>
      <c r="P214" s="191"/>
      <c r="Q214" s="191"/>
      <c r="R214" s="191"/>
      <c r="S214" s="262">
        <v>10</v>
      </c>
      <c r="T214" s="263">
        <v>1503</v>
      </c>
      <c r="U214" s="190"/>
      <c r="V214" s="218"/>
      <c r="W214" s="220"/>
      <c r="X214" s="5"/>
    </row>
    <row r="215" spans="1:24" ht="15.6" x14ac:dyDescent="0.3">
      <c r="A215" s="352"/>
      <c r="B215" s="279" t="s">
        <v>150</v>
      </c>
      <c r="C215" s="353"/>
      <c r="D215" s="353"/>
      <c r="E215" s="353"/>
      <c r="F215" s="305"/>
      <c r="G215" s="305"/>
      <c r="H215" s="308"/>
      <c r="I215" s="308"/>
      <c r="J215" s="308"/>
      <c r="K215" s="308"/>
      <c r="L215" s="308"/>
      <c r="M215" s="308"/>
      <c r="N215" s="308"/>
      <c r="O215" s="308"/>
      <c r="P215" s="308"/>
      <c r="Q215" s="308"/>
      <c r="R215" s="308"/>
      <c r="S215" s="354">
        <f>+R267</f>
        <v>148</v>
      </c>
      <c r="T215" s="355">
        <f>+T267</f>
        <v>23737</v>
      </c>
      <c r="U215" s="305"/>
      <c r="V215" s="356"/>
      <c r="W215" s="357"/>
      <c r="X215" s="5"/>
    </row>
    <row r="216" spans="1:24" ht="15.6" x14ac:dyDescent="0.3">
      <c r="A216" s="352"/>
      <c r="B216" s="279" t="s">
        <v>82</v>
      </c>
      <c r="C216" s="353"/>
      <c r="D216" s="353"/>
      <c r="E216" s="353"/>
      <c r="F216" s="305"/>
      <c r="G216" s="305"/>
      <c r="H216" s="308"/>
      <c r="I216" s="308"/>
      <c r="J216" s="308"/>
      <c r="K216" s="308"/>
      <c r="L216" s="308"/>
      <c r="M216" s="308"/>
      <c r="N216" s="308"/>
      <c r="O216" s="308"/>
      <c r="P216" s="308"/>
      <c r="Q216" s="308"/>
      <c r="R216" s="308"/>
      <c r="S216" s="354">
        <f>+R279</f>
        <v>1</v>
      </c>
      <c r="T216" s="355">
        <f>+T279</f>
        <v>20</v>
      </c>
      <c r="U216" s="305"/>
      <c r="V216" s="356"/>
      <c r="W216" s="357"/>
      <c r="X216" s="5"/>
    </row>
    <row r="217" spans="1:24" ht="15.6" x14ac:dyDescent="0.3">
      <c r="A217" s="352"/>
      <c r="B217" s="304" t="s">
        <v>83</v>
      </c>
      <c r="C217" s="353"/>
      <c r="D217" s="353"/>
      <c r="E217" s="353"/>
      <c r="F217" s="305"/>
      <c r="G217" s="305"/>
      <c r="H217" s="305"/>
      <c r="I217" s="305"/>
      <c r="J217" s="305"/>
      <c r="K217" s="305"/>
      <c r="L217" s="305"/>
      <c r="M217" s="305"/>
      <c r="N217" s="305"/>
      <c r="O217" s="305"/>
      <c r="P217" s="305"/>
      <c r="Q217" s="305"/>
      <c r="R217" s="305"/>
      <c r="S217" s="279"/>
      <c r="T217" s="355">
        <v>0</v>
      </c>
      <c r="U217" s="305"/>
      <c r="V217" s="356"/>
      <c r="W217" s="357"/>
      <c r="X217" s="5"/>
    </row>
    <row r="218" spans="1:24" ht="15.6" x14ac:dyDescent="0.3">
      <c r="A218" s="352"/>
      <c r="B218" s="304" t="s">
        <v>84</v>
      </c>
      <c r="C218" s="353"/>
      <c r="D218" s="353"/>
      <c r="E218" s="353"/>
      <c r="F218" s="305"/>
      <c r="G218" s="305"/>
      <c r="H218" s="305"/>
      <c r="I218" s="305"/>
      <c r="J218" s="305"/>
      <c r="K218" s="305"/>
      <c r="L218" s="305"/>
      <c r="M218" s="305"/>
      <c r="N218" s="305"/>
      <c r="O218" s="305"/>
      <c r="P218" s="305"/>
      <c r="Q218" s="305"/>
      <c r="R218" s="305"/>
      <c r="S218" s="279"/>
      <c r="T218" s="358" t="s">
        <v>112</v>
      </c>
      <c r="U218" s="305"/>
      <c r="V218" s="356"/>
      <c r="W218" s="357"/>
      <c r="X218" s="5"/>
    </row>
    <row r="219" spans="1:24" ht="15.6" x14ac:dyDescent="0.3">
      <c r="A219" s="359"/>
      <c r="B219" s="304" t="s">
        <v>85</v>
      </c>
      <c r="C219" s="360"/>
      <c r="D219" s="360"/>
      <c r="E219" s="360"/>
      <c r="F219" s="360"/>
      <c r="G219" s="305"/>
      <c r="H219" s="305"/>
      <c r="I219" s="305"/>
      <c r="J219" s="305"/>
      <c r="K219" s="305"/>
      <c r="L219" s="305"/>
      <c r="M219" s="305"/>
      <c r="N219" s="305"/>
      <c r="O219" s="305"/>
      <c r="P219" s="305"/>
      <c r="Q219" s="305"/>
      <c r="R219" s="305"/>
      <c r="S219" s="279"/>
      <c r="T219" s="355"/>
      <c r="U219" s="305"/>
      <c r="V219" s="356"/>
      <c r="W219" s="361"/>
      <c r="X219" s="5"/>
    </row>
    <row r="220" spans="1:24" ht="15.6" x14ac:dyDescent="0.3">
      <c r="A220" s="359"/>
      <c r="B220" s="279" t="s">
        <v>86</v>
      </c>
      <c r="C220" s="360"/>
      <c r="D220" s="360"/>
      <c r="E220" s="360"/>
      <c r="F220" s="360"/>
      <c r="G220" s="305"/>
      <c r="H220" s="305"/>
      <c r="I220" s="305"/>
      <c r="J220" s="305"/>
      <c r="K220" s="305"/>
      <c r="L220" s="305"/>
      <c r="M220" s="305"/>
      <c r="N220" s="305"/>
      <c r="O220" s="305"/>
      <c r="P220" s="305"/>
      <c r="Q220" s="305"/>
      <c r="R220" s="305"/>
      <c r="S220" s="287"/>
      <c r="T220" s="355">
        <f>+V164</f>
        <v>305</v>
      </c>
      <c r="U220" s="305"/>
      <c r="V220" s="356"/>
      <c r="W220" s="361"/>
      <c r="X220" s="5"/>
    </row>
    <row r="221" spans="1:24" ht="15.6" x14ac:dyDescent="0.3">
      <c r="A221" s="352"/>
      <c r="B221" s="279" t="s">
        <v>87</v>
      </c>
      <c r="C221" s="353"/>
      <c r="D221" s="353"/>
      <c r="E221" s="353"/>
      <c r="F221" s="353"/>
      <c r="G221" s="305"/>
      <c r="H221" s="305"/>
      <c r="I221" s="305"/>
      <c r="J221" s="305"/>
      <c r="K221" s="305"/>
      <c r="L221" s="305"/>
      <c r="M221" s="305"/>
      <c r="N221" s="305"/>
      <c r="O221" s="305"/>
      <c r="P221" s="305"/>
      <c r="Q221" s="305"/>
      <c r="R221" s="305"/>
      <c r="S221" s="287"/>
      <c r="T221" s="355">
        <f>'Jan 12'!T221+'April 12'!T220</f>
        <v>3763</v>
      </c>
      <c r="U221" s="305"/>
      <c r="V221" s="356"/>
      <c r="W221" s="361"/>
      <c r="X221" s="5"/>
    </row>
    <row r="222" spans="1:24" ht="15.6" x14ac:dyDescent="0.3">
      <c r="A222" s="359"/>
      <c r="B222" s="304" t="s">
        <v>292</v>
      </c>
      <c r="C222" s="360"/>
      <c r="D222" s="360"/>
      <c r="E222" s="360"/>
      <c r="F222" s="360"/>
      <c r="G222" s="305"/>
      <c r="H222" s="305"/>
      <c r="I222" s="305"/>
      <c r="J222" s="305"/>
      <c r="K222" s="305"/>
      <c r="L222" s="305"/>
      <c r="M222" s="305"/>
      <c r="N222" s="305"/>
      <c r="O222" s="305"/>
      <c r="P222" s="305"/>
      <c r="Q222" s="305"/>
      <c r="R222" s="305"/>
      <c r="S222" s="287"/>
      <c r="T222" s="355"/>
      <c r="U222" s="305"/>
      <c r="V222" s="356"/>
      <c r="W222" s="361"/>
      <c r="X222" s="5"/>
    </row>
    <row r="223" spans="1:24" ht="15.6" x14ac:dyDescent="0.3">
      <c r="A223" s="359"/>
      <c r="B223" s="279" t="s">
        <v>290</v>
      </c>
      <c r="C223" s="360"/>
      <c r="D223" s="360"/>
      <c r="E223" s="360"/>
      <c r="F223" s="360"/>
      <c r="G223" s="305"/>
      <c r="H223" s="305"/>
      <c r="I223" s="305"/>
      <c r="J223" s="305"/>
      <c r="K223" s="305"/>
      <c r="L223" s="305"/>
      <c r="M223" s="305"/>
      <c r="N223" s="305"/>
      <c r="O223" s="305"/>
      <c r="P223" s="305"/>
      <c r="Q223" s="305"/>
      <c r="R223" s="305"/>
      <c r="S223" s="287">
        <v>0</v>
      </c>
      <c r="T223" s="355">
        <v>0</v>
      </c>
      <c r="U223" s="305"/>
      <c r="V223" s="356"/>
      <c r="W223" s="361"/>
      <c r="X223" s="5"/>
    </row>
    <row r="224" spans="1:24" ht="15.6" x14ac:dyDescent="0.3">
      <c r="A224" s="352"/>
      <c r="B224" s="279" t="s">
        <v>88</v>
      </c>
      <c r="C224" s="362"/>
      <c r="D224" s="362"/>
      <c r="E224" s="362"/>
      <c r="F224" s="363"/>
      <c r="G224" s="305"/>
      <c r="H224" s="305"/>
      <c r="I224" s="305"/>
      <c r="J224" s="305"/>
      <c r="K224" s="305"/>
      <c r="L224" s="305"/>
      <c r="M224" s="305"/>
      <c r="N224" s="305"/>
      <c r="O224" s="305"/>
      <c r="P224" s="305"/>
      <c r="Q224" s="305"/>
      <c r="R224" s="305"/>
      <c r="S224" s="279"/>
      <c r="T224" s="358">
        <v>0</v>
      </c>
      <c r="U224" s="305"/>
      <c r="V224" s="356"/>
      <c r="W224" s="361"/>
      <c r="X224" s="5"/>
    </row>
    <row r="225" spans="1:25" ht="15.6" x14ac:dyDescent="0.3">
      <c r="A225" s="352"/>
      <c r="B225" s="279" t="s">
        <v>89</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304" t="s">
        <v>223</v>
      </c>
      <c r="C226" s="362"/>
      <c r="D226" s="362"/>
      <c r="E226" s="362"/>
      <c r="F226" s="363"/>
      <c r="G226" s="305"/>
      <c r="H226" s="305"/>
      <c r="I226" s="305"/>
      <c r="J226" s="305"/>
      <c r="K226" s="305"/>
      <c r="L226" s="305"/>
      <c r="M226" s="305"/>
      <c r="N226" s="305"/>
      <c r="O226" s="305"/>
      <c r="P226" s="305"/>
      <c r="Q226" s="305"/>
      <c r="R226" s="305"/>
      <c r="S226" s="279"/>
      <c r="T226" s="364"/>
      <c r="U226" s="305"/>
      <c r="V226" s="356"/>
      <c r="W226" s="361"/>
      <c r="X226" s="5"/>
    </row>
    <row r="227" spans="1:25" ht="15.6" x14ac:dyDescent="0.3">
      <c r="A227" s="352"/>
      <c r="B227" s="279" t="s">
        <v>290</v>
      </c>
      <c r="C227" s="362"/>
      <c r="D227" s="362"/>
      <c r="E227" s="362"/>
      <c r="F227" s="363"/>
      <c r="G227" s="305"/>
      <c r="H227" s="305"/>
      <c r="I227" s="305"/>
      <c r="J227" s="305"/>
      <c r="K227" s="305"/>
      <c r="L227" s="305"/>
      <c r="M227" s="305"/>
      <c r="N227" s="305"/>
      <c r="O227" s="305"/>
      <c r="P227" s="305"/>
      <c r="Q227" s="305"/>
      <c r="R227" s="305"/>
      <c r="S227" s="287">
        <v>3</v>
      </c>
      <c r="T227" s="355">
        <v>960</v>
      </c>
      <c r="U227" s="305"/>
      <c r="V227" s="356"/>
      <c r="W227" s="361"/>
      <c r="X227" s="5"/>
    </row>
    <row r="228" spans="1:25" ht="15.6" x14ac:dyDescent="0.3">
      <c r="A228" s="352"/>
      <c r="B228" s="279" t="s">
        <v>224</v>
      </c>
      <c r="C228" s="362"/>
      <c r="D228" s="362"/>
      <c r="E228" s="362"/>
      <c r="F228" s="363"/>
      <c r="G228" s="305"/>
      <c r="H228" s="305"/>
      <c r="I228" s="305"/>
      <c r="J228" s="305"/>
      <c r="K228" s="305"/>
      <c r="L228" s="305"/>
      <c r="M228" s="305"/>
      <c r="N228" s="305"/>
      <c r="O228" s="305"/>
      <c r="P228" s="305"/>
      <c r="Q228" s="305"/>
      <c r="R228" s="305"/>
      <c r="S228" s="279"/>
      <c r="T228" s="358">
        <v>14.84</v>
      </c>
      <c r="U228" s="305"/>
      <c r="V228" s="356"/>
      <c r="W228" s="361"/>
      <c r="X228" s="5"/>
    </row>
    <row r="229" spans="1:25" ht="15.6" x14ac:dyDescent="0.3">
      <c r="A229" s="352"/>
      <c r="B229" s="360"/>
      <c r="C229" s="362"/>
      <c r="D229" s="362"/>
      <c r="E229" s="362"/>
      <c r="F229" s="363"/>
      <c r="G229" s="305"/>
      <c r="H229" s="305"/>
      <c r="I229" s="305"/>
      <c r="J229" s="305"/>
      <c r="K229" s="305"/>
      <c r="L229" s="305"/>
      <c r="M229" s="305"/>
      <c r="N229" s="305"/>
      <c r="O229" s="305"/>
      <c r="P229" s="305"/>
      <c r="Q229" s="305"/>
      <c r="R229" s="305"/>
      <c r="S229" s="279"/>
      <c r="T229" s="364"/>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305"/>
      <c r="T230" s="365"/>
      <c r="U230" s="305"/>
      <c r="V230" s="356"/>
      <c r="W230" s="361"/>
      <c r="X230" s="5"/>
    </row>
    <row r="231" spans="1:25" ht="17.399999999999999" x14ac:dyDescent="0.3">
      <c r="A231" s="352"/>
      <c r="B231" s="366" t="s">
        <v>174</v>
      </c>
      <c r="C231" s="362"/>
      <c r="D231" s="362"/>
      <c r="E231" s="362"/>
      <c r="F231" s="363"/>
      <c r="G231" s="305"/>
      <c r="H231" s="305"/>
      <c r="I231" s="305"/>
      <c r="J231" s="305"/>
      <c r="K231" s="305"/>
      <c r="L231" s="305"/>
      <c r="M231" s="305"/>
      <c r="N231" s="305"/>
      <c r="O231" s="305"/>
      <c r="P231" s="367" t="s">
        <v>173</v>
      </c>
      <c r="Q231" s="305"/>
      <c r="R231" s="305"/>
      <c r="S231" s="305"/>
      <c r="T231" s="365"/>
      <c r="U231" s="305"/>
      <c r="V231" s="356"/>
      <c r="W231" s="361"/>
      <c r="X231" s="5"/>
    </row>
    <row r="232" spans="1:25" ht="15.6" x14ac:dyDescent="0.3">
      <c r="A232" s="347"/>
      <c r="B232" s="342"/>
      <c r="C232" s="348"/>
      <c r="D232" s="348"/>
      <c r="E232" s="348"/>
      <c r="F232" s="349"/>
      <c r="G232" s="275"/>
      <c r="H232" s="275"/>
      <c r="I232" s="275"/>
      <c r="J232" s="275"/>
      <c r="K232" s="275"/>
      <c r="L232" s="275"/>
      <c r="M232" s="275"/>
      <c r="N232" s="275"/>
      <c r="O232" s="275"/>
      <c r="P232" s="275"/>
      <c r="Q232" s="275"/>
      <c r="R232" s="275"/>
      <c r="S232" s="275"/>
      <c r="T232" s="350"/>
      <c r="U232" s="275"/>
      <c r="V232" s="343"/>
      <c r="W232" s="351"/>
      <c r="X232" s="5"/>
    </row>
    <row r="233" spans="1:25" ht="15.6" x14ac:dyDescent="0.3">
      <c r="A233" s="223"/>
      <c r="B233" s="388" t="s">
        <v>304</v>
      </c>
      <c r="C233" s="389"/>
      <c r="D233" s="389"/>
      <c r="E233" s="389"/>
      <c r="F233" s="396"/>
      <c r="G233" s="389"/>
      <c r="H233" s="389"/>
      <c r="I233" s="389"/>
      <c r="J233" s="389"/>
      <c r="K233" s="389"/>
      <c r="L233" s="389"/>
      <c r="M233" s="389"/>
      <c r="N233" s="389"/>
      <c r="O233" s="389"/>
      <c r="P233" s="389"/>
      <c r="Q233" s="389"/>
      <c r="R233" s="396" t="s">
        <v>104</v>
      </c>
      <c r="S233" s="389" t="s">
        <v>105</v>
      </c>
      <c r="T233" s="396" t="s">
        <v>113</v>
      </c>
      <c r="U233" s="389" t="s">
        <v>105</v>
      </c>
      <c r="V233" s="224"/>
      <c r="W233" s="388"/>
      <c r="X233" s="5"/>
    </row>
    <row r="234" spans="1:25" ht="15.6" x14ac:dyDescent="0.3">
      <c r="A234" s="189"/>
      <c r="B234" s="247" t="s">
        <v>90</v>
      </c>
      <c r="C234" s="261"/>
      <c r="D234" s="261"/>
      <c r="E234" s="261"/>
      <c r="F234" s="248"/>
      <c r="G234" s="261"/>
      <c r="H234" s="261"/>
      <c r="I234" s="261"/>
      <c r="J234" s="261"/>
      <c r="K234" s="261"/>
      <c r="L234" s="261"/>
      <c r="M234" s="261"/>
      <c r="N234" s="261"/>
      <c r="O234" s="261"/>
      <c r="P234" s="261"/>
      <c r="Q234" s="261"/>
      <c r="R234" s="329">
        <f t="shared" ref="R234:R241" si="1">+R246+R258+R270</f>
        <v>7261</v>
      </c>
      <c r="S234" s="372">
        <f t="shared" ref="S234:S241" si="2">R234/$R$243</f>
        <v>0.98334236186348867</v>
      </c>
      <c r="T234" s="330">
        <f t="shared" ref="T234:T241" si="3">+T246+T258+T270</f>
        <v>968312</v>
      </c>
      <c r="U234" s="372">
        <f t="shared" ref="U234:U241" si="4">T234/$T$243</f>
        <v>0.98047578255841972</v>
      </c>
      <c r="V234" s="218"/>
      <c r="W234" s="221"/>
      <c r="X234" s="5"/>
    </row>
    <row r="235" spans="1:25" ht="15.6" x14ac:dyDescent="0.3">
      <c r="A235" s="278"/>
      <c r="B235" s="329" t="s">
        <v>91</v>
      </c>
      <c r="C235" s="371"/>
      <c r="D235" s="371"/>
      <c r="E235" s="371"/>
      <c r="F235" s="279"/>
      <c r="G235" s="372"/>
      <c r="H235" s="371"/>
      <c r="I235" s="371"/>
      <c r="J235" s="371"/>
      <c r="K235" s="371"/>
      <c r="L235" s="371"/>
      <c r="M235" s="371"/>
      <c r="N235" s="371"/>
      <c r="O235" s="371"/>
      <c r="P235" s="371"/>
      <c r="Q235" s="371"/>
      <c r="R235" s="329">
        <f t="shared" si="1"/>
        <v>78</v>
      </c>
      <c r="S235" s="372">
        <f t="shared" si="2"/>
        <v>1.0563380281690141E-2</v>
      </c>
      <c r="T235" s="330">
        <f t="shared" si="3"/>
        <v>13465</v>
      </c>
      <c r="U235" s="372">
        <f t="shared" si="4"/>
        <v>1.363414520541842E-2</v>
      </c>
      <c r="V235" s="356"/>
      <c r="W235" s="361"/>
      <c r="X235" s="5"/>
      <c r="Y235" s="109"/>
    </row>
    <row r="236" spans="1:25" ht="15.6" x14ac:dyDescent="0.3">
      <c r="A236" s="278"/>
      <c r="B236" s="329" t="s">
        <v>92</v>
      </c>
      <c r="C236" s="371"/>
      <c r="D236" s="371"/>
      <c r="E236" s="371"/>
      <c r="F236" s="279"/>
      <c r="G236" s="372"/>
      <c r="H236" s="371"/>
      <c r="I236" s="371"/>
      <c r="J236" s="371"/>
      <c r="K236" s="371"/>
      <c r="L236" s="371"/>
      <c r="M236" s="371"/>
      <c r="N236" s="371"/>
      <c r="O236" s="371"/>
      <c r="P236" s="371"/>
      <c r="Q236" s="371"/>
      <c r="R236" s="329">
        <f t="shared" si="1"/>
        <v>14</v>
      </c>
      <c r="S236" s="372">
        <f t="shared" si="2"/>
        <v>1.895991332611051E-3</v>
      </c>
      <c r="T236" s="330">
        <f t="shared" si="3"/>
        <v>1484</v>
      </c>
      <c r="U236" s="372">
        <f t="shared" si="4"/>
        <v>1.5026417738463376E-3</v>
      </c>
      <c r="V236" s="356"/>
      <c r="W236" s="361"/>
      <c r="X236" s="5"/>
    </row>
    <row r="237" spans="1:25" ht="15.6" x14ac:dyDescent="0.3">
      <c r="A237" s="278"/>
      <c r="B237" s="329" t="s">
        <v>161</v>
      </c>
      <c r="C237" s="371"/>
      <c r="D237" s="371"/>
      <c r="E237" s="371"/>
      <c r="F237" s="279"/>
      <c r="G237" s="372"/>
      <c r="H237" s="371"/>
      <c r="I237" s="371"/>
      <c r="J237" s="371"/>
      <c r="K237" s="371"/>
      <c r="L237" s="371"/>
      <c r="M237" s="371"/>
      <c r="N237" s="371"/>
      <c r="O237" s="371"/>
      <c r="P237" s="371"/>
      <c r="Q237" s="371"/>
      <c r="R237" s="329">
        <f t="shared" si="1"/>
        <v>1</v>
      </c>
      <c r="S237" s="372">
        <f t="shared" si="2"/>
        <v>1.3542795232936077E-4</v>
      </c>
      <c r="T237" s="330">
        <f t="shared" si="3"/>
        <v>137</v>
      </c>
      <c r="U237" s="372">
        <f t="shared" si="4"/>
        <v>1.3872097238338833E-4</v>
      </c>
      <c r="V237" s="356"/>
      <c r="W237" s="361"/>
      <c r="X237" s="5"/>
      <c r="Y237" s="109"/>
    </row>
    <row r="238" spans="1:25" ht="15.6" x14ac:dyDescent="0.3">
      <c r="A238" s="278"/>
      <c r="B238" s="329" t="s">
        <v>162</v>
      </c>
      <c r="C238" s="371"/>
      <c r="D238" s="371"/>
      <c r="E238" s="371"/>
      <c r="F238" s="279"/>
      <c r="G238" s="372"/>
      <c r="H238" s="371"/>
      <c r="I238" s="371"/>
      <c r="J238" s="371"/>
      <c r="K238" s="371"/>
      <c r="L238" s="371"/>
      <c r="M238" s="371"/>
      <c r="N238" s="371"/>
      <c r="O238" s="371"/>
      <c r="P238" s="371"/>
      <c r="Q238" s="371"/>
      <c r="R238" s="329">
        <f t="shared" si="1"/>
        <v>3</v>
      </c>
      <c r="S238" s="372">
        <f t="shared" si="2"/>
        <v>4.0628385698808235E-4</v>
      </c>
      <c r="T238" s="330">
        <f t="shared" si="3"/>
        <v>304</v>
      </c>
      <c r="U238" s="372">
        <f t="shared" si="4"/>
        <v>3.0781880003321205E-4</v>
      </c>
      <c r="V238" s="356"/>
      <c r="W238" s="361"/>
      <c r="X238" s="5"/>
    </row>
    <row r="239" spans="1:25" ht="15.6" x14ac:dyDescent="0.3">
      <c r="A239" s="278"/>
      <c r="B239" s="329" t="s">
        <v>163</v>
      </c>
      <c r="C239" s="371"/>
      <c r="D239" s="371"/>
      <c r="E239" s="371"/>
      <c r="F239" s="279"/>
      <c r="G239" s="372"/>
      <c r="H239" s="371"/>
      <c r="I239" s="371"/>
      <c r="J239" s="371"/>
      <c r="K239" s="371"/>
      <c r="L239" s="371"/>
      <c r="M239" s="371"/>
      <c r="N239" s="371"/>
      <c r="O239" s="371"/>
      <c r="P239" s="371"/>
      <c r="Q239" s="371"/>
      <c r="R239" s="329">
        <f t="shared" si="1"/>
        <v>6</v>
      </c>
      <c r="S239" s="372">
        <f t="shared" si="2"/>
        <v>8.1256771397616469E-4</v>
      </c>
      <c r="T239" s="330">
        <f t="shared" si="3"/>
        <v>1243</v>
      </c>
      <c r="U239" s="372">
        <f t="shared" si="4"/>
        <v>1.25861436987264E-3</v>
      </c>
      <c r="V239" s="356"/>
      <c r="W239" s="361"/>
      <c r="X239" s="5"/>
      <c r="Y239" s="109"/>
    </row>
    <row r="240" spans="1:25" ht="15.6" x14ac:dyDescent="0.3">
      <c r="A240" s="278"/>
      <c r="B240" s="329" t="s">
        <v>164</v>
      </c>
      <c r="C240" s="371"/>
      <c r="D240" s="371"/>
      <c r="E240" s="371"/>
      <c r="F240" s="279"/>
      <c r="G240" s="372"/>
      <c r="H240" s="371"/>
      <c r="I240" s="371"/>
      <c r="J240" s="371"/>
      <c r="K240" s="371"/>
      <c r="L240" s="371"/>
      <c r="M240" s="371"/>
      <c r="N240" s="371"/>
      <c r="O240" s="371"/>
      <c r="P240" s="371"/>
      <c r="Q240" s="371"/>
      <c r="R240" s="329">
        <f t="shared" si="1"/>
        <v>9</v>
      </c>
      <c r="S240" s="372">
        <f t="shared" si="2"/>
        <v>1.218851570964247E-3</v>
      </c>
      <c r="T240" s="330">
        <f t="shared" si="3"/>
        <v>950</v>
      </c>
      <c r="U240" s="372">
        <f t="shared" si="4"/>
        <v>9.6193375010378756E-4</v>
      </c>
      <c r="V240" s="356"/>
      <c r="W240" s="361"/>
      <c r="X240" s="5"/>
    </row>
    <row r="241" spans="1:25" ht="15.6" x14ac:dyDescent="0.3">
      <c r="A241" s="278"/>
      <c r="B241" s="329" t="s">
        <v>165</v>
      </c>
      <c r="C241" s="371"/>
      <c r="D241" s="371"/>
      <c r="E241" s="371"/>
      <c r="F241" s="279"/>
      <c r="G241" s="372"/>
      <c r="H241" s="371"/>
      <c r="I241" s="371"/>
      <c r="J241" s="371"/>
      <c r="K241" s="371"/>
      <c r="L241" s="371"/>
      <c r="M241" s="371"/>
      <c r="N241" s="371"/>
      <c r="O241" s="371"/>
      <c r="P241" s="371"/>
      <c r="Q241" s="371"/>
      <c r="R241" s="329">
        <f t="shared" si="1"/>
        <v>12</v>
      </c>
      <c r="S241" s="372">
        <f t="shared" si="2"/>
        <v>1.6251354279523294E-3</v>
      </c>
      <c r="T241" s="330">
        <f t="shared" si="3"/>
        <v>1699</v>
      </c>
      <c r="U241" s="372">
        <f t="shared" si="4"/>
        <v>1.7203425699224581E-3</v>
      </c>
      <c r="V241" s="356"/>
      <c r="W241" s="361"/>
      <c r="X241" s="5"/>
      <c r="Y241" s="109"/>
    </row>
    <row r="242" spans="1:25" ht="15.6" x14ac:dyDescent="0.3">
      <c r="A242" s="278"/>
      <c r="B242" s="329"/>
      <c r="C242" s="371"/>
      <c r="D242" s="371"/>
      <c r="E242" s="371"/>
      <c r="F242" s="279"/>
      <c r="G242" s="372"/>
      <c r="H242" s="371"/>
      <c r="I242" s="371"/>
      <c r="J242" s="371"/>
      <c r="K242" s="371"/>
      <c r="L242" s="371"/>
      <c r="M242" s="371"/>
      <c r="N242" s="371"/>
      <c r="O242" s="371"/>
      <c r="P242" s="371"/>
      <c r="Q242" s="371"/>
      <c r="R242" s="329"/>
      <c r="S242" s="372"/>
      <c r="T242" s="330"/>
      <c r="U242" s="372"/>
      <c r="V242" s="356"/>
      <c r="W242" s="361"/>
      <c r="X242" s="5"/>
    </row>
    <row r="243" spans="1:25" ht="15.6" x14ac:dyDescent="0.3">
      <c r="A243" s="278"/>
      <c r="B243" s="279" t="s">
        <v>119</v>
      </c>
      <c r="C243" s="279"/>
      <c r="D243" s="279"/>
      <c r="E243" s="279"/>
      <c r="F243" s="279"/>
      <c r="G243" s="279"/>
      <c r="H243" s="373"/>
      <c r="I243" s="373"/>
      <c r="J243" s="373"/>
      <c r="K243" s="373"/>
      <c r="L243" s="373"/>
      <c r="M243" s="373"/>
      <c r="N243" s="373"/>
      <c r="O243" s="373"/>
      <c r="P243" s="373"/>
      <c r="Q243" s="373"/>
      <c r="R243" s="329">
        <f>SUM(R234:R242)</f>
        <v>7384</v>
      </c>
      <c r="S243" s="372">
        <f>SUM(S234:S242)</f>
        <v>1</v>
      </c>
      <c r="T243" s="330">
        <f>SUM(T234:T242)</f>
        <v>987594</v>
      </c>
      <c r="U243" s="372">
        <f>SUM(U234:U242)</f>
        <v>0.99999999999999989</v>
      </c>
      <c r="V243" s="305"/>
      <c r="W243" s="310"/>
      <c r="X243" s="5"/>
    </row>
    <row r="244" spans="1:25" ht="15.6" x14ac:dyDescent="0.3">
      <c r="A244" s="347"/>
      <c r="B244" s="342"/>
      <c r="C244" s="348"/>
      <c r="D244" s="348"/>
      <c r="E244" s="348"/>
      <c r="F244" s="349"/>
      <c r="G244" s="275"/>
      <c r="H244" s="275"/>
      <c r="I244" s="275"/>
      <c r="J244" s="275"/>
      <c r="K244" s="275"/>
      <c r="L244" s="275"/>
      <c r="M244" s="275"/>
      <c r="N244" s="275"/>
      <c r="O244" s="275"/>
      <c r="P244" s="275"/>
      <c r="Q244" s="275"/>
      <c r="R244" s="275"/>
      <c r="S244" s="275"/>
      <c r="T244" s="350"/>
      <c r="U244" s="275"/>
      <c r="V244" s="343"/>
      <c r="W244" s="351"/>
      <c r="X244" s="5"/>
    </row>
    <row r="245" spans="1:25" ht="15.6" x14ac:dyDescent="0.3">
      <c r="A245" s="223"/>
      <c r="B245" s="388" t="s">
        <v>167</v>
      </c>
      <c r="C245" s="389"/>
      <c r="D245" s="389"/>
      <c r="E245" s="389"/>
      <c r="F245" s="396"/>
      <c r="G245" s="389"/>
      <c r="H245" s="389"/>
      <c r="I245" s="389"/>
      <c r="J245" s="389"/>
      <c r="K245" s="389"/>
      <c r="L245" s="389"/>
      <c r="M245" s="389"/>
      <c r="N245" s="389"/>
      <c r="O245" s="389"/>
      <c r="P245" s="389"/>
      <c r="Q245" s="389"/>
      <c r="R245" s="396" t="s">
        <v>104</v>
      </c>
      <c r="S245" s="389" t="s">
        <v>105</v>
      </c>
      <c r="T245" s="396" t="s">
        <v>113</v>
      </c>
      <c r="U245" s="389" t="s">
        <v>105</v>
      </c>
      <c r="V245" s="224"/>
      <c r="W245" s="388"/>
      <c r="X245" s="5"/>
    </row>
    <row r="246" spans="1:25" ht="15.6" x14ac:dyDescent="0.3">
      <c r="A246" s="189"/>
      <c r="B246" s="247" t="s">
        <v>90</v>
      </c>
      <c r="C246" s="261"/>
      <c r="D246" s="261"/>
      <c r="E246" s="261"/>
      <c r="F246" s="248"/>
      <c r="G246" s="261"/>
      <c r="H246" s="261"/>
      <c r="I246" s="261"/>
      <c r="J246" s="261"/>
      <c r="K246" s="261"/>
      <c r="L246" s="261"/>
      <c r="M246" s="261"/>
      <c r="N246" s="261"/>
      <c r="O246" s="261"/>
      <c r="P246" s="261"/>
      <c r="Q246" s="261"/>
      <c r="R246" s="247">
        <v>7150</v>
      </c>
      <c r="S246" s="250">
        <f t="shared" ref="S246:S253" si="5">R246/$R$255</f>
        <v>0.98825155494125783</v>
      </c>
      <c r="T246" s="251">
        <v>949508</v>
      </c>
      <c r="U246" s="250">
        <f t="shared" ref="U246:U253" si="6">T246/$T$255</f>
        <v>0.9851333783616939</v>
      </c>
      <c r="V246" s="218"/>
      <c r="W246" s="221"/>
      <c r="X246" s="5"/>
    </row>
    <row r="247" spans="1:25" ht="15.6" x14ac:dyDescent="0.3">
      <c r="A247" s="278"/>
      <c r="B247" s="329" t="s">
        <v>91</v>
      </c>
      <c r="C247" s="371"/>
      <c r="D247" s="371"/>
      <c r="E247" s="371"/>
      <c r="F247" s="279"/>
      <c r="G247" s="372"/>
      <c r="H247" s="371"/>
      <c r="I247" s="371"/>
      <c r="J247" s="371"/>
      <c r="K247" s="371"/>
      <c r="L247" s="371"/>
      <c r="M247" s="371"/>
      <c r="N247" s="371"/>
      <c r="O247" s="371"/>
      <c r="P247" s="371"/>
      <c r="Q247" s="371"/>
      <c r="R247" s="329">
        <v>71</v>
      </c>
      <c r="S247" s="372">
        <f t="shared" si="5"/>
        <v>9.8134070490670348E-3</v>
      </c>
      <c r="T247" s="330">
        <v>12544</v>
      </c>
      <c r="U247" s="372">
        <f t="shared" si="6"/>
        <v>1.3014648742474091E-2</v>
      </c>
      <c r="V247" s="356"/>
      <c r="W247" s="361"/>
      <c r="X247" s="5"/>
      <c r="Y247" s="109"/>
    </row>
    <row r="248" spans="1:25" ht="15.6" x14ac:dyDescent="0.3">
      <c r="A248" s="278"/>
      <c r="B248" s="329" t="s">
        <v>92</v>
      </c>
      <c r="C248" s="371"/>
      <c r="D248" s="371"/>
      <c r="E248" s="371"/>
      <c r="F248" s="279"/>
      <c r="G248" s="372"/>
      <c r="H248" s="371"/>
      <c r="I248" s="371"/>
      <c r="J248" s="371"/>
      <c r="K248" s="371"/>
      <c r="L248" s="371"/>
      <c r="M248" s="371"/>
      <c r="N248" s="371"/>
      <c r="O248" s="371"/>
      <c r="P248" s="371"/>
      <c r="Q248" s="371"/>
      <c r="R248" s="329">
        <v>6</v>
      </c>
      <c r="S248" s="372">
        <f t="shared" si="5"/>
        <v>8.2930200414651004E-4</v>
      </c>
      <c r="T248" s="330">
        <v>477</v>
      </c>
      <c r="U248" s="372">
        <f t="shared" si="6"/>
        <v>4.9489695871812354E-4</v>
      </c>
      <c r="V248" s="356"/>
      <c r="W248" s="361"/>
      <c r="X248" s="5"/>
    </row>
    <row r="249" spans="1:25" ht="15.6" x14ac:dyDescent="0.3">
      <c r="A249" s="278"/>
      <c r="B249" s="329" t="s">
        <v>161</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c r="Y249" s="109"/>
    </row>
    <row r="250" spans="1:25" ht="15.6" x14ac:dyDescent="0.3">
      <c r="A250" s="278"/>
      <c r="B250" s="329" t="s">
        <v>162</v>
      </c>
      <c r="C250" s="371"/>
      <c r="D250" s="371"/>
      <c r="E250" s="371"/>
      <c r="F250" s="279"/>
      <c r="G250" s="372"/>
      <c r="H250" s="371"/>
      <c r="I250" s="371"/>
      <c r="J250" s="371"/>
      <c r="K250" s="371"/>
      <c r="L250" s="371"/>
      <c r="M250" s="371"/>
      <c r="N250" s="371"/>
      <c r="O250" s="371"/>
      <c r="P250" s="371"/>
      <c r="Q250" s="371"/>
      <c r="R250" s="329">
        <v>1</v>
      </c>
      <c r="S250" s="372">
        <f t="shared" si="5"/>
        <v>1.3821700069108501E-4</v>
      </c>
      <c r="T250" s="330">
        <v>118</v>
      </c>
      <c r="U250" s="372">
        <f t="shared" si="6"/>
        <v>1.224273398925337E-4</v>
      </c>
      <c r="V250" s="356"/>
      <c r="W250" s="361"/>
      <c r="X250" s="5"/>
    </row>
    <row r="251" spans="1:25" ht="15.6" x14ac:dyDescent="0.3">
      <c r="A251" s="278"/>
      <c r="B251" s="329" t="s">
        <v>163</v>
      </c>
      <c r="C251" s="371"/>
      <c r="D251" s="371"/>
      <c r="E251" s="371"/>
      <c r="F251" s="279"/>
      <c r="G251" s="372"/>
      <c r="H251" s="371"/>
      <c r="I251" s="371"/>
      <c r="J251" s="371"/>
      <c r="K251" s="371"/>
      <c r="L251" s="371"/>
      <c r="M251" s="371"/>
      <c r="N251" s="371"/>
      <c r="O251" s="371"/>
      <c r="P251" s="371"/>
      <c r="Q251" s="371"/>
      <c r="R251" s="329">
        <v>2</v>
      </c>
      <c r="S251" s="372">
        <f t="shared" si="5"/>
        <v>2.7643400138217003E-4</v>
      </c>
      <c r="T251" s="330">
        <v>466</v>
      </c>
      <c r="U251" s="372">
        <f t="shared" si="6"/>
        <v>4.8348424059254833E-4</v>
      </c>
      <c r="V251" s="356"/>
      <c r="W251" s="361"/>
      <c r="X251" s="5"/>
      <c r="Y251" s="109"/>
    </row>
    <row r="252" spans="1:25" ht="15.6" x14ac:dyDescent="0.3">
      <c r="A252" s="278"/>
      <c r="B252" s="329" t="s">
        <v>164</v>
      </c>
      <c r="C252" s="371"/>
      <c r="D252" s="371"/>
      <c r="E252" s="371"/>
      <c r="F252" s="279"/>
      <c r="G252" s="372"/>
      <c r="H252" s="371"/>
      <c r="I252" s="371"/>
      <c r="J252" s="371"/>
      <c r="K252" s="371"/>
      <c r="L252" s="371"/>
      <c r="M252" s="371"/>
      <c r="N252" s="371"/>
      <c r="O252" s="371"/>
      <c r="P252" s="371"/>
      <c r="Q252" s="371"/>
      <c r="R252" s="329">
        <v>1</v>
      </c>
      <c r="S252" s="372">
        <f t="shared" si="5"/>
        <v>1.3821700069108501E-4</v>
      </c>
      <c r="T252" s="330">
        <v>48</v>
      </c>
      <c r="U252" s="372">
        <f t="shared" si="6"/>
        <v>4.9800951820691672E-5</v>
      </c>
      <c r="V252" s="356"/>
      <c r="W252" s="361"/>
      <c r="X252" s="5"/>
    </row>
    <row r="253" spans="1:25" ht="15.6" x14ac:dyDescent="0.3">
      <c r="A253" s="278"/>
      <c r="B253" s="329" t="s">
        <v>165</v>
      </c>
      <c r="C253" s="371"/>
      <c r="D253" s="371"/>
      <c r="E253" s="371"/>
      <c r="F253" s="279"/>
      <c r="G253" s="372"/>
      <c r="H253" s="371"/>
      <c r="I253" s="371"/>
      <c r="J253" s="371"/>
      <c r="K253" s="371"/>
      <c r="L253" s="371"/>
      <c r="M253" s="371"/>
      <c r="N253" s="371"/>
      <c r="O253" s="371"/>
      <c r="P253" s="371"/>
      <c r="Q253" s="371"/>
      <c r="R253" s="329">
        <v>4</v>
      </c>
      <c r="S253" s="372">
        <f t="shared" si="5"/>
        <v>5.5286800276434006E-4</v>
      </c>
      <c r="T253" s="330">
        <v>676</v>
      </c>
      <c r="U253" s="372">
        <f t="shared" si="6"/>
        <v>7.0136340480807442E-4</v>
      </c>
      <c r="V253" s="356"/>
      <c r="W253" s="361"/>
      <c r="X253" s="5"/>
      <c r="Y253" s="109"/>
    </row>
    <row r="254" spans="1:25" ht="15.6" x14ac:dyDescent="0.3">
      <c r="A254" s="278"/>
      <c r="B254" s="329"/>
      <c r="C254" s="371"/>
      <c r="D254" s="371"/>
      <c r="E254" s="371"/>
      <c r="F254" s="279"/>
      <c r="G254" s="372"/>
      <c r="H254" s="371"/>
      <c r="I254" s="371"/>
      <c r="J254" s="371"/>
      <c r="K254" s="371"/>
      <c r="L254" s="371"/>
      <c r="M254" s="371"/>
      <c r="N254" s="371"/>
      <c r="O254" s="371"/>
      <c r="P254" s="371"/>
      <c r="Q254" s="371"/>
      <c r="R254" s="329"/>
      <c r="S254" s="372"/>
      <c r="T254" s="330"/>
      <c r="U254" s="372"/>
      <c r="V254" s="356"/>
      <c r="W254" s="361"/>
      <c r="X254" s="5"/>
    </row>
    <row r="255" spans="1:25" ht="15.6" x14ac:dyDescent="0.3">
      <c r="A255" s="278"/>
      <c r="B255" s="279" t="s">
        <v>119</v>
      </c>
      <c r="C255" s="279"/>
      <c r="D255" s="279"/>
      <c r="E255" s="279"/>
      <c r="F255" s="279"/>
      <c r="G255" s="279"/>
      <c r="H255" s="373"/>
      <c r="I255" s="373"/>
      <c r="J255" s="373"/>
      <c r="K255" s="373"/>
      <c r="L255" s="373"/>
      <c r="M255" s="373"/>
      <c r="N255" s="373"/>
      <c r="O255" s="373"/>
      <c r="P255" s="373"/>
      <c r="Q255" s="373"/>
      <c r="R255" s="329">
        <f>SUM(R246:R254)</f>
        <v>7235</v>
      </c>
      <c r="S255" s="372">
        <f>SUM(S246:S254)</f>
        <v>1.0000000000000002</v>
      </c>
      <c r="T255" s="330">
        <f>SUM(T246:T254)</f>
        <v>963837</v>
      </c>
      <c r="U255" s="372">
        <f>SUM(U246:U254)</f>
        <v>0.99999999999999989</v>
      </c>
      <c r="V255" s="305"/>
      <c r="W255" s="310"/>
      <c r="X255" s="5"/>
    </row>
    <row r="256" spans="1:25" ht="15.6" x14ac:dyDescent="0.3">
      <c r="A256" s="177"/>
      <c r="B256" s="275"/>
      <c r="C256" s="275"/>
      <c r="D256" s="275"/>
      <c r="E256" s="275"/>
      <c r="F256" s="275"/>
      <c r="G256" s="275"/>
      <c r="H256" s="368"/>
      <c r="I256" s="368"/>
      <c r="J256" s="368"/>
      <c r="K256" s="368"/>
      <c r="L256" s="368"/>
      <c r="M256" s="368"/>
      <c r="N256" s="368"/>
      <c r="O256" s="368"/>
      <c r="P256" s="368"/>
      <c r="Q256" s="368"/>
      <c r="R256" s="327"/>
      <c r="S256" s="369"/>
      <c r="T256" s="370"/>
      <c r="U256" s="369"/>
      <c r="V256" s="275"/>
      <c r="W256" s="275"/>
      <c r="X256" s="5"/>
    </row>
    <row r="257" spans="1:24" ht="15.6" x14ac:dyDescent="0.3">
      <c r="A257" s="243"/>
      <c r="B257" s="388" t="s">
        <v>283</v>
      </c>
      <c r="C257" s="389"/>
      <c r="D257" s="389"/>
      <c r="E257" s="389"/>
      <c r="F257" s="396"/>
      <c r="G257" s="389"/>
      <c r="H257" s="389"/>
      <c r="I257" s="389"/>
      <c r="J257" s="389"/>
      <c r="K257" s="389"/>
      <c r="L257" s="389"/>
      <c r="M257" s="389"/>
      <c r="N257" s="389"/>
      <c r="O257" s="389"/>
      <c r="P257" s="389"/>
      <c r="Q257" s="389"/>
      <c r="R257" s="396" t="s">
        <v>104</v>
      </c>
      <c r="S257" s="389" t="s">
        <v>105</v>
      </c>
      <c r="T257" s="396" t="s">
        <v>113</v>
      </c>
      <c r="U257" s="389" t="s">
        <v>105</v>
      </c>
      <c r="V257" s="244"/>
      <c r="W257" s="245"/>
      <c r="X257" s="5"/>
    </row>
    <row r="258" spans="1:24" ht="15.6" x14ac:dyDescent="0.3">
      <c r="A258" s="189"/>
      <c r="B258" s="247" t="s">
        <v>90</v>
      </c>
      <c r="C258" s="261"/>
      <c r="D258" s="261"/>
      <c r="E258" s="261"/>
      <c r="F258" s="248"/>
      <c r="G258" s="261"/>
      <c r="H258" s="261"/>
      <c r="I258" s="261"/>
      <c r="J258" s="261"/>
      <c r="K258" s="261"/>
      <c r="L258" s="261"/>
      <c r="M258" s="261"/>
      <c r="N258" s="261"/>
      <c r="O258" s="261"/>
      <c r="P258" s="261"/>
      <c r="Q258" s="261"/>
      <c r="R258" s="247">
        <v>111</v>
      </c>
      <c r="S258" s="250">
        <f t="shared" ref="S258:S265" si="7">R258/$R$267</f>
        <v>0.75</v>
      </c>
      <c r="T258" s="251">
        <v>18804</v>
      </c>
      <c r="U258" s="250">
        <f t="shared" ref="U258:U265" si="8">T258/$T$267</f>
        <v>0.79218098327505582</v>
      </c>
      <c r="V258" s="190"/>
      <c r="W258" s="190"/>
      <c r="X258" s="5"/>
    </row>
    <row r="259" spans="1:24" ht="15.6" x14ac:dyDescent="0.3">
      <c r="A259" s="278"/>
      <c r="B259" s="329" t="s">
        <v>91</v>
      </c>
      <c r="C259" s="371"/>
      <c r="D259" s="371"/>
      <c r="E259" s="371"/>
      <c r="F259" s="279"/>
      <c r="G259" s="372"/>
      <c r="H259" s="371"/>
      <c r="I259" s="371"/>
      <c r="J259" s="371"/>
      <c r="K259" s="371"/>
      <c r="L259" s="371"/>
      <c r="M259" s="371"/>
      <c r="N259" s="371"/>
      <c r="O259" s="371"/>
      <c r="P259" s="371"/>
      <c r="Q259" s="371"/>
      <c r="R259" s="329">
        <v>7</v>
      </c>
      <c r="S259" s="372">
        <f t="shared" si="7"/>
        <v>4.72972972972973E-2</v>
      </c>
      <c r="T259" s="330">
        <v>921</v>
      </c>
      <c r="U259" s="372">
        <f t="shared" si="8"/>
        <v>3.8800185364620633E-2</v>
      </c>
      <c r="V259" s="305"/>
      <c r="W259" s="310"/>
      <c r="X259" s="5"/>
    </row>
    <row r="260" spans="1:24" ht="15.6" x14ac:dyDescent="0.3">
      <c r="A260" s="278"/>
      <c r="B260" s="329" t="s">
        <v>92</v>
      </c>
      <c r="C260" s="371"/>
      <c r="D260" s="371"/>
      <c r="E260" s="371"/>
      <c r="F260" s="279"/>
      <c r="G260" s="372"/>
      <c r="H260" s="371"/>
      <c r="I260" s="371"/>
      <c r="J260" s="371"/>
      <c r="K260" s="371"/>
      <c r="L260" s="371"/>
      <c r="M260" s="371"/>
      <c r="N260" s="371"/>
      <c r="O260" s="371"/>
      <c r="P260" s="371"/>
      <c r="Q260" s="371"/>
      <c r="R260" s="329">
        <v>8</v>
      </c>
      <c r="S260" s="372">
        <f t="shared" si="7"/>
        <v>5.4054054054054057E-2</v>
      </c>
      <c r="T260" s="330">
        <v>1007</v>
      </c>
      <c r="U260" s="372">
        <f t="shared" si="8"/>
        <v>4.2423221131566755E-2</v>
      </c>
      <c r="V260" s="305"/>
      <c r="W260" s="310"/>
      <c r="X260" s="5"/>
    </row>
    <row r="261" spans="1:24" ht="15.6" x14ac:dyDescent="0.3">
      <c r="A261" s="278"/>
      <c r="B261" s="329" t="s">
        <v>161</v>
      </c>
      <c r="C261" s="371"/>
      <c r="D261" s="371"/>
      <c r="E261" s="371"/>
      <c r="F261" s="279"/>
      <c r="G261" s="372"/>
      <c r="H261" s="371"/>
      <c r="I261" s="371"/>
      <c r="J261" s="371"/>
      <c r="K261" s="371"/>
      <c r="L261" s="371"/>
      <c r="M261" s="371"/>
      <c r="N261" s="371"/>
      <c r="O261" s="371"/>
      <c r="P261" s="371"/>
      <c r="Q261" s="371"/>
      <c r="R261" s="329">
        <v>1</v>
      </c>
      <c r="S261" s="372">
        <f t="shared" si="7"/>
        <v>6.7567567567567571E-3</v>
      </c>
      <c r="T261" s="330">
        <v>137</v>
      </c>
      <c r="U261" s="372">
        <f t="shared" si="8"/>
        <v>5.7715802333909083E-3</v>
      </c>
      <c r="V261" s="305"/>
      <c r="W261" s="310"/>
      <c r="X261" s="5"/>
    </row>
    <row r="262" spans="1:24" ht="15.6" x14ac:dyDescent="0.3">
      <c r="A262" s="278"/>
      <c r="B262" s="329" t="s">
        <v>162</v>
      </c>
      <c r="C262" s="371"/>
      <c r="D262" s="371"/>
      <c r="E262" s="371"/>
      <c r="F262" s="279"/>
      <c r="G262" s="372"/>
      <c r="H262" s="371"/>
      <c r="I262" s="371"/>
      <c r="J262" s="371"/>
      <c r="K262" s="371"/>
      <c r="L262" s="371"/>
      <c r="M262" s="371"/>
      <c r="N262" s="371"/>
      <c r="O262" s="371"/>
      <c r="P262" s="371"/>
      <c r="Q262" s="371"/>
      <c r="R262" s="329">
        <v>1</v>
      </c>
      <c r="S262" s="372">
        <f t="shared" si="7"/>
        <v>6.7567567567567571E-3</v>
      </c>
      <c r="T262" s="330">
        <v>166</v>
      </c>
      <c r="U262" s="372">
        <f t="shared" si="8"/>
        <v>6.9933015966634369E-3</v>
      </c>
      <c r="V262" s="305"/>
      <c r="W262" s="310"/>
      <c r="X262" s="5"/>
    </row>
    <row r="263" spans="1:24" ht="15.6" x14ac:dyDescent="0.3">
      <c r="A263" s="278"/>
      <c r="B263" s="329" t="s">
        <v>163</v>
      </c>
      <c r="C263" s="371"/>
      <c r="D263" s="371"/>
      <c r="E263" s="371"/>
      <c r="F263" s="279"/>
      <c r="G263" s="372"/>
      <c r="H263" s="371"/>
      <c r="I263" s="371"/>
      <c r="J263" s="371"/>
      <c r="K263" s="371"/>
      <c r="L263" s="371"/>
      <c r="M263" s="371"/>
      <c r="N263" s="371"/>
      <c r="O263" s="371"/>
      <c r="P263" s="371"/>
      <c r="Q263" s="371"/>
      <c r="R263" s="329">
        <v>4</v>
      </c>
      <c r="S263" s="372">
        <f t="shared" si="7"/>
        <v>2.7027027027027029E-2</v>
      </c>
      <c r="T263" s="330">
        <v>777</v>
      </c>
      <c r="U263" s="372">
        <f t="shared" si="8"/>
        <v>3.2733706871129462E-2</v>
      </c>
      <c r="V263" s="305"/>
      <c r="W263" s="310"/>
      <c r="X263" s="5"/>
    </row>
    <row r="264" spans="1:24" ht="15.6" x14ac:dyDescent="0.3">
      <c r="A264" s="278"/>
      <c r="B264" s="329" t="s">
        <v>164</v>
      </c>
      <c r="C264" s="371"/>
      <c r="D264" s="371"/>
      <c r="E264" s="371"/>
      <c r="F264" s="279"/>
      <c r="G264" s="372"/>
      <c r="H264" s="371"/>
      <c r="I264" s="371"/>
      <c r="J264" s="371"/>
      <c r="K264" s="371"/>
      <c r="L264" s="371"/>
      <c r="M264" s="371"/>
      <c r="N264" s="371"/>
      <c r="O264" s="371"/>
      <c r="P264" s="371"/>
      <c r="Q264" s="371"/>
      <c r="R264" s="329">
        <v>8</v>
      </c>
      <c r="S264" s="372">
        <f t="shared" si="7"/>
        <v>5.4054054054054057E-2</v>
      </c>
      <c r="T264" s="330">
        <v>902</v>
      </c>
      <c r="U264" s="372">
        <f t="shared" si="8"/>
        <v>3.7999747230062768E-2</v>
      </c>
      <c r="V264" s="305"/>
      <c r="W264" s="310"/>
      <c r="X264" s="5"/>
    </row>
    <row r="265" spans="1:24" ht="15.6" x14ac:dyDescent="0.3">
      <c r="A265" s="278"/>
      <c r="B265" s="329" t="s">
        <v>165</v>
      </c>
      <c r="C265" s="371"/>
      <c r="D265" s="371"/>
      <c r="E265" s="371"/>
      <c r="F265" s="279"/>
      <c r="G265" s="372"/>
      <c r="H265" s="371"/>
      <c r="I265" s="371"/>
      <c r="J265" s="371"/>
      <c r="K265" s="371"/>
      <c r="L265" s="371"/>
      <c r="M265" s="371"/>
      <c r="N265" s="371"/>
      <c r="O265" s="371"/>
      <c r="P265" s="371"/>
      <c r="Q265" s="371"/>
      <c r="R265" s="329">
        <v>8</v>
      </c>
      <c r="S265" s="372">
        <f t="shared" si="7"/>
        <v>5.4054054054054057E-2</v>
      </c>
      <c r="T265" s="330">
        <v>1023</v>
      </c>
      <c r="U265" s="372">
        <f t="shared" si="8"/>
        <v>4.3097274297510216E-2</v>
      </c>
      <c r="V265" s="305"/>
      <c r="W265" s="310"/>
      <c r="X265" s="5"/>
    </row>
    <row r="266" spans="1:24" ht="15.6" x14ac:dyDescent="0.3">
      <c r="A266" s="278"/>
      <c r="B266" s="329"/>
      <c r="C266" s="371"/>
      <c r="D266" s="371"/>
      <c r="E266" s="371"/>
      <c r="F266" s="279"/>
      <c r="G266" s="372"/>
      <c r="H266" s="371"/>
      <c r="I266" s="371"/>
      <c r="J266" s="371"/>
      <c r="K266" s="371"/>
      <c r="L266" s="371"/>
      <c r="M266" s="371"/>
      <c r="N266" s="371"/>
      <c r="O266" s="371"/>
      <c r="P266" s="371"/>
      <c r="Q266" s="371"/>
      <c r="R266" s="329"/>
      <c r="S266" s="372"/>
      <c r="T266" s="330"/>
      <c r="U266" s="372"/>
      <c r="V266" s="305"/>
      <c r="W266" s="310"/>
      <c r="X266" s="5"/>
    </row>
    <row r="267" spans="1:24" ht="15.6" x14ac:dyDescent="0.3">
      <c r="A267" s="278"/>
      <c r="B267" s="279" t="s">
        <v>119</v>
      </c>
      <c r="C267" s="279"/>
      <c r="D267" s="279"/>
      <c r="E267" s="279"/>
      <c r="F267" s="279"/>
      <c r="G267" s="279"/>
      <c r="H267" s="373"/>
      <c r="I267" s="373"/>
      <c r="J267" s="373"/>
      <c r="K267" s="373"/>
      <c r="L267" s="373"/>
      <c r="M267" s="373"/>
      <c r="N267" s="373"/>
      <c r="O267" s="373"/>
      <c r="P267" s="373"/>
      <c r="Q267" s="373"/>
      <c r="R267" s="329">
        <f>SUM(R258:R266)</f>
        <v>148</v>
      </c>
      <c r="S267" s="372">
        <f>SUM(S258:S266)</f>
        <v>1</v>
      </c>
      <c r="T267" s="330">
        <f>SUM(T258:T266)</f>
        <v>23737</v>
      </c>
      <c r="U267" s="372">
        <f>SUM(U258:U266)</f>
        <v>0.99999999999999978</v>
      </c>
      <c r="V267" s="305"/>
      <c r="W267" s="310"/>
      <c r="X267" s="5"/>
    </row>
    <row r="268" spans="1:24" ht="15.6" x14ac:dyDescent="0.3">
      <c r="A268" s="177"/>
      <c r="B268" s="275"/>
      <c r="C268" s="275"/>
      <c r="D268" s="275"/>
      <c r="E268" s="275"/>
      <c r="F268" s="275"/>
      <c r="G268" s="275"/>
      <c r="H268" s="368"/>
      <c r="I268" s="368"/>
      <c r="J268" s="368"/>
      <c r="K268" s="368"/>
      <c r="L268" s="368"/>
      <c r="M268" s="368"/>
      <c r="N268" s="368"/>
      <c r="O268" s="368"/>
      <c r="P268" s="368"/>
      <c r="Q268" s="368"/>
      <c r="R268" s="327"/>
      <c r="S268" s="369"/>
      <c r="T268" s="370"/>
      <c r="U268" s="369"/>
      <c r="V268" s="275"/>
      <c r="W268" s="275"/>
      <c r="X268" s="5"/>
    </row>
    <row r="269" spans="1:24" ht="15.6" x14ac:dyDescent="0.3">
      <c r="A269" s="243"/>
      <c r="B269" s="388" t="s">
        <v>169</v>
      </c>
      <c r="C269" s="244"/>
      <c r="D269" s="244"/>
      <c r="E269" s="244"/>
      <c r="F269" s="244"/>
      <c r="G269" s="244"/>
      <c r="H269" s="246"/>
      <c r="I269" s="246"/>
      <c r="J269" s="246"/>
      <c r="K269" s="246"/>
      <c r="L269" s="246"/>
      <c r="M269" s="246"/>
      <c r="N269" s="246"/>
      <c r="O269" s="246"/>
      <c r="P269" s="246"/>
      <c r="Q269" s="246"/>
      <c r="R269" s="396" t="s">
        <v>104</v>
      </c>
      <c r="S269" s="389" t="s">
        <v>105</v>
      </c>
      <c r="T269" s="396" t="s">
        <v>113</v>
      </c>
      <c r="U269" s="389" t="s">
        <v>105</v>
      </c>
      <c r="V269" s="244"/>
      <c r="W269" s="245"/>
      <c r="X269" s="5"/>
    </row>
    <row r="270" spans="1:24" ht="15.6" x14ac:dyDescent="0.3">
      <c r="A270" s="189"/>
      <c r="B270" s="247" t="s">
        <v>90</v>
      </c>
      <c r="C270" s="248"/>
      <c r="D270" s="248"/>
      <c r="E270" s="248"/>
      <c r="F270" s="248"/>
      <c r="G270" s="248"/>
      <c r="H270" s="249"/>
      <c r="I270" s="249"/>
      <c r="J270" s="249"/>
      <c r="K270" s="249"/>
      <c r="L270" s="249"/>
      <c r="M270" s="249"/>
      <c r="N270" s="249"/>
      <c r="O270" s="249"/>
      <c r="P270" s="249"/>
      <c r="Q270" s="249"/>
      <c r="R270" s="247">
        <v>0</v>
      </c>
      <c r="S270" s="250">
        <v>0</v>
      </c>
      <c r="T270" s="251">
        <v>0</v>
      </c>
      <c r="U270" s="250">
        <v>0</v>
      </c>
      <c r="V270" s="248"/>
      <c r="W270" s="190"/>
      <c r="X270" s="5"/>
    </row>
    <row r="271" spans="1:24" ht="15.6" x14ac:dyDescent="0.3">
      <c r="A271" s="278"/>
      <c r="B271" s="329" t="s">
        <v>91</v>
      </c>
      <c r="C271" s="279"/>
      <c r="D271" s="279"/>
      <c r="E271" s="279"/>
      <c r="F271" s="279"/>
      <c r="G271" s="279"/>
      <c r="H271" s="373"/>
      <c r="I271" s="373"/>
      <c r="J271" s="373"/>
      <c r="K271" s="373"/>
      <c r="L271" s="373"/>
      <c r="M271" s="373"/>
      <c r="N271" s="373"/>
      <c r="O271" s="373"/>
      <c r="P271" s="373"/>
      <c r="Q271" s="373"/>
      <c r="R271" s="329">
        <v>0</v>
      </c>
      <c r="S271" s="372">
        <v>0</v>
      </c>
      <c r="T271" s="330">
        <v>0</v>
      </c>
      <c r="U271" s="372">
        <v>0</v>
      </c>
      <c r="V271" s="279"/>
      <c r="W271" s="310"/>
      <c r="X271" s="5"/>
    </row>
    <row r="272" spans="1:24" ht="15.6" x14ac:dyDescent="0.3">
      <c r="A272" s="278"/>
      <c r="B272" s="329" t="s">
        <v>92</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161</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162</v>
      </c>
      <c r="C274" s="279"/>
      <c r="D274" s="279"/>
      <c r="E274" s="279"/>
      <c r="F274" s="279"/>
      <c r="G274" s="279"/>
      <c r="H274" s="373"/>
      <c r="I274" s="373"/>
      <c r="J274" s="373"/>
      <c r="K274" s="373"/>
      <c r="L274" s="373"/>
      <c r="M274" s="373"/>
      <c r="N274" s="373"/>
      <c r="O274" s="373"/>
      <c r="P274" s="373"/>
      <c r="Q274" s="373"/>
      <c r="R274" s="329">
        <v>1</v>
      </c>
      <c r="S274" s="372">
        <f>R274/R279</f>
        <v>1</v>
      </c>
      <c r="T274" s="330">
        <v>20</v>
      </c>
      <c r="U274" s="372">
        <f>T274/T279</f>
        <v>1</v>
      </c>
      <c r="V274" s="279"/>
      <c r="W274" s="310"/>
      <c r="X274" s="5"/>
    </row>
    <row r="275" spans="1:24" ht="15.6" x14ac:dyDescent="0.3">
      <c r="A275" s="278"/>
      <c r="B275" s="329" t="s">
        <v>163</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164</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165</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c r="C278" s="279"/>
      <c r="D278" s="279"/>
      <c r="E278" s="279"/>
      <c r="F278" s="279"/>
      <c r="G278" s="279"/>
      <c r="H278" s="373"/>
      <c r="I278" s="373"/>
      <c r="J278" s="373"/>
      <c r="K278" s="373"/>
      <c r="L278" s="373"/>
      <c r="M278" s="373"/>
      <c r="N278" s="373"/>
      <c r="O278" s="373"/>
      <c r="P278" s="373"/>
      <c r="Q278" s="373"/>
      <c r="R278" s="329"/>
      <c r="S278" s="372"/>
      <c r="T278" s="330"/>
      <c r="U278" s="372"/>
      <c r="V278" s="279"/>
      <c r="W278" s="310"/>
      <c r="X278" s="5"/>
    </row>
    <row r="279" spans="1:24" ht="15.6" x14ac:dyDescent="0.3">
      <c r="A279" s="278"/>
      <c r="B279" s="279" t="s">
        <v>119</v>
      </c>
      <c r="C279" s="279"/>
      <c r="D279" s="279"/>
      <c r="E279" s="279"/>
      <c r="F279" s="279"/>
      <c r="G279" s="279"/>
      <c r="H279" s="373"/>
      <c r="I279" s="373"/>
      <c r="J279" s="373"/>
      <c r="K279" s="373"/>
      <c r="L279" s="373"/>
      <c r="M279" s="373"/>
      <c r="N279" s="373"/>
      <c r="O279" s="373"/>
      <c r="P279" s="373"/>
      <c r="Q279" s="373"/>
      <c r="R279" s="329">
        <f>SUM(R270:R277)</f>
        <v>1</v>
      </c>
      <c r="S279" s="372">
        <f>SUM(S270:S278)</f>
        <v>1</v>
      </c>
      <c r="T279" s="330">
        <f>SUM(T270:T277)</f>
        <v>20</v>
      </c>
      <c r="U279" s="372">
        <f>SUM(U270:U278)</f>
        <v>1</v>
      </c>
      <c r="V279" s="279"/>
      <c r="W279" s="310"/>
      <c r="X279" s="5"/>
    </row>
    <row r="280" spans="1:24" ht="15.6" x14ac:dyDescent="0.3">
      <c r="A280" s="278"/>
      <c r="B280" s="279"/>
      <c r="C280" s="279"/>
      <c r="D280" s="279"/>
      <c r="E280" s="279"/>
      <c r="F280" s="279"/>
      <c r="G280" s="279"/>
      <c r="H280" s="373"/>
      <c r="I280" s="373"/>
      <c r="J280" s="373"/>
      <c r="K280" s="373"/>
      <c r="L280" s="373"/>
      <c r="M280" s="373"/>
      <c r="N280" s="373"/>
      <c r="O280" s="373"/>
      <c r="P280" s="373"/>
      <c r="Q280" s="373"/>
      <c r="R280" s="329"/>
      <c r="S280" s="372"/>
      <c r="T280" s="330"/>
      <c r="U280" s="372"/>
      <c r="V280" s="279"/>
      <c r="W280" s="310"/>
      <c r="X280" s="5"/>
    </row>
    <row r="281" spans="1:24" ht="15.6" x14ac:dyDescent="0.3">
      <c r="A281" s="278"/>
      <c r="B281" s="288" t="s">
        <v>170</v>
      </c>
      <c r="C281" s="279"/>
      <c r="D281" s="279"/>
      <c r="E281" s="279"/>
      <c r="F281" s="279"/>
      <c r="G281" s="279"/>
      <c r="H281" s="373"/>
      <c r="I281" s="373"/>
      <c r="J281" s="373"/>
      <c r="K281" s="373"/>
      <c r="L281" s="373"/>
      <c r="M281" s="373"/>
      <c r="N281" s="373"/>
      <c r="O281" s="373"/>
      <c r="P281" s="373"/>
      <c r="Q281" s="373"/>
      <c r="R281" s="376">
        <f>R279+R267+R255</f>
        <v>7384</v>
      </c>
      <c r="S281" s="372"/>
      <c r="T281" s="397">
        <f>+T279+T267+T255</f>
        <v>987594</v>
      </c>
      <c r="U281" s="372"/>
      <c r="V281" s="279"/>
      <c r="W281" s="310"/>
      <c r="X281" s="5"/>
    </row>
    <row r="282" spans="1:24" ht="15.6" x14ac:dyDescent="0.3">
      <c r="A282" s="177"/>
      <c r="B282" s="340"/>
      <c r="C282" s="340"/>
      <c r="D282" s="340"/>
      <c r="E282" s="340"/>
      <c r="F282" s="340"/>
      <c r="G282" s="340"/>
      <c r="H282" s="374"/>
      <c r="I282" s="374"/>
      <c r="J282" s="374"/>
      <c r="K282" s="374"/>
      <c r="L282" s="374"/>
      <c r="M282" s="374"/>
      <c r="N282" s="374"/>
      <c r="O282" s="374"/>
      <c r="P282" s="374"/>
      <c r="Q282" s="374"/>
      <c r="R282" s="374"/>
      <c r="S282" s="374"/>
      <c r="T282" s="375"/>
      <c r="U282" s="374"/>
      <c r="V282" s="340"/>
      <c r="W282" s="275"/>
      <c r="X282" s="5"/>
    </row>
    <row r="283" spans="1:24" ht="15.6" x14ac:dyDescent="0.3">
      <c r="A283" s="177"/>
      <c r="B283" s="252"/>
      <c r="C283" s="252"/>
      <c r="D283" s="252"/>
      <c r="E283" s="252"/>
      <c r="F283" s="252"/>
      <c r="G283" s="252"/>
      <c r="H283" s="253"/>
      <c r="I283" s="253"/>
      <c r="J283" s="253"/>
      <c r="K283" s="253"/>
      <c r="L283" s="253"/>
      <c r="M283" s="253"/>
      <c r="N283" s="253"/>
      <c r="O283" s="253"/>
      <c r="P283" s="253"/>
      <c r="Q283" s="253"/>
      <c r="R283" s="253"/>
      <c r="S283" s="253"/>
      <c r="T283" s="254"/>
      <c r="U283" s="253"/>
      <c r="V283" s="252"/>
      <c r="W283" s="179"/>
      <c r="X283" s="5"/>
    </row>
    <row r="284" spans="1:24" ht="15.6" x14ac:dyDescent="0.3">
      <c r="A284" s="222"/>
      <c r="B284" s="378" t="s">
        <v>93</v>
      </c>
      <c r="C284" s="252"/>
      <c r="D284" s="252"/>
      <c r="E284" s="252"/>
      <c r="F284" s="381" t="s">
        <v>99</v>
      </c>
      <c r="G284" s="252"/>
      <c r="H284" s="378" t="s">
        <v>101</v>
      </c>
      <c r="I284" s="257"/>
      <c r="J284" s="257"/>
      <c r="K284" s="257"/>
      <c r="L284" s="257"/>
      <c r="M284" s="257"/>
      <c r="N284" s="257"/>
      <c r="O284" s="257"/>
      <c r="P284" s="257"/>
      <c r="Q284" s="257"/>
      <c r="R284" s="257"/>
      <c r="S284" s="257"/>
      <c r="T284" s="257"/>
      <c r="U284" s="257"/>
      <c r="V284" s="257"/>
      <c r="W284" s="187"/>
      <c r="X284" s="5"/>
    </row>
    <row r="285" spans="1:24" ht="15.6" x14ac:dyDescent="0.3">
      <c r="A285" s="222"/>
      <c r="B285" s="257"/>
      <c r="C285" s="252"/>
      <c r="D285" s="252"/>
      <c r="E285" s="252"/>
      <c r="F285" s="252"/>
      <c r="G285" s="252"/>
      <c r="H285" s="252"/>
      <c r="I285" s="257"/>
      <c r="J285" s="257"/>
      <c r="K285" s="257"/>
      <c r="L285" s="257"/>
      <c r="M285" s="257"/>
      <c r="N285" s="257"/>
      <c r="O285" s="257"/>
      <c r="P285" s="257"/>
      <c r="Q285" s="257"/>
      <c r="R285" s="257"/>
      <c r="S285" s="257"/>
      <c r="T285" s="257"/>
      <c r="U285" s="257"/>
      <c r="V285" s="257"/>
      <c r="W285" s="187"/>
      <c r="X285" s="5"/>
    </row>
    <row r="286" spans="1:24" ht="15.6" x14ac:dyDescent="0.3">
      <c r="A286" s="222"/>
      <c r="B286" s="378" t="s">
        <v>94</v>
      </c>
      <c r="C286" s="378"/>
      <c r="D286" s="378"/>
      <c r="E286" s="378"/>
      <c r="F286" s="398" t="s">
        <v>153</v>
      </c>
      <c r="G286" s="378"/>
      <c r="H286" s="378" t="s">
        <v>157</v>
      </c>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277</v>
      </c>
      <c r="C287" s="378"/>
      <c r="D287" s="378"/>
      <c r="E287" s="378"/>
      <c r="F287" s="398" t="s">
        <v>278</v>
      </c>
      <c r="G287" s="378"/>
      <c r="H287" s="378" t="s">
        <v>279</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95</v>
      </c>
      <c r="C288" s="378"/>
      <c r="D288" s="378"/>
      <c r="E288" s="378"/>
      <c r="F288" s="398" t="s">
        <v>152</v>
      </c>
      <c r="G288" s="378"/>
      <c r="H288" s="378" t="s">
        <v>158</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c r="C289" s="378"/>
      <c r="D289" s="378"/>
      <c r="E289" s="378"/>
      <c r="F289" s="378"/>
      <c r="G289" s="259"/>
      <c r="H289" s="257"/>
      <c r="I289" s="257"/>
      <c r="J289" s="257"/>
      <c r="K289" s="257"/>
      <c r="L289" s="257"/>
      <c r="M289" s="257"/>
      <c r="N289" s="257"/>
      <c r="O289" s="257"/>
      <c r="P289" s="257"/>
      <c r="Q289" s="257"/>
      <c r="R289" s="257"/>
      <c r="S289" s="257"/>
      <c r="T289" s="257"/>
      <c r="U289" s="257"/>
      <c r="V289" s="257"/>
      <c r="W289" s="187"/>
      <c r="X289" s="5"/>
    </row>
    <row r="290" spans="1:24" ht="18" thickBot="1" x14ac:dyDescent="0.35">
      <c r="A290" s="222"/>
      <c r="B290" s="260" t="str">
        <f>B195</f>
        <v>PM12 INVESTOR REPORT QUARTER ENDING APRIL 2012</v>
      </c>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x14ac:dyDescent="0.2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row>
  </sheetData>
  <hyperlinks>
    <hyperlink ref="P231" r:id="rId1" xr:uid="{00000000-0004-0000-1600-000000000000}"/>
    <hyperlink ref="I9" r:id="rId2" xr:uid="{00000000-0004-0000-1600-000001000000}"/>
  </hyperlinks>
  <printOptions horizontalCentered="1" verticalCentered="1"/>
  <pageMargins left="0.19685039370078741" right="0.19685039370078741" top="0.27559055118110237" bottom="0.27559055118110237" header="0" footer="0"/>
  <pageSetup scale="36" orientation="landscape" r:id="rId3"/>
  <headerFooter alignWithMargins="0"/>
  <rowBreaks count="3" manualBreakCount="3">
    <brk id="64" max="23" man="1"/>
    <brk id="135" max="14" man="1"/>
    <brk id="195" max="14" man="1"/>
  </rowBreak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2D2926"/>
  </sheetPr>
  <dimension ref="A1:Y291"/>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0.64500000000000002</v>
      </c>
      <c r="T16" s="381" t="s">
        <v>145</v>
      </c>
      <c r="U16" s="380">
        <v>0.35499999999999998</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41143</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316</v>
      </c>
      <c r="E27" s="285"/>
      <c r="F27" s="285" t="s">
        <v>317</v>
      </c>
      <c r="G27" s="285"/>
      <c r="H27" s="285" t="s">
        <v>317</v>
      </c>
      <c r="I27" s="285"/>
      <c r="J27" s="285" t="s">
        <v>317</v>
      </c>
      <c r="K27" s="285"/>
      <c r="L27" s="285" t="s">
        <v>149</v>
      </c>
      <c r="M27" s="285"/>
      <c r="N27" s="285" t="s">
        <v>149</v>
      </c>
      <c r="O27" s="285"/>
      <c r="P27" s="285" t="s">
        <v>318</v>
      </c>
      <c r="Q27" s="285"/>
      <c r="R27" s="285" t="s">
        <v>318</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907708.35000000009</v>
      </c>
      <c r="E32" s="289"/>
      <c r="F32" s="290">
        <f>F31*F38</f>
        <v>87745.271000000008</v>
      </c>
      <c r="G32" s="290"/>
      <c r="H32" s="295">
        <f>H31*H38</f>
        <v>148259.25099999999</v>
      </c>
      <c r="I32" s="295"/>
      <c r="J32" s="294">
        <f>J31*J38</f>
        <v>188198.1979</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902236.5</v>
      </c>
      <c r="E33" s="301"/>
      <c r="F33" s="303">
        <f>F37*F31</f>
        <v>87216.340000000011</v>
      </c>
      <c r="G33" s="303"/>
      <c r="H33" s="384">
        <f>H31*H37</f>
        <v>147365.54</v>
      </c>
      <c r="I33" s="384"/>
      <c r="J33" s="383">
        <f>J37*J31</f>
        <v>187063.701</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493319.51864130003</v>
      </c>
      <c r="E35" s="289"/>
      <c r="F35" s="290">
        <f>F34*F38</f>
        <v>87745.271000000008</v>
      </c>
      <c r="G35" s="290"/>
      <c r="H35" s="290">
        <f>H34*H38</f>
        <v>102248.0514468</v>
      </c>
      <c r="I35" s="290"/>
      <c r="J35" s="290">
        <f>J34*J38</f>
        <v>102281.7871558</v>
      </c>
      <c r="K35" s="290"/>
      <c r="L35" s="290">
        <f>+L34</f>
        <v>25000</v>
      </c>
      <c r="M35" s="290"/>
      <c r="N35" s="290">
        <f>+N34</f>
        <v>86897</v>
      </c>
      <c r="O35" s="290"/>
      <c r="P35" s="290">
        <f>+P34</f>
        <v>17000</v>
      </c>
      <c r="Q35" s="290"/>
      <c r="R35" s="290">
        <f>+R34</f>
        <v>73103</v>
      </c>
      <c r="S35" s="290"/>
      <c r="T35" s="290"/>
      <c r="U35" s="291"/>
      <c r="V35" s="290">
        <f>SUM(C35:R35)-1</f>
        <v>987593.62824390002</v>
      </c>
      <c r="W35" s="292"/>
      <c r="X35" s="5"/>
    </row>
    <row r="36" spans="1:24" ht="15.6" x14ac:dyDescent="0.3">
      <c r="A36" s="283"/>
      <c r="B36" s="288" t="s">
        <v>295</v>
      </c>
      <c r="C36" s="301"/>
      <c r="D36" s="303">
        <f>D34*D37</f>
        <v>490345.688547</v>
      </c>
      <c r="E36" s="301"/>
      <c r="F36" s="303">
        <f>F34*F37</f>
        <v>87216.340000000011</v>
      </c>
      <c r="G36" s="303"/>
      <c r="H36" s="303">
        <f>H34*H37</f>
        <v>101631.697272</v>
      </c>
      <c r="I36" s="303"/>
      <c r="J36" s="303">
        <f>J34*J37</f>
        <v>101665.21180200001</v>
      </c>
      <c r="K36" s="303"/>
      <c r="L36" s="303">
        <f>+L34</f>
        <v>25000</v>
      </c>
      <c r="M36" s="303"/>
      <c r="N36" s="303">
        <f>+N34</f>
        <v>86897</v>
      </c>
      <c r="O36" s="303"/>
      <c r="P36" s="303">
        <f>+P34</f>
        <v>17000</v>
      </c>
      <c r="Q36" s="303"/>
      <c r="R36" s="303">
        <f>+R34</f>
        <v>73103</v>
      </c>
      <c r="S36" s="302"/>
      <c r="T36" s="302"/>
      <c r="U36" s="291"/>
      <c r="V36" s="303">
        <f>SUM(C36:R36)-1</f>
        <v>982857.93762099999</v>
      </c>
      <c r="W36" s="292"/>
      <c r="X36" s="5"/>
    </row>
    <row r="37" spans="1:24" ht="15.6" x14ac:dyDescent="0.3">
      <c r="A37" s="278"/>
      <c r="B37" s="304" t="s">
        <v>135</v>
      </c>
      <c r="C37" s="305"/>
      <c r="D37" s="306">
        <v>0.601491</v>
      </c>
      <c r="E37" s="307"/>
      <c r="F37" s="306">
        <v>0.60149200000000003</v>
      </c>
      <c r="G37" s="306"/>
      <c r="H37" s="306">
        <v>0.60149200000000003</v>
      </c>
      <c r="I37" s="306"/>
      <c r="J37" s="306">
        <v>0.601491</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0.60513890000000004</v>
      </c>
      <c r="E38" s="307"/>
      <c r="F38" s="306">
        <v>0.60513980000000001</v>
      </c>
      <c r="G38" s="306"/>
      <c r="H38" s="306">
        <v>0.60513980000000001</v>
      </c>
      <c r="I38" s="306"/>
      <c r="J38" s="306">
        <v>0.60513890000000004</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4.8875000000000004E-3</v>
      </c>
      <c r="E40" s="279"/>
      <c r="F40" s="314">
        <v>1.2475E-2</v>
      </c>
      <c r="G40" s="313"/>
      <c r="H40" s="314">
        <v>9.2999999999999992E-3</v>
      </c>
      <c r="I40" s="314"/>
      <c r="J40" s="314">
        <v>6.8684999999999996E-3</v>
      </c>
      <c r="K40" s="313"/>
      <c r="L40" s="314">
        <v>1.4874999999999999E-2</v>
      </c>
      <c r="M40" s="313"/>
      <c r="N40" s="314">
        <v>1.17E-2</v>
      </c>
      <c r="O40" s="313"/>
      <c r="P40" s="314">
        <v>1.9275E-2</v>
      </c>
      <c r="Q40" s="313"/>
      <c r="R40" s="314">
        <v>1.61E-2</v>
      </c>
      <c r="S40" s="313"/>
      <c r="T40" s="314"/>
      <c r="U40" s="281"/>
      <c r="V40" s="287"/>
      <c r="W40" s="282"/>
      <c r="X40" s="5"/>
    </row>
    <row r="41" spans="1:24" ht="15.6" x14ac:dyDescent="0.3">
      <c r="A41" s="278"/>
      <c r="B41" s="279" t="s">
        <v>13</v>
      </c>
      <c r="C41" s="279"/>
      <c r="D41" s="314">
        <v>3.6024999999999998E-3</v>
      </c>
      <c r="E41" s="279"/>
      <c r="F41" s="314">
        <v>1.3158100000000001E-2</v>
      </c>
      <c r="G41" s="313"/>
      <c r="H41" s="314">
        <v>1.2970000000000001E-2</v>
      </c>
      <c r="I41" s="314"/>
      <c r="J41" s="314">
        <v>7.2259999999999998E-3</v>
      </c>
      <c r="K41" s="313"/>
      <c r="L41" s="314">
        <v>1.55581E-2</v>
      </c>
      <c r="M41" s="313"/>
      <c r="N41" s="314">
        <v>1.537E-2</v>
      </c>
      <c r="O41" s="313"/>
      <c r="P41" s="314">
        <v>1.9958099999999999E-2</v>
      </c>
      <c r="Q41" s="313"/>
      <c r="R41" s="314">
        <v>1.9769999999999999E-2</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1.2689300000000001E-2</v>
      </c>
      <c r="E43" s="314"/>
      <c r="F43" s="314">
        <f>+F40</f>
        <v>1.2475E-2</v>
      </c>
      <c r="G43" s="314"/>
      <c r="H43" s="314">
        <v>1.2397E-2</v>
      </c>
      <c r="I43" s="314"/>
      <c r="J43" s="314">
        <v>1.2638999999999999E-2</v>
      </c>
      <c r="K43" s="314"/>
      <c r="L43" s="314">
        <f>+L40</f>
        <v>1.4874999999999999E-2</v>
      </c>
      <c r="M43" s="314"/>
      <c r="N43" s="314">
        <v>1.5077E-2</v>
      </c>
      <c r="O43" s="314"/>
      <c r="P43" s="314">
        <f>+P40</f>
        <v>1.9275E-2</v>
      </c>
      <c r="Q43" s="313"/>
      <c r="R43" s="314">
        <v>1.9747000000000001E-2</v>
      </c>
      <c r="S43" s="287"/>
      <c r="T43" s="287"/>
      <c r="U43" s="281"/>
      <c r="V43" s="313">
        <f>SUMPRODUCT(D43:R43,D35:R35)/V35</f>
        <v>1.3536003932142373E-2</v>
      </c>
      <c r="W43" s="282"/>
      <c r="X43" s="5"/>
    </row>
    <row r="44" spans="1:24" ht="15.6" x14ac:dyDescent="0.3">
      <c r="A44" s="278"/>
      <c r="B44" s="279" t="s">
        <v>298</v>
      </c>
      <c r="C44" s="315"/>
      <c r="D44" s="314">
        <v>1.2161399999999999E-2</v>
      </c>
      <c r="E44" s="314"/>
      <c r="F44" s="314">
        <f>+F41</f>
        <v>1.3158100000000001E-2</v>
      </c>
      <c r="G44" s="314"/>
      <c r="H44" s="314">
        <v>1.3080100000000001E-2</v>
      </c>
      <c r="I44" s="314"/>
      <c r="J44" s="314">
        <v>1.33221E-2</v>
      </c>
      <c r="K44" s="314"/>
      <c r="L44" s="314">
        <f>+L41</f>
        <v>1.55581E-2</v>
      </c>
      <c r="M44" s="314"/>
      <c r="N44" s="314">
        <v>1.5760099999999999E-2</v>
      </c>
      <c r="O44" s="314"/>
      <c r="P44" s="314">
        <f>+P41</f>
        <v>1.9958099999999999E-2</v>
      </c>
      <c r="Q44" s="313"/>
      <c r="R44" s="314">
        <v>2.04301E-2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0.25868948957083376</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41136</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90</v>
      </c>
      <c r="S57" s="279"/>
      <c r="T57" s="325">
        <v>40954</v>
      </c>
      <c r="U57" s="326"/>
      <c r="V57" s="325">
        <v>41043</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41044</v>
      </c>
      <c r="U58" s="326"/>
      <c r="V58" s="325">
        <v>41135</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41122</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315</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987594</v>
      </c>
      <c r="O68" s="329"/>
      <c r="P68" s="329">
        <f>4736+1+515</f>
        <v>5252</v>
      </c>
      <c r="Q68" s="329"/>
      <c r="R68" s="329">
        <f>1+515</f>
        <v>516</v>
      </c>
      <c r="S68" s="329"/>
      <c r="T68" s="329">
        <v>0</v>
      </c>
      <c r="U68" s="329"/>
      <c r="V68" s="330">
        <f>+N68-P68+R68-T68</f>
        <v>982858</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987594</v>
      </c>
      <c r="O71" s="329"/>
      <c r="P71" s="329">
        <f>SUM(P68:P70)</f>
        <v>5252</v>
      </c>
      <c r="Q71" s="329"/>
      <c r="R71" s="329">
        <f>SUM(R68:R70)</f>
        <v>516</v>
      </c>
      <c r="S71" s="329"/>
      <c r="T71" s="329">
        <f>SUM(T68:T70)</f>
        <v>0</v>
      </c>
      <c r="U71" s="329"/>
      <c r="V71" s="329">
        <f>SUM(V68:V70)</f>
        <v>982858</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987594</v>
      </c>
      <c r="O84" s="329"/>
      <c r="P84" s="329"/>
      <c r="Q84" s="329"/>
      <c r="R84" s="329"/>
      <c r="S84" s="329"/>
      <c r="T84" s="329"/>
      <c r="U84" s="329"/>
      <c r="V84" s="329">
        <f>SUM(V71:V83)</f>
        <v>982858</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+T196</f>
        <v>41121</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5252-150</f>
        <v>5102</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5093+2750-842-247</f>
        <v>6754</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33+45</f>
        <v>78</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62</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729</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5102</v>
      </c>
      <c r="U96" s="279"/>
      <c r="V96" s="329">
        <f>SUM(V88:V95)</f>
        <v>7623</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-1</v>
      </c>
      <c r="U97" s="279"/>
      <c r="V97" s="329">
        <v>1</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-1</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5101</v>
      </c>
      <c r="U100" s="279"/>
      <c r="V100" s="329">
        <f>V96+V98+V97+V99</f>
        <v>7623</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259</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210</v>
      </c>
      <c r="C104" s="279"/>
      <c r="D104" s="279"/>
      <c r="E104" s="279"/>
      <c r="F104" s="279"/>
      <c r="G104" s="279"/>
      <c r="H104" s="279"/>
      <c r="I104" s="279"/>
      <c r="J104" s="279"/>
      <c r="K104" s="279"/>
      <c r="L104" s="279"/>
      <c r="M104" s="279"/>
      <c r="N104" s="279"/>
      <c r="O104" s="279"/>
      <c r="P104" s="279"/>
      <c r="Q104" s="279"/>
      <c r="R104" s="279"/>
      <c r="S104" s="279"/>
      <c r="T104" s="279"/>
      <c r="U104" s="279"/>
      <c r="V104" s="330">
        <f>-376-188-12</f>
        <v>-576</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-45</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-2499+276</f>
        <v>-2223</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-276</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-330</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-94</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-364</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-82</v>
      </c>
      <c r="W111" s="282"/>
      <c r="X111" s="5"/>
      <c r="Y111" s="109"/>
    </row>
    <row r="112" spans="1:25" ht="15.6" x14ac:dyDescent="0.3">
      <c r="A112" s="336">
        <v>7</v>
      </c>
      <c r="B112" s="279" t="s">
        <v>35</v>
      </c>
      <c r="C112" s="279"/>
      <c r="D112" s="279"/>
      <c r="E112" s="279"/>
      <c r="F112" s="279"/>
      <c r="G112" s="279"/>
      <c r="H112" s="279"/>
      <c r="I112" s="279"/>
      <c r="J112" s="279"/>
      <c r="K112" s="279"/>
      <c r="L112" s="279"/>
      <c r="M112" s="279"/>
      <c r="N112" s="279"/>
      <c r="O112" s="279"/>
      <c r="P112" s="279"/>
      <c r="Q112" s="279"/>
      <c r="R112" s="279"/>
      <c r="S112" s="279"/>
      <c r="T112" s="279"/>
      <c r="U112" s="279"/>
      <c r="V112" s="330">
        <v>-8</v>
      </c>
      <c r="W112" s="282"/>
      <c r="X112" s="5"/>
    </row>
    <row r="113" spans="1:24" ht="15.6" x14ac:dyDescent="0.3">
      <c r="A113" s="336">
        <f t="shared" ref="A113:A118" si="0">+A112+1</f>
        <v>8</v>
      </c>
      <c r="B113" s="279" t="s">
        <v>46</v>
      </c>
      <c r="C113" s="279"/>
      <c r="D113" s="279"/>
      <c r="E113" s="279"/>
      <c r="F113" s="279"/>
      <c r="G113" s="279"/>
      <c r="H113" s="279"/>
      <c r="I113" s="279"/>
      <c r="J113" s="279"/>
      <c r="K113" s="279"/>
      <c r="L113" s="279"/>
      <c r="M113" s="279"/>
      <c r="N113" s="279"/>
      <c r="O113" s="279"/>
      <c r="P113" s="279"/>
      <c r="Q113" s="279"/>
      <c r="R113" s="279"/>
      <c r="S113" s="279"/>
      <c r="T113" s="329">
        <f>-V113</f>
        <v>150</v>
      </c>
      <c r="U113" s="279"/>
      <c r="V113" s="330">
        <v>-150</v>
      </c>
      <c r="W113" s="282"/>
      <c r="X113" s="5"/>
    </row>
    <row r="114" spans="1:24" ht="15.6" x14ac:dyDescent="0.3">
      <c r="A114" s="336">
        <f t="shared" si="0"/>
        <v>9</v>
      </c>
      <c r="B114" s="279" t="s">
        <v>130</v>
      </c>
      <c r="C114" s="279"/>
      <c r="D114" s="279"/>
      <c r="E114" s="279"/>
      <c r="F114" s="279"/>
      <c r="G114" s="279"/>
      <c r="H114" s="279"/>
      <c r="I114" s="279"/>
      <c r="J114" s="279"/>
      <c r="K114" s="279"/>
      <c r="L114" s="279"/>
      <c r="M114" s="279"/>
      <c r="N114" s="279"/>
      <c r="O114" s="279"/>
      <c r="P114" s="279"/>
      <c r="Q114" s="279"/>
      <c r="R114" s="279"/>
      <c r="S114" s="279"/>
      <c r="T114" s="279"/>
      <c r="U114" s="279"/>
      <c r="V114" s="330">
        <v>0</v>
      </c>
      <c r="W114" s="282"/>
      <c r="X114" s="5"/>
    </row>
    <row r="115" spans="1:24" ht="15.6" x14ac:dyDescent="0.3">
      <c r="A115" s="336">
        <f t="shared" si="0"/>
        <v>10</v>
      </c>
      <c r="B115" s="279" t="s">
        <v>36</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37</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154</v>
      </c>
      <c r="C117" s="279"/>
      <c r="D117" s="279"/>
      <c r="E117" s="279"/>
      <c r="F117" s="279"/>
      <c r="G117" s="279"/>
      <c r="H117" s="279"/>
      <c r="I117" s="279"/>
      <c r="J117" s="279"/>
      <c r="K117" s="279"/>
      <c r="L117" s="279"/>
      <c r="M117" s="279"/>
      <c r="N117" s="279"/>
      <c r="O117" s="279"/>
      <c r="P117" s="279"/>
      <c r="Q117" s="279"/>
      <c r="R117" s="279"/>
      <c r="S117" s="279"/>
      <c r="T117" s="279"/>
      <c r="U117" s="279"/>
      <c r="V117" s="330">
        <v>-376</v>
      </c>
      <c r="W117" s="282"/>
      <c r="X117" s="5"/>
    </row>
    <row r="118" spans="1:24" ht="15.6" x14ac:dyDescent="0.3">
      <c r="A118" s="336">
        <f t="shared" si="0"/>
        <v>13</v>
      </c>
      <c r="B118" s="279" t="s">
        <v>131</v>
      </c>
      <c r="C118" s="279"/>
      <c r="D118" s="279"/>
      <c r="E118" s="279"/>
      <c r="F118" s="279"/>
      <c r="G118" s="279"/>
      <c r="H118" s="279"/>
      <c r="I118" s="279"/>
      <c r="J118" s="279"/>
      <c r="K118" s="279"/>
      <c r="L118" s="279"/>
      <c r="M118" s="279"/>
      <c r="N118" s="279"/>
      <c r="O118" s="279"/>
      <c r="P118" s="279"/>
      <c r="Q118" s="279"/>
      <c r="R118" s="279"/>
      <c r="S118" s="279"/>
      <c r="T118" s="279"/>
      <c r="U118" s="279"/>
      <c r="V118" s="330">
        <f>-V100-SUM(V102:V117)</f>
        <v>-3097</v>
      </c>
      <c r="W118" s="282"/>
      <c r="X118" s="5"/>
    </row>
    <row r="119" spans="1:24" ht="15.6" x14ac:dyDescent="0.3">
      <c r="A119" s="278"/>
      <c r="B119" s="333" t="s">
        <v>38</v>
      </c>
      <c r="C119" s="305"/>
      <c r="D119" s="305"/>
      <c r="E119" s="305"/>
      <c r="F119" s="305"/>
      <c r="G119" s="305"/>
      <c r="H119" s="305"/>
      <c r="I119" s="305"/>
      <c r="J119" s="305"/>
      <c r="K119" s="305"/>
      <c r="L119" s="305"/>
      <c r="M119" s="305"/>
      <c r="N119" s="305"/>
      <c r="O119" s="305"/>
      <c r="P119" s="305"/>
      <c r="Q119" s="305"/>
      <c r="R119" s="305"/>
      <c r="S119" s="305"/>
      <c r="T119" s="305"/>
      <c r="U119" s="305"/>
      <c r="V119" s="337"/>
      <c r="W119" s="310"/>
      <c r="X119" s="5"/>
    </row>
    <row r="120" spans="1:24" ht="15.6" x14ac:dyDescent="0.3">
      <c r="A120" s="278"/>
      <c r="B120" s="279" t="s">
        <v>179</v>
      </c>
      <c r="C120" s="279"/>
      <c r="D120" s="279"/>
      <c r="E120" s="279"/>
      <c r="F120" s="279"/>
      <c r="G120" s="279"/>
      <c r="H120" s="279"/>
      <c r="I120" s="279"/>
      <c r="J120" s="279"/>
      <c r="K120" s="279"/>
      <c r="L120" s="279"/>
      <c r="M120" s="279"/>
      <c r="N120" s="279"/>
      <c r="O120" s="279"/>
      <c r="P120" s="279"/>
      <c r="Q120" s="279"/>
      <c r="R120" s="279"/>
      <c r="S120" s="279"/>
      <c r="T120" s="329">
        <f>-T180</f>
        <v>0</v>
      </c>
      <c r="U120" s="329"/>
      <c r="V120" s="330"/>
      <c r="W120" s="282"/>
      <c r="X120" s="5"/>
    </row>
    <row r="121" spans="1:24" ht="15.6" x14ac:dyDescent="0.3">
      <c r="A121" s="278"/>
      <c r="B121" s="279" t="s">
        <v>180</v>
      </c>
      <c r="C121" s="279"/>
      <c r="D121" s="279"/>
      <c r="E121" s="279"/>
      <c r="F121" s="279"/>
      <c r="G121" s="279"/>
      <c r="H121" s="279"/>
      <c r="I121" s="279"/>
      <c r="J121" s="279"/>
      <c r="K121" s="279"/>
      <c r="L121" s="279"/>
      <c r="M121" s="279"/>
      <c r="N121" s="279"/>
      <c r="O121" s="279"/>
      <c r="P121" s="279"/>
      <c r="Q121" s="279"/>
      <c r="R121" s="279"/>
      <c r="S121" s="279"/>
      <c r="T121" s="329">
        <v>0</v>
      </c>
      <c r="U121" s="329"/>
      <c r="V121" s="330"/>
      <c r="W121" s="282"/>
      <c r="X121" s="5"/>
    </row>
    <row r="122" spans="1:24" ht="15.6" x14ac:dyDescent="0.3">
      <c r="A122" s="278"/>
      <c r="B122" s="279" t="s">
        <v>39</v>
      </c>
      <c r="C122" s="279"/>
      <c r="D122" s="279"/>
      <c r="E122" s="279"/>
      <c r="F122" s="279"/>
      <c r="G122" s="279"/>
      <c r="H122" s="279"/>
      <c r="I122" s="279"/>
      <c r="J122" s="279"/>
      <c r="K122" s="279"/>
      <c r="L122" s="279"/>
      <c r="M122" s="279"/>
      <c r="N122" s="279"/>
      <c r="O122" s="279"/>
      <c r="P122" s="279"/>
      <c r="Q122" s="279"/>
      <c r="R122" s="279"/>
      <c r="S122" s="279"/>
      <c r="T122" s="329">
        <f>-S180</f>
        <v>-515</v>
      </c>
      <c r="U122" s="329"/>
      <c r="V122" s="330"/>
      <c r="W122" s="282"/>
      <c r="X122" s="5"/>
    </row>
    <row r="123" spans="1:24" ht="15.6" x14ac:dyDescent="0.3">
      <c r="A123" s="278"/>
      <c r="B123" s="279" t="s">
        <v>203</v>
      </c>
      <c r="C123" s="279"/>
      <c r="D123" s="279"/>
      <c r="E123" s="279"/>
      <c r="F123" s="279"/>
      <c r="G123" s="279"/>
      <c r="H123" s="279"/>
      <c r="I123" s="279"/>
      <c r="J123" s="279"/>
      <c r="K123" s="279"/>
      <c r="L123" s="279"/>
      <c r="M123" s="279"/>
      <c r="N123" s="279"/>
      <c r="O123" s="279"/>
      <c r="P123" s="279"/>
      <c r="Q123" s="279"/>
      <c r="R123" s="279"/>
      <c r="S123" s="279"/>
      <c r="T123" s="329">
        <v>-2974</v>
      </c>
      <c r="U123" s="329"/>
      <c r="V123" s="330"/>
      <c r="W123" s="282"/>
      <c r="X123" s="5"/>
    </row>
    <row r="124" spans="1:24" ht="15.6" x14ac:dyDescent="0.3">
      <c r="A124" s="278"/>
      <c r="B124" s="279" t="s">
        <v>201</v>
      </c>
      <c r="C124" s="279"/>
      <c r="D124" s="279"/>
      <c r="E124" s="279"/>
      <c r="F124" s="279"/>
      <c r="G124" s="279"/>
      <c r="H124" s="279"/>
      <c r="I124" s="279"/>
      <c r="J124" s="279"/>
      <c r="K124" s="279"/>
      <c r="L124" s="279"/>
      <c r="M124" s="279"/>
      <c r="N124" s="279"/>
      <c r="O124" s="279"/>
      <c r="P124" s="279"/>
      <c r="Q124" s="279"/>
      <c r="R124" s="279"/>
      <c r="S124" s="279"/>
      <c r="T124" s="329">
        <v>-529</v>
      </c>
      <c r="U124" s="329"/>
      <c r="V124" s="330"/>
      <c r="W124" s="282"/>
      <c r="X124" s="5"/>
    </row>
    <row r="125" spans="1:24" ht="15.6" x14ac:dyDescent="0.3">
      <c r="A125" s="278"/>
      <c r="B125" s="279" t="s">
        <v>200</v>
      </c>
      <c r="C125" s="279"/>
      <c r="D125" s="279"/>
      <c r="E125" s="279"/>
      <c r="F125" s="279"/>
      <c r="G125" s="279"/>
      <c r="H125" s="279"/>
      <c r="I125" s="279"/>
      <c r="J125" s="279"/>
      <c r="K125" s="279"/>
      <c r="L125" s="279"/>
      <c r="M125" s="279"/>
      <c r="N125" s="279"/>
      <c r="O125" s="279"/>
      <c r="P125" s="279"/>
      <c r="Q125" s="279"/>
      <c r="R125" s="279"/>
      <c r="S125" s="279"/>
      <c r="T125" s="329">
        <v>-616</v>
      </c>
      <c r="U125" s="329"/>
      <c r="V125" s="330"/>
      <c r="W125" s="282"/>
      <c r="X125" s="5"/>
    </row>
    <row r="126" spans="1:24" ht="15.6" x14ac:dyDescent="0.3">
      <c r="A126" s="278"/>
      <c r="B126" s="279" t="s">
        <v>260</v>
      </c>
      <c r="C126" s="279"/>
      <c r="D126" s="279"/>
      <c r="E126" s="279"/>
      <c r="F126" s="279"/>
      <c r="G126" s="279"/>
      <c r="H126" s="279"/>
      <c r="I126" s="279"/>
      <c r="J126" s="279"/>
      <c r="K126" s="279"/>
      <c r="L126" s="279"/>
      <c r="M126" s="279"/>
      <c r="N126" s="279"/>
      <c r="O126" s="279"/>
      <c r="P126" s="279"/>
      <c r="Q126" s="279"/>
      <c r="R126" s="279"/>
      <c r="S126" s="279"/>
      <c r="T126" s="329">
        <v>-617</v>
      </c>
      <c r="U126" s="329"/>
      <c r="V126" s="330"/>
      <c r="W126" s="282"/>
      <c r="X126" s="5"/>
    </row>
    <row r="127" spans="1:24" ht="15.6" x14ac:dyDescent="0.3">
      <c r="A127" s="278"/>
      <c r="B127" s="279" t="s">
        <v>195</v>
      </c>
      <c r="C127" s="279"/>
      <c r="D127" s="279"/>
      <c r="E127" s="279"/>
      <c r="F127" s="279"/>
      <c r="G127" s="279"/>
      <c r="H127" s="279"/>
      <c r="I127" s="279"/>
      <c r="J127" s="279"/>
      <c r="K127" s="279"/>
      <c r="L127" s="279"/>
      <c r="M127" s="279"/>
      <c r="N127" s="279"/>
      <c r="O127" s="279"/>
      <c r="P127" s="279"/>
      <c r="Q127" s="279"/>
      <c r="R127" s="279"/>
      <c r="S127" s="279"/>
      <c r="T127" s="329">
        <v>0</v>
      </c>
      <c r="U127" s="329"/>
      <c r="V127" s="330"/>
      <c r="W127" s="282"/>
      <c r="X127" s="5"/>
    </row>
    <row r="128" spans="1:24" ht="15.6" x14ac:dyDescent="0.3">
      <c r="A128" s="278"/>
      <c r="B128" s="279" t="s">
        <v>194</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261</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193</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40</v>
      </c>
      <c r="C131" s="279"/>
      <c r="D131" s="279"/>
      <c r="E131" s="279"/>
      <c r="F131" s="279"/>
      <c r="G131" s="279"/>
      <c r="H131" s="279"/>
      <c r="I131" s="279"/>
      <c r="J131" s="279"/>
      <c r="K131" s="279"/>
      <c r="L131" s="279"/>
      <c r="M131" s="279"/>
      <c r="N131" s="279"/>
      <c r="O131" s="279"/>
      <c r="P131" s="279"/>
      <c r="Q131" s="279"/>
      <c r="R131" s="279"/>
      <c r="S131" s="279"/>
      <c r="T131" s="329">
        <f>SUM(T120:T130)</f>
        <v>-5251</v>
      </c>
      <c r="U131" s="329"/>
      <c r="V131" s="329">
        <f>SUM(V101:V128)</f>
        <v>-7623</v>
      </c>
      <c r="W131" s="282"/>
      <c r="X131" s="5"/>
    </row>
    <row r="132" spans="1:24" ht="15.6" x14ac:dyDescent="0.3">
      <c r="A132" s="278"/>
      <c r="B132" s="279" t="s">
        <v>41</v>
      </c>
      <c r="C132" s="279"/>
      <c r="D132" s="279"/>
      <c r="E132" s="279"/>
      <c r="F132" s="279"/>
      <c r="G132" s="279"/>
      <c r="H132" s="279"/>
      <c r="I132" s="279"/>
      <c r="J132" s="279"/>
      <c r="K132" s="279"/>
      <c r="L132" s="279"/>
      <c r="M132" s="279"/>
      <c r="N132" s="279"/>
      <c r="O132" s="279"/>
      <c r="P132" s="279"/>
      <c r="Q132" s="279"/>
      <c r="R132" s="279"/>
      <c r="S132" s="279"/>
      <c r="T132" s="329">
        <f>T100+T131+T113</f>
        <v>0</v>
      </c>
      <c r="U132" s="329"/>
      <c r="V132" s="329">
        <f>V100+V131</f>
        <v>0</v>
      </c>
      <c r="W132" s="282"/>
      <c r="X132" s="5"/>
    </row>
    <row r="133" spans="1:24" ht="15.6" x14ac:dyDescent="0.3">
      <c r="A133" s="177"/>
      <c r="B133" s="275"/>
      <c r="C133" s="275"/>
      <c r="D133" s="275"/>
      <c r="E133" s="275"/>
      <c r="F133" s="275"/>
      <c r="G133" s="275"/>
      <c r="H133" s="275"/>
      <c r="I133" s="275"/>
      <c r="J133" s="275"/>
      <c r="K133" s="275"/>
      <c r="L133" s="275"/>
      <c r="M133" s="275"/>
      <c r="N133" s="275"/>
      <c r="O133" s="275"/>
      <c r="P133" s="275"/>
      <c r="Q133" s="275"/>
      <c r="R133" s="275"/>
      <c r="S133" s="275"/>
      <c r="T133" s="327"/>
      <c r="U133" s="327"/>
      <c r="V133" s="327"/>
      <c r="W133" s="275"/>
      <c r="X133" s="5"/>
    </row>
    <row r="134" spans="1:24" ht="15.6" x14ac:dyDescent="0.3">
      <c r="A134" s="177"/>
      <c r="B134" s="179"/>
      <c r="C134" s="179"/>
      <c r="D134" s="179"/>
      <c r="E134" s="179"/>
      <c r="F134" s="179"/>
      <c r="G134" s="179"/>
      <c r="H134" s="179"/>
      <c r="I134" s="179"/>
      <c r="J134" s="179"/>
      <c r="K134" s="179"/>
      <c r="L134" s="179"/>
      <c r="M134" s="179"/>
      <c r="N134" s="179"/>
      <c r="O134" s="179"/>
      <c r="P134" s="179"/>
      <c r="Q134" s="179"/>
      <c r="R134" s="179"/>
      <c r="S134" s="179"/>
      <c r="T134" s="179"/>
      <c r="U134" s="179"/>
      <c r="V134" s="199"/>
      <c r="W134" s="179"/>
      <c r="X134" s="5"/>
    </row>
    <row r="135" spans="1:24" ht="18" thickBot="1" x14ac:dyDescent="0.35">
      <c r="A135" s="194"/>
      <c r="B135" s="264" t="str">
        <f>B64</f>
        <v>PM12 INVESTOR REPORT QUARTER ENDING JULY 2012</v>
      </c>
      <c r="C135" s="195"/>
      <c r="D135" s="195"/>
      <c r="E135" s="195"/>
      <c r="F135" s="195"/>
      <c r="G135" s="195"/>
      <c r="H135" s="195"/>
      <c r="I135" s="195"/>
      <c r="J135" s="195"/>
      <c r="K135" s="195"/>
      <c r="L135" s="195"/>
      <c r="M135" s="195"/>
      <c r="N135" s="195"/>
      <c r="O135" s="195"/>
      <c r="P135" s="195"/>
      <c r="Q135" s="195"/>
      <c r="R135" s="195"/>
      <c r="S135" s="195"/>
      <c r="T135" s="195"/>
      <c r="U135" s="195"/>
      <c r="V135" s="207"/>
      <c r="W135" s="197"/>
      <c r="X135" s="5"/>
    </row>
    <row r="136" spans="1:24" ht="15.6" x14ac:dyDescent="0.3">
      <c r="A136" s="235"/>
      <c r="B136" s="392" t="s">
        <v>42</v>
      </c>
      <c r="C136" s="236"/>
      <c r="D136" s="236"/>
      <c r="E136" s="236"/>
      <c r="F136" s="236"/>
      <c r="G136" s="236"/>
      <c r="H136" s="236"/>
      <c r="I136" s="236"/>
      <c r="J136" s="236"/>
      <c r="K136" s="236"/>
      <c r="L136" s="236"/>
      <c r="M136" s="236"/>
      <c r="N136" s="236"/>
      <c r="O136" s="236"/>
      <c r="P136" s="236"/>
      <c r="Q136" s="236"/>
      <c r="R136" s="236"/>
      <c r="S136" s="236"/>
      <c r="T136" s="236"/>
      <c r="U136" s="236"/>
      <c r="V136" s="237"/>
      <c r="W136" s="236"/>
      <c r="X136" s="5"/>
    </row>
    <row r="137" spans="1:24" ht="15.6" x14ac:dyDescent="0.3">
      <c r="A137" s="177"/>
      <c r="B137" s="186"/>
      <c r="C137" s="179"/>
      <c r="D137" s="179"/>
      <c r="E137" s="179"/>
      <c r="F137" s="179"/>
      <c r="G137" s="179"/>
      <c r="H137" s="179"/>
      <c r="I137" s="179"/>
      <c r="J137" s="179"/>
      <c r="K137" s="179"/>
      <c r="L137" s="179"/>
      <c r="M137" s="179"/>
      <c r="N137" s="179"/>
      <c r="O137" s="179"/>
      <c r="P137" s="179"/>
      <c r="Q137" s="179"/>
      <c r="R137" s="179"/>
      <c r="S137" s="179"/>
      <c r="T137" s="179"/>
      <c r="U137" s="179"/>
      <c r="V137" s="199"/>
      <c r="W137" s="179"/>
      <c r="X137" s="5"/>
    </row>
    <row r="138" spans="1:24" ht="15.6" x14ac:dyDescent="0.3">
      <c r="A138" s="177"/>
      <c r="B138" s="208" t="s">
        <v>43</v>
      </c>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278"/>
      <c r="B139" s="279" t="s">
        <v>44</v>
      </c>
      <c r="C139" s="279"/>
      <c r="D139" s="279"/>
      <c r="E139" s="279"/>
      <c r="F139" s="279"/>
      <c r="G139" s="279"/>
      <c r="H139" s="279"/>
      <c r="I139" s="279"/>
      <c r="J139" s="279"/>
      <c r="K139" s="279"/>
      <c r="L139" s="279"/>
      <c r="M139" s="279"/>
      <c r="N139" s="279"/>
      <c r="O139" s="279"/>
      <c r="P139" s="279"/>
      <c r="Q139" s="279"/>
      <c r="R139" s="279"/>
      <c r="S139" s="279"/>
      <c r="T139" s="279"/>
      <c r="U139" s="279"/>
      <c r="V139" s="330">
        <f>+V34*0.019</f>
        <v>28503.895</v>
      </c>
      <c r="W139" s="310"/>
      <c r="X139" s="5"/>
    </row>
    <row r="140" spans="1:24" ht="15.6" x14ac:dyDescent="0.3">
      <c r="A140" s="278"/>
      <c r="B140" s="279" t="s">
        <v>45</v>
      </c>
      <c r="C140" s="279"/>
      <c r="D140" s="279"/>
      <c r="E140" s="279"/>
      <c r="F140" s="279"/>
      <c r="G140" s="279"/>
      <c r="H140" s="279"/>
      <c r="I140" s="279"/>
      <c r="J140" s="279"/>
      <c r="K140" s="279"/>
      <c r="L140" s="279"/>
      <c r="M140" s="279"/>
      <c r="N140" s="279"/>
      <c r="O140" s="279"/>
      <c r="P140" s="279"/>
      <c r="Q140" s="279"/>
      <c r="R140" s="279"/>
      <c r="S140" s="279"/>
      <c r="T140" s="279"/>
      <c r="U140" s="279"/>
      <c r="V140" s="330">
        <v>28504</v>
      </c>
      <c r="W140" s="310"/>
      <c r="X140" s="5"/>
    </row>
    <row r="141" spans="1:24" ht="15.6" x14ac:dyDescent="0.3">
      <c r="A141" s="278"/>
      <c r="B141" s="279" t="s">
        <v>141</v>
      </c>
      <c r="C141" s="279"/>
      <c r="D141" s="279"/>
      <c r="E141" s="279"/>
      <c r="F141" s="279"/>
      <c r="G141" s="279"/>
      <c r="H141" s="279"/>
      <c r="I141" s="279"/>
      <c r="J141" s="279"/>
      <c r="K141" s="279"/>
      <c r="L141" s="279"/>
      <c r="M141" s="279"/>
      <c r="N141" s="279"/>
      <c r="O141" s="279"/>
      <c r="P141" s="279"/>
      <c r="Q141" s="279"/>
      <c r="R141" s="279"/>
      <c r="S141" s="279"/>
      <c r="T141" s="279"/>
      <c r="U141" s="279"/>
      <c r="V141" s="330">
        <v>0</v>
      </c>
      <c r="W141" s="310"/>
      <c r="X141" s="5"/>
    </row>
    <row r="142" spans="1:24" ht="15.6" x14ac:dyDescent="0.3">
      <c r="A142" s="278"/>
      <c r="B142" s="279" t="s">
        <v>128</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129</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181</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46</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134</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230</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c r="Y147" s="109"/>
    </row>
    <row r="148" spans="1:25" ht="15.6" x14ac:dyDescent="0.3">
      <c r="A148" s="278"/>
      <c r="B148" s="279" t="s">
        <v>47</v>
      </c>
      <c r="C148" s="279"/>
      <c r="D148" s="279"/>
      <c r="E148" s="279"/>
      <c r="F148" s="279"/>
      <c r="G148" s="279"/>
      <c r="H148" s="279"/>
      <c r="I148" s="279"/>
      <c r="J148" s="279"/>
      <c r="K148" s="279"/>
      <c r="L148" s="279"/>
      <c r="M148" s="279"/>
      <c r="N148" s="279"/>
      <c r="O148" s="279"/>
      <c r="P148" s="279"/>
      <c r="Q148" s="279"/>
      <c r="R148" s="279"/>
      <c r="S148" s="279"/>
      <c r="T148" s="279"/>
      <c r="U148" s="279"/>
      <c r="V148" s="330">
        <f>SUM(V140:V147)</f>
        <v>28504</v>
      </c>
      <c r="W148" s="310"/>
      <c r="X148" s="5"/>
    </row>
    <row r="149" spans="1:25" ht="15.6" x14ac:dyDescent="0.3">
      <c r="A149" s="278"/>
      <c r="B149" s="305"/>
      <c r="C149" s="305"/>
      <c r="D149" s="305"/>
      <c r="E149" s="305"/>
      <c r="F149" s="305"/>
      <c r="G149" s="305"/>
      <c r="H149" s="305"/>
      <c r="I149" s="305"/>
      <c r="J149" s="305"/>
      <c r="K149" s="305"/>
      <c r="L149" s="305"/>
      <c r="M149" s="305"/>
      <c r="N149" s="305"/>
      <c r="O149" s="305"/>
      <c r="P149" s="305"/>
      <c r="Q149" s="305"/>
      <c r="R149" s="305"/>
      <c r="S149" s="305"/>
      <c r="T149" s="305"/>
      <c r="U149" s="305"/>
      <c r="V149" s="335"/>
      <c r="W149" s="310"/>
      <c r="X149" s="5"/>
    </row>
    <row r="150" spans="1:25" ht="15.6" x14ac:dyDescent="0.3">
      <c r="A150" s="278"/>
      <c r="B150" s="333" t="s">
        <v>269</v>
      </c>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279" t="s">
        <v>160</v>
      </c>
      <c r="C151" s="279"/>
      <c r="D151" s="279"/>
      <c r="E151" s="279"/>
      <c r="F151" s="279"/>
      <c r="G151" s="279"/>
      <c r="H151" s="279"/>
      <c r="I151" s="279"/>
      <c r="J151" s="279"/>
      <c r="K151" s="279"/>
      <c r="L151" s="279"/>
      <c r="M151" s="279"/>
      <c r="N151" s="279"/>
      <c r="O151" s="279"/>
      <c r="P151" s="279"/>
      <c r="Q151" s="279"/>
      <c r="R151" s="279"/>
      <c r="S151" s="279"/>
      <c r="T151" s="279"/>
      <c r="U151" s="279"/>
      <c r="V151" s="330">
        <v>0</v>
      </c>
      <c r="W151" s="310"/>
      <c r="X151" s="5"/>
    </row>
    <row r="152" spans="1:25" ht="15.6" x14ac:dyDescent="0.3">
      <c r="A152" s="278"/>
      <c r="B152" s="279" t="s">
        <v>178</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270</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305"/>
      <c r="C154" s="305"/>
      <c r="D154" s="305"/>
      <c r="E154" s="305"/>
      <c r="F154" s="305"/>
      <c r="G154" s="305"/>
      <c r="H154" s="305"/>
      <c r="I154" s="305"/>
      <c r="J154" s="305"/>
      <c r="K154" s="305"/>
      <c r="L154" s="305"/>
      <c r="M154" s="305"/>
      <c r="N154" s="305"/>
      <c r="O154" s="305"/>
      <c r="P154" s="305"/>
      <c r="Q154" s="305"/>
      <c r="R154" s="305"/>
      <c r="S154" s="305"/>
      <c r="T154" s="305"/>
      <c r="U154" s="305"/>
      <c r="V154" s="335"/>
      <c r="W154" s="310"/>
      <c r="X154" s="5"/>
    </row>
    <row r="155" spans="1:25" ht="15.6" x14ac:dyDescent="0.3">
      <c r="A155" s="177"/>
      <c r="B155" s="275"/>
      <c r="C155" s="275"/>
      <c r="D155" s="275"/>
      <c r="E155" s="275"/>
      <c r="F155" s="275"/>
      <c r="G155" s="275"/>
      <c r="H155" s="275"/>
      <c r="I155" s="275"/>
      <c r="J155" s="275"/>
      <c r="K155" s="275"/>
      <c r="L155" s="275"/>
      <c r="M155" s="275"/>
      <c r="N155" s="275"/>
      <c r="O155" s="275"/>
      <c r="P155" s="275"/>
      <c r="Q155" s="275"/>
      <c r="R155" s="275"/>
      <c r="S155" s="275"/>
      <c r="T155" s="275"/>
      <c r="U155" s="275"/>
      <c r="V155" s="338"/>
      <c r="W155" s="275"/>
      <c r="X155" s="5"/>
    </row>
    <row r="156" spans="1:25" ht="15.6" x14ac:dyDescent="0.3">
      <c r="A156" s="177"/>
      <c r="B156" s="208" t="s">
        <v>24</v>
      </c>
      <c r="C156" s="179"/>
      <c r="D156" s="179"/>
      <c r="E156" s="179"/>
      <c r="F156" s="179"/>
      <c r="G156" s="179"/>
      <c r="H156" s="179"/>
      <c r="I156" s="179"/>
      <c r="J156" s="179"/>
      <c r="K156" s="179"/>
      <c r="L156" s="179"/>
      <c r="M156" s="179"/>
      <c r="N156" s="179"/>
      <c r="O156" s="179"/>
      <c r="P156" s="179"/>
      <c r="Q156" s="179"/>
      <c r="R156" s="179"/>
      <c r="S156" s="179"/>
      <c r="T156" s="179"/>
      <c r="U156" s="179"/>
      <c r="V156" s="199"/>
      <c r="W156" s="179"/>
      <c r="X156" s="5"/>
    </row>
    <row r="157" spans="1:25" ht="15.6" x14ac:dyDescent="0.3">
      <c r="A157" s="278"/>
      <c r="B157" s="279" t="s">
        <v>48</v>
      </c>
      <c r="C157" s="279"/>
      <c r="D157" s="279"/>
      <c r="E157" s="279"/>
      <c r="F157" s="279"/>
      <c r="G157" s="279"/>
      <c r="H157" s="279"/>
      <c r="I157" s="279"/>
      <c r="J157" s="279"/>
      <c r="K157" s="279"/>
      <c r="L157" s="279"/>
      <c r="M157" s="279"/>
      <c r="N157" s="279"/>
      <c r="O157" s="279"/>
      <c r="P157" s="279"/>
      <c r="Q157" s="279"/>
      <c r="R157" s="279"/>
      <c r="S157" s="279"/>
      <c r="T157" s="279"/>
      <c r="U157" s="279"/>
      <c r="V157" s="339" t="s">
        <v>123</v>
      </c>
      <c r="W157" s="282"/>
      <c r="X157" s="5"/>
    </row>
    <row r="158" spans="1:25" ht="15.6" x14ac:dyDescent="0.3">
      <c r="A158" s="278"/>
      <c r="B158" s="279" t="s">
        <v>49</v>
      </c>
      <c r="C158" s="281"/>
      <c r="D158" s="281"/>
      <c r="E158" s="281"/>
      <c r="F158" s="281"/>
      <c r="G158" s="281"/>
      <c r="H158" s="281"/>
      <c r="I158" s="281"/>
      <c r="J158" s="281"/>
      <c r="K158" s="281"/>
      <c r="L158" s="281"/>
      <c r="M158" s="281"/>
      <c r="N158" s="281"/>
      <c r="O158" s="281"/>
      <c r="P158" s="281"/>
      <c r="Q158" s="281"/>
      <c r="R158" s="281"/>
      <c r="S158" s="281"/>
      <c r="T158" s="281"/>
      <c r="U158" s="281"/>
      <c r="V158" s="339" t="s">
        <v>123</v>
      </c>
      <c r="W158" s="282"/>
      <c r="X158" s="5"/>
    </row>
    <row r="159" spans="1:25" ht="15.6" x14ac:dyDescent="0.3">
      <c r="A159" s="278"/>
      <c r="B159" s="279" t="s">
        <v>50</v>
      </c>
      <c r="C159" s="279"/>
      <c r="D159" s="279"/>
      <c r="E159" s="279"/>
      <c r="F159" s="279"/>
      <c r="G159" s="279"/>
      <c r="H159" s="279"/>
      <c r="I159" s="279"/>
      <c r="J159" s="279"/>
      <c r="K159" s="279"/>
      <c r="L159" s="279"/>
      <c r="M159" s="279"/>
      <c r="N159" s="279"/>
      <c r="O159" s="279"/>
      <c r="P159" s="279"/>
      <c r="Q159" s="279"/>
      <c r="R159" s="279"/>
      <c r="S159" s="279"/>
      <c r="T159" s="279"/>
      <c r="U159" s="279"/>
      <c r="V159" s="339" t="s">
        <v>123</v>
      </c>
      <c r="W159" s="282"/>
      <c r="X159" s="5"/>
    </row>
    <row r="160" spans="1:25" ht="15.6" x14ac:dyDescent="0.3">
      <c r="A160" s="278"/>
      <c r="B160" s="279" t="s">
        <v>51</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177"/>
      <c r="B161" s="275"/>
      <c r="C161" s="275"/>
      <c r="D161" s="275"/>
      <c r="E161" s="275"/>
      <c r="F161" s="275"/>
      <c r="G161" s="275"/>
      <c r="H161" s="275"/>
      <c r="I161" s="275"/>
      <c r="J161" s="275"/>
      <c r="K161" s="275"/>
      <c r="L161" s="275"/>
      <c r="M161" s="275"/>
      <c r="N161" s="275"/>
      <c r="O161" s="275"/>
      <c r="P161" s="275"/>
      <c r="Q161" s="275"/>
      <c r="R161" s="275"/>
      <c r="S161" s="275"/>
      <c r="T161" s="275"/>
      <c r="U161" s="275"/>
      <c r="V161" s="338"/>
      <c r="W161" s="275"/>
      <c r="X161" s="5"/>
    </row>
    <row r="162" spans="1:24" ht="15.6" x14ac:dyDescent="0.3">
      <c r="A162" s="177"/>
      <c r="B162" s="208" t="s">
        <v>52</v>
      </c>
      <c r="C162" s="179"/>
      <c r="D162" s="179"/>
      <c r="E162" s="179"/>
      <c r="F162" s="179"/>
      <c r="G162" s="179"/>
      <c r="H162" s="179"/>
      <c r="I162" s="179"/>
      <c r="J162" s="179"/>
      <c r="K162" s="179"/>
      <c r="L162" s="179"/>
      <c r="M162" s="179"/>
      <c r="N162" s="179"/>
      <c r="O162" s="179"/>
      <c r="P162" s="179"/>
      <c r="Q162" s="179"/>
      <c r="R162" s="179"/>
      <c r="S162" s="179"/>
      <c r="T162" s="179"/>
      <c r="U162" s="179"/>
      <c r="V162" s="209"/>
      <c r="W162" s="179"/>
      <c r="X162" s="5"/>
    </row>
    <row r="163" spans="1:24" ht="15.6" x14ac:dyDescent="0.3">
      <c r="A163" s="278"/>
      <c r="B163" s="279" t="s">
        <v>53</v>
      </c>
      <c r="C163" s="279"/>
      <c r="D163" s="279"/>
      <c r="E163" s="279"/>
      <c r="F163" s="279"/>
      <c r="G163" s="279"/>
      <c r="H163" s="279"/>
      <c r="I163" s="279"/>
      <c r="J163" s="279"/>
      <c r="K163" s="279"/>
      <c r="L163" s="279"/>
      <c r="M163" s="279"/>
      <c r="N163" s="279"/>
      <c r="O163" s="279"/>
      <c r="P163" s="279"/>
      <c r="Q163" s="279"/>
      <c r="R163" s="279"/>
      <c r="S163" s="279"/>
      <c r="T163" s="279"/>
      <c r="U163" s="279"/>
      <c r="V163" s="330">
        <v>0</v>
      </c>
      <c r="W163" s="310"/>
      <c r="X163" s="5"/>
    </row>
    <row r="164" spans="1:24" ht="15.6" x14ac:dyDescent="0.3">
      <c r="A164" s="278"/>
      <c r="B164" s="279" t="s">
        <v>54</v>
      </c>
      <c r="C164" s="279"/>
      <c r="D164" s="279"/>
      <c r="E164" s="279"/>
      <c r="F164" s="279"/>
      <c r="G164" s="279"/>
      <c r="H164" s="279"/>
      <c r="I164" s="279"/>
      <c r="J164" s="279"/>
      <c r="K164" s="279"/>
      <c r="L164" s="279"/>
      <c r="M164" s="279"/>
      <c r="N164" s="279"/>
      <c r="O164" s="279"/>
      <c r="P164" s="279"/>
      <c r="Q164" s="279"/>
      <c r="R164" s="279"/>
      <c r="S164" s="279"/>
      <c r="T164" s="279"/>
      <c r="U164" s="279"/>
      <c r="V164" s="330">
        <f>-V113</f>
        <v>150</v>
      </c>
      <c r="W164" s="310"/>
      <c r="X164" s="5"/>
    </row>
    <row r="165" spans="1:24" ht="15.6" x14ac:dyDescent="0.3">
      <c r="A165" s="278"/>
      <c r="B165" s="279" t="s">
        <v>55</v>
      </c>
      <c r="C165" s="279"/>
      <c r="D165" s="279"/>
      <c r="E165" s="279"/>
      <c r="F165" s="279"/>
      <c r="G165" s="279"/>
      <c r="H165" s="279"/>
      <c r="I165" s="279"/>
      <c r="J165" s="279"/>
      <c r="K165" s="279"/>
      <c r="L165" s="279"/>
      <c r="M165" s="279"/>
      <c r="N165" s="279"/>
      <c r="O165" s="279"/>
      <c r="P165" s="279"/>
      <c r="Q165" s="279"/>
      <c r="R165" s="279"/>
      <c r="S165" s="279"/>
      <c r="T165" s="279"/>
      <c r="U165" s="279"/>
      <c r="V165" s="330">
        <f>V164+V163</f>
        <v>150</v>
      </c>
      <c r="W165" s="310"/>
      <c r="X165" s="5"/>
    </row>
    <row r="166" spans="1:24" ht="15.6" x14ac:dyDescent="0.3">
      <c r="A166" s="278"/>
      <c r="B166" s="399" t="s">
        <v>310</v>
      </c>
      <c r="C166" s="279"/>
      <c r="D166" s="279"/>
      <c r="E166" s="279"/>
      <c r="F166" s="279"/>
      <c r="G166" s="279"/>
      <c r="H166" s="279"/>
      <c r="I166" s="279"/>
      <c r="J166" s="279"/>
      <c r="K166" s="279"/>
      <c r="L166" s="279"/>
      <c r="M166" s="279"/>
      <c r="N166" s="279"/>
      <c r="O166" s="279"/>
      <c r="P166" s="279"/>
      <c r="Q166" s="279"/>
      <c r="R166" s="279"/>
      <c r="S166" s="279"/>
      <c r="T166" s="279"/>
      <c r="U166" s="279"/>
      <c r="V166" s="330">
        <f>V113</f>
        <v>-150</v>
      </c>
      <c r="W166" s="310"/>
      <c r="X166" s="5"/>
    </row>
    <row r="167" spans="1:24" ht="15.6" x14ac:dyDescent="0.3">
      <c r="A167" s="278"/>
      <c r="B167" s="279" t="s">
        <v>56</v>
      </c>
      <c r="C167" s="279"/>
      <c r="D167" s="279"/>
      <c r="E167" s="279"/>
      <c r="F167" s="279"/>
      <c r="G167" s="279"/>
      <c r="H167" s="279"/>
      <c r="I167" s="279"/>
      <c r="J167" s="279"/>
      <c r="K167" s="279"/>
      <c r="L167" s="279"/>
      <c r="M167" s="279"/>
      <c r="N167" s="279"/>
      <c r="O167" s="279"/>
      <c r="P167" s="279"/>
      <c r="Q167" s="279"/>
      <c r="R167" s="279"/>
      <c r="S167" s="279"/>
      <c r="T167" s="279"/>
      <c r="U167" s="279"/>
      <c r="V167" s="330">
        <f>V165+V166</f>
        <v>0</v>
      </c>
      <c r="W167" s="310"/>
      <c r="X167" s="5"/>
    </row>
    <row r="168" spans="1:24" ht="15.6" x14ac:dyDescent="0.3">
      <c r="A168" s="278"/>
      <c r="B168" s="279" t="s">
        <v>282</v>
      </c>
      <c r="C168" s="279"/>
      <c r="D168" s="279"/>
      <c r="E168" s="279"/>
      <c r="F168" s="279"/>
      <c r="G168" s="279"/>
      <c r="H168" s="279"/>
      <c r="I168" s="279"/>
      <c r="J168" s="279"/>
      <c r="K168" s="279"/>
      <c r="L168" s="279"/>
      <c r="M168" s="279"/>
      <c r="N168" s="279"/>
      <c r="O168" s="279"/>
      <c r="P168" s="279"/>
      <c r="Q168" s="279"/>
      <c r="R168" s="279"/>
      <c r="S168" s="279"/>
      <c r="T168" s="279"/>
      <c r="U168" s="279"/>
      <c r="V168" s="330">
        <f>-V99</f>
        <v>1</v>
      </c>
      <c r="W168" s="310"/>
      <c r="X168" s="5"/>
    </row>
    <row r="169" spans="1:24" ht="16.2" thickBot="1" x14ac:dyDescent="0.35">
      <c r="A169" s="177"/>
      <c r="B169" s="275"/>
      <c r="C169" s="275"/>
      <c r="D169" s="275"/>
      <c r="E169" s="275"/>
      <c r="F169" s="275"/>
      <c r="G169" s="275"/>
      <c r="H169" s="275"/>
      <c r="I169" s="275"/>
      <c r="J169" s="275"/>
      <c r="K169" s="275"/>
      <c r="L169" s="275"/>
      <c r="M169" s="275"/>
      <c r="N169" s="275"/>
      <c r="O169" s="275"/>
      <c r="P169" s="275"/>
      <c r="Q169" s="275"/>
      <c r="R169" s="275"/>
      <c r="S169" s="275"/>
      <c r="T169" s="275"/>
      <c r="U169" s="275"/>
      <c r="V169" s="338"/>
      <c r="W169" s="275"/>
      <c r="X169" s="5"/>
    </row>
    <row r="170" spans="1:24"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76"/>
      <c r="U170" s="176"/>
      <c r="V170" s="198"/>
      <c r="W170" s="176"/>
      <c r="X170" s="5"/>
    </row>
    <row r="171" spans="1:24" ht="15.6" x14ac:dyDescent="0.3">
      <c r="A171" s="177"/>
      <c r="B171" s="208" t="s">
        <v>57</v>
      </c>
      <c r="C171" s="179"/>
      <c r="D171" s="179"/>
      <c r="E171" s="179"/>
      <c r="F171" s="179"/>
      <c r="G171" s="179"/>
      <c r="H171" s="179"/>
      <c r="I171" s="179"/>
      <c r="J171" s="179"/>
      <c r="K171" s="179"/>
      <c r="L171" s="179"/>
      <c r="M171" s="179"/>
      <c r="N171" s="179"/>
      <c r="O171" s="179"/>
      <c r="P171" s="179"/>
      <c r="Q171" s="179"/>
      <c r="R171" s="179"/>
      <c r="S171" s="179"/>
      <c r="T171" s="179"/>
      <c r="U171" s="179"/>
      <c r="V171" s="199"/>
      <c r="W171" s="179"/>
      <c r="X171" s="5"/>
    </row>
    <row r="172" spans="1:24" ht="15.6" x14ac:dyDescent="0.3">
      <c r="A172" s="177"/>
      <c r="B172" s="186"/>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278"/>
      <c r="B173" s="279" t="s">
        <v>58</v>
      </c>
      <c r="C173" s="279"/>
      <c r="D173" s="279"/>
      <c r="E173" s="279"/>
      <c r="F173" s="279"/>
      <c r="G173" s="279"/>
      <c r="H173" s="279"/>
      <c r="I173" s="279"/>
      <c r="J173" s="279"/>
      <c r="K173" s="279"/>
      <c r="L173" s="279"/>
      <c r="M173" s="279"/>
      <c r="N173" s="279"/>
      <c r="O173" s="279"/>
      <c r="P173" s="279"/>
      <c r="Q173" s="279"/>
      <c r="R173" s="279"/>
      <c r="S173" s="279"/>
      <c r="T173" s="279"/>
      <c r="U173" s="279"/>
      <c r="V173" s="330">
        <f>V71</f>
        <v>982858</v>
      </c>
      <c r="W173" s="282"/>
      <c r="X173" s="5"/>
    </row>
    <row r="174" spans="1:24" ht="15.6" x14ac:dyDescent="0.3">
      <c r="A174" s="278"/>
      <c r="B174" s="279" t="s">
        <v>59</v>
      </c>
      <c r="C174" s="279"/>
      <c r="D174" s="279"/>
      <c r="E174" s="279"/>
      <c r="F174" s="279"/>
      <c r="G174" s="279"/>
      <c r="H174" s="279"/>
      <c r="I174" s="279"/>
      <c r="J174" s="279"/>
      <c r="K174" s="279"/>
      <c r="L174" s="279"/>
      <c r="M174" s="279"/>
      <c r="N174" s="279"/>
      <c r="O174" s="279"/>
      <c r="P174" s="279"/>
      <c r="Q174" s="279"/>
      <c r="R174" s="279"/>
      <c r="S174" s="279"/>
      <c r="T174" s="279"/>
      <c r="U174" s="279"/>
      <c r="V174" s="330">
        <f>V84</f>
        <v>982858</v>
      </c>
      <c r="W174" s="282"/>
      <c r="X174" s="5"/>
    </row>
    <row r="175" spans="1:24" ht="16.2" thickBot="1" x14ac:dyDescent="0.35">
      <c r="A175" s="177"/>
      <c r="B175" s="275"/>
      <c r="C175" s="275"/>
      <c r="D175" s="275"/>
      <c r="E175" s="275"/>
      <c r="F175" s="275"/>
      <c r="G175" s="275"/>
      <c r="H175" s="275"/>
      <c r="I175" s="275"/>
      <c r="J175" s="275"/>
      <c r="K175" s="275"/>
      <c r="L175" s="275"/>
      <c r="M175" s="275"/>
      <c r="N175" s="275"/>
      <c r="O175" s="275"/>
      <c r="P175" s="275"/>
      <c r="Q175" s="275"/>
      <c r="R175" s="275"/>
      <c r="S175" s="275"/>
      <c r="T175" s="275"/>
      <c r="U175" s="275"/>
      <c r="V175" s="338"/>
      <c r="W175" s="275"/>
      <c r="X175" s="5"/>
    </row>
    <row r="176" spans="1:24"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76"/>
      <c r="U176" s="176"/>
      <c r="V176" s="198"/>
      <c r="W176" s="176"/>
      <c r="X176" s="5"/>
    </row>
    <row r="177" spans="1:24" ht="15.6" x14ac:dyDescent="0.3">
      <c r="A177" s="177"/>
      <c r="B177" s="208" t="s">
        <v>60</v>
      </c>
      <c r="C177" s="203"/>
      <c r="D177" s="203"/>
      <c r="E177" s="203"/>
      <c r="F177" s="203"/>
      <c r="G177" s="203"/>
      <c r="H177" s="210"/>
      <c r="I177" s="210"/>
      <c r="J177" s="210"/>
      <c r="K177" s="210"/>
      <c r="L177" s="210"/>
      <c r="M177" s="210"/>
      <c r="N177" s="210"/>
      <c r="O177" s="210"/>
      <c r="P177" s="210"/>
      <c r="Q177" s="210"/>
      <c r="R177" s="210"/>
      <c r="S177" s="210" t="s">
        <v>103</v>
      </c>
      <c r="T177" s="210" t="s">
        <v>182</v>
      </c>
      <c r="U177" s="181"/>
      <c r="V177" s="211" t="s">
        <v>119</v>
      </c>
      <c r="W177" s="212"/>
      <c r="X177" s="5"/>
    </row>
    <row r="178" spans="1:24" ht="15.6" x14ac:dyDescent="0.3">
      <c r="A178" s="278"/>
      <c r="B178" s="279" t="s">
        <v>61</v>
      </c>
      <c r="C178" s="279"/>
      <c r="D178" s="279"/>
      <c r="E178" s="279"/>
      <c r="F178" s="279"/>
      <c r="G178" s="279"/>
      <c r="H178" s="279"/>
      <c r="I178" s="279"/>
      <c r="J178" s="279"/>
      <c r="K178" s="279"/>
      <c r="L178" s="279"/>
      <c r="M178" s="279"/>
      <c r="N178" s="279"/>
      <c r="O178" s="279"/>
      <c r="P178" s="279"/>
      <c r="Q178" s="279"/>
      <c r="R178" s="279"/>
      <c r="S178" s="330">
        <f>+V34*0.16</f>
        <v>240032.80000000002</v>
      </c>
      <c r="T178" s="317"/>
      <c r="U178" s="279"/>
      <c r="V178" s="330"/>
      <c r="W178" s="310"/>
      <c r="X178" s="5"/>
    </row>
    <row r="179" spans="1:24" ht="15.6" x14ac:dyDescent="0.3">
      <c r="A179" s="278"/>
      <c r="B179" s="279" t="s">
        <v>62</v>
      </c>
      <c r="C179" s="279"/>
      <c r="D179" s="279"/>
      <c r="E179" s="279"/>
      <c r="F179" s="279"/>
      <c r="G179" s="279"/>
      <c r="H179" s="279"/>
      <c r="I179" s="279"/>
      <c r="J179" s="279"/>
      <c r="K179" s="279"/>
      <c r="L179" s="279"/>
      <c r="M179" s="279"/>
      <c r="N179" s="279"/>
      <c r="O179" s="279"/>
      <c r="P179" s="279"/>
      <c r="Q179" s="279"/>
      <c r="R179" s="279"/>
      <c r="S179" s="330">
        <f>+'April 12'!S181</f>
        <v>48524</v>
      </c>
      <c r="T179" s="330">
        <f>+'April 12'!T181</f>
        <v>6362</v>
      </c>
      <c r="U179" s="279"/>
      <c r="V179" s="330">
        <f>S179+T179</f>
        <v>54886</v>
      </c>
      <c r="W179" s="310"/>
      <c r="X179" s="5"/>
    </row>
    <row r="180" spans="1:24" ht="15.6" x14ac:dyDescent="0.3">
      <c r="A180" s="278"/>
      <c r="B180" s="279" t="s">
        <v>63</v>
      </c>
      <c r="C180" s="279"/>
      <c r="D180" s="279"/>
      <c r="E180" s="279"/>
      <c r="F180" s="279"/>
      <c r="G180" s="279"/>
      <c r="H180" s="279"/>
      <c r="I180" s="279"/>
      <c r="J180" s="279"/>
      <c r="K180" s="279"/>
      <c r="L180" s="279"/>
      <c r="M180" s="279"/>
      <c r="N180" s="279"/>
      <c r="O180" s="279"/>
      <c r="P180" s="279"/>
      <c r="Q180" s="279"/>
      <c r="R180" s="279"/>
      <c r="S180" s="329">
        <v>515</v>
      </c>
      <c r="T180" s="329">
        <v>0</v>
      </c>
      <c r="U180" s="279"/>
      <c r="V180" s="330">
        <f>S180+T180</f>
        <v>515</v>
      </c>
      <c r="W180" s="310"/>
      <c r="X180" s="5"/>
    </row>
    <row r="181" spans="1:24" ht="15.6" x14ac:dyDescent="0.3">
      <c r="A181" s="278"/>
      <c r="B181" s="279" t="s">
        <v>64</v>
      </c>
      <c r="C181" s="279"/>
      <c r="D181" s="279"/>
      <c r="E181" s="279"/>
      <c r="F181" s="279"/>
      <c r="G181" s="279"/>
      <c r="H181" s="279"/>
      <c r="I181" s="279"/>
      <c r="J181" s="279"/>
      <c r="K181" s="279"/>
      <c r="L181" s="279"/>
      <c r="M181" s="279"/>
      <c r="N181" s="279"/>
      <c r="O181" s="279"/>
      <c r="P181" s="279"/>
      <c r="Q181" s="279"/>
      <c r="R181" s="279"/>
      <c r="S181" s="330">
        <f>S179+S180</f>
        <v>49039</v>
      </c>
      <c r="T181" s="330">
        <f>T180+T179</f>
        <v>6362</v>
      </c>
      <c r="U181" s="279"/>
      <c r="V181" s="330">
        <f>S181+T181</f>
        <v>55401</v>
      </c>
      <c r="W181" s="310"/>
      <c r="X181" s="5"/>
    </row>
    <row r="182" spans="1:24" ht="15.6" x14ac:dyDescent="0.3">
      <c r="A182" s="278"/>
      <c r="B182" s="279" t="s">
        <v>65</v>
      </c>
      <c r="C182" s="279"/>
      <c r="D182" s="279"/>
      <c r="E182" s="279"/>
      <c r="F182" s="279"/>
      <c r="G182" s="279"/>
      <c r="H182" s="279"/>
      <c r="I182" s="279"/>
      <c r="J182" s="279"/>
      <c r="K182" s="279"/>
      <c r="L182" s="279"/>
      <c r="M182" s="279"/>
      <c r="N182" s="279"/>
      <c r="O182" s="279"/>
      <c r="P182" s="279"/>
      <c r="Q182" s="279"/>
      <c r="R182" s="279"/>
      <c r="S182" s="330">
        <f>S178-S181-T181</f>
        <v>184631.80000000002</v>
      </c>
      <c r="T182" s="317"/>
      <c r="U182" s="279"/>
      <c r="V182" s="330"/>
      <c r="W182" s="310"/>
      <c r="X182" s="5"/>
    </row>
    <row r="183" spans="1:24" ht="16.2" thickBot="1" x14ac:dyDescent="0.35">
      <c r="A183" s="177"/>
      <c r="B183" s="275"/>
      <c r="C183" s="275"/>
      <c r="D183" s="275"/>
      <c r="E183" s="275"/>
      <c r="F183" s="275"/>
      <c r="G183" s="275"/>
      <c r="H183" s="275"/>
      <c r="I183" s="275"/>
      <c r="J183" s="275"/>
      <c r="K183" s="275"/>
      <c r="L183" s="275"/>
      <c r="M183" s="275"/>
      <c r="N183" s="275"/>
      <c r="O183" s="275"/>
      <c r="P183" s="275"/>
      <c r="Q183" s="275"/>
      <c r="R183" s="275"/>
      <c r="S183" s="275"/>
      <c r="T183" s="275"/>
      <c r="U183" s="275"/>
      <c r="V183" s="338"/>
      <c r="W183" s="275"/>
      <c r="X183" s="5"/>
    </row>
    <row r="184" spans="1:24"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76"/>
      <c r="U184" s="176"/>
      <c r="V184" s="198"/>
      <c r="W184" s="176"/>
      <c r="X184" s="5"/>
    </row>
    <row r="185" spans="1:24" ht="15.6" x14ac:dyDescent="0.3">
      <c r="A185" s="177"/>
      <c r="B185" s="208" t="s">
        <v>66</v>
      </c>
      <c r="C185" s="179"/>
      <c r="D185" s="179"/>
      <c r="E185" s="179"/>
      <c r="F185" s="179"/>
      <c r="G185" s="179"/>
      <c r="H185" s="179"/>
      <c r="I185" s="179"/>
      <c r="J185" s="179"/>
      <c r="K185" s="179"/>
      <c r="L185" s="179"/>
      <c r="M185" s="179"/>
      <c r="N185" s="179"/>
      <c r="O185" s="179"/>
      <c r="P185" s="179"/>
      <c r="Q185" s="179"/>
      <c r="R185" s="179"/>
      <c r="S185" s="179"/>
      <c r="T185" s="179"/>
      <c r="U185" s="179"/>
      <c r="V185" s="213"/>
      <c r="W185" s="179"/>
      <c r="X185" s="5"/>
    </row>
    <row r="186" spans="1:24" ht="15.6" x14ac:dyDescent="0.3">
      <c r="A186" s="278"/>
      <c r="B186" s="279" t="s">
        <v>67</v>
      </c>
      <c r="C186" s="279"/>
      <c r="D186" s="279"/>
      <c r="E186" s="279"/>
      <c r="F186" s="279"/>
      <c r="G186" s="279"/>
      <c r="H186" s="279"/>
      <c r="I186" s="279"/>
      <c r="J186" s="279"/>
      <c r="K186" s="279"/>
      <c r="L186" s="279"/>
      <c r="M186" s="279"/>
      <c r="N186" s="279"/>
      <c r="O186" s="279"/>
      <c r="P186" s="279"/>
      <c r="Q186" s="279"/>
      <c r="R186" s="279"/>
      <c r="S186" s="279"/>
      <c r="T186" s="279"/>
      <c r="U186" s="279"/>
      <c r="V186" s="339">
        <f>(V100+V102+V103+V104+V105)/-(V106+V107)</f>
        <v>2.8011204481792715</v>
      </c>
      <c r="W186" s="282" t="s">
        <v>120</v>
      </c>
      <c r="X186" s="5"/>
    </row>
    <row r="187" spans="1:24" ht="15.6" x14ac:dyDescent="0.3">
      <c r="A187" s="278"/>
      <c r="B187" s="279" t="s">
        <v>68</v>
      </c>
      <c r="C187" s="279"/>
      <c r="D187" s="279"/>
      <c r="E187" s="279"/>
      <c r="F187" s="279"/>
      <c r="G187" s="279"/>
      <c r="H187" s="279"/>
      <c r="I187" s="279"/>
      <c r="J187" s="279"/>
      <c r="K187" s="279"/>
      <c r="L187" s="279"/>
      <c r="M187" s="279"/>
      <c r="N187" s="279"/>
      <c r="O187" s="279"/>
      <c r="P187" s="279"/>
      <c r="Q187" s="279"/>
      <c r="R187" s="279"/>
      <c r="S187" s="279"/>
      <c r="T187" s="279"/>
      <c r="U187" s="279"/>
      <c r="V187" s="341">
        <v>1.62</v>
      </c>
      <c r="W187" s="282" t="s">
        <v>120</v>
      </c>
      <c r="X187" s="5"/>
    </row>
    <row r="188" spans="1:24" ht="15.6" x14ac:dyDescent="0.3">
      <c r="A188" s="278"/>
      <c r="B188" s="279" t="s">
        <v>69</v>
      </c>
      <c r="C188" s="279"/>
      <c r="D188" s="279"/>
      <c r="E188" s="279"/>
      <c r="F188" s="279"/>
      <c r="G188" s="279"/>
      <c r="H188" s="279"/>
      <c r="I188" s="279"/>
      <c r="J188" s="279"/>
      <c r="K188" s="279"/>
      <c r="L188" s="279"/>
      <c r="M188" s="279"/>
      <c r="N188" s="279"/>
      <c r="O188" s="279"/>
      <c r="P188" s="279"/>
      <c r="Q188" s="279"/>
      <c r="R188" s="279"/>
      <c r="S188" s="279"/>
      <c r="T188" s="279"/>
      <c r="U188" s="279"/>
      <c r="V188" s="339">
        <f>(V100+V102+V103+V104+V105+V106+V107)/-(V108+V109)</f>
        <v>10.615566037735849</v>
      </c>
      <c r="W188" s="282" t="s">
        <v>120</v>
      </c>
      <c r="X188" s="5"/>
    </row>
    <row r="189" spans="1:24" ht="15.6" x14ac:dyDescent="0.3">
      <c r="A189" s="278"/>
      <c r="B189" s="279" t="s">
        <v>70</v>
      </c>
      <c r="C189" s="279"/>
      <c r="D189" s="279"/>
      <c r="E189" s="279"/>
      <c r="F189" s="279"/>
      <c r="G189" s="279"/>
      <c r="H189" s="279"/>
      <c r="I189" s="279"/>
      <c r="J189" s="279"/>
      <c r="K189" s="279"/>
      <c r="L189" s="279"/>
      <c r="M189" s="279"/>
      <c r="N189" s="279"/>
      <c r="O189" s="279"/>
      <c r="P189" s="279"/>
      <c r="Q189" s="279"/>
      <c r="R189" s="279"/>
      <c r="S189" s="279"/>
      <c r="T189" s="279"/>
      <c r="U189" s="279"/>
      <c r="V189" s="341">
        <v>5.69</v>
      </c>
      <c r="W189" s="282" t="s">
        <v>120</v>
      </c>
      <c r="X189" s="5"/>
    </row>
    <row r="190" spans="1:24" ht="15.6" x14ac:dyDescent="0.3">
      <c r="A190" s="278"/>
      <c r="B190" s="279" t="s">
        <v>204</v>
      </c>
      <c r="C190" s="279"/>
      <c r="D190" s="279"/>
      <c r="E190" s="279"/>
      <c r="F190" s="279"/>
      <c r="G190" s="279"/>
      <c r="H190" s="279"/>
      <c r="I190" s="279"/>
      <c r="J190" s="279"/>
      <c r="K190" s="279"/>
      <c r="L190" s="279"/>
      <c r="M190" s="279"/>
      <c r="N190" s="279"/>
      <c r="O190" s="279"/>
      <c r="P190" s="279"/>
      <c r="Q190" s="279"/>
      <c r="R190" s="279"/>
      <c r="S190" s="279"/>
      <c r="T190" s="279"/>
      <c r="U190" s="279"/>
      <c r="V190" s="339">
        <f>(V100+V102+V103+V104+V105+V106+V107+V108+V109)/-(V110+V111)</f>
        <v>9.1412556053811667</v>
      </c>
      <c r="W190" s="282" t="s">
        <v>120</v>
      </c>
      <c r="X190" s="5"/>
    </row>
    <row r="191" spans="1:24" ht="15.6" x14ac:dyDescent="0.3">
      <c r="A191" s="278"/>
      <c r="B191" s="279" t="s">
        <v>205</v>
      </c>
      <c r="C191" s="279"/>
      <c r="D191" s="279"/>
      <c r="E191" s="279"/>
      <c r="F191" s="279"/>
      <c r="G191" s="279"/>
      <c r="H191" s="279"/>
      <c r="I191" s="279"/>
      <c r="J191" s="279"/>
      <c r="K191" s="279"/>
      <c r="L191" s="279"/>
      <c r="M191" s="279"/>
      <c r="N191" s="279"/>
      <c r="O191" s="279"/>
      <c r="P191" s="279"/>
      <c r="Q191" s="279"/>
      <c r="R191" s="279"/>
      <c r="S191" s="279"/>
      <c r="T191" s="279"/>
      <c r="U191" s="279"/>
      <c r="V191" s="341">
        <v>5.37</v>
      </c>
      <c r="W191" s="282" t="s">
        <v>120</v>
      </c>
      <c r="X191" s="5"/>
    </row>
    <row r="192" spans="1:24" ht="15.6" x14ac:dyDescent="0.3">
      <c r="A192" s="278"/>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82"/>
      <c r="X192" s="5"/>
    </row>
    <row r="193" spans="1:24" ht="15.6" x14ac:dyDescent="0.3">
      <c r="A193" s="177"/>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5"/>
    </row>
    <row r="194" spans="1:24" ht="15.6" x14ac:dyDescent="0.3">
      <c r="A194" s="177"/>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5"/>
    </row>
    <row r="195" spans="1:24" ht="18" thickBot="1" x14ac:dyDescent="0.35">
      <c r="A195" s="194"/>
      <c r="B195" s="264" t="str">
        <f>B135</f>
        <v>PM12 INVESTOR REPORT QUARTER ENDING JULY 2012</v>
      </c>
      <c r="C195" s="265"/>
      <c r="D195" s="265"/>
      <c r="E195" s="265"/>
      <c r="F195" s="265"/>
      <c r="G195" s="265"/>
      <c r="H195" s="265"/>
      <c r="I195" s="265"/>
      <c r="J195" s="265"/>
      <c r="K195" s="265"/>
      <c r="L195" s="265"/>
      <c r="M195" s="265"/>
      <c r="N195" s="265"/>
      <c r="O195" s="265"/>
      <c r="P195" s="265"/>
      <c r="Q195" s="265"/>
      <c r="R195" s="265"/>
      <c r="S195" s="265"/>
      <c r="T195" s="265"/>
      <c r="U195" s="265"/>
      <c r="V195" s="265"/>
      <c r="W195" s="266"/>
      <c r="X195" s="5"/>
    </row>
    <row r="196" spans="1:24" ht="15.6" x14ac:dyDescent="0.3">
      <c r="A196" s="235"/>
      <c r="B196" s="392" t="s">
        <v>71</v>
      </c>
      <c r="C196" s="393"/>
      <c r="D196" s="393"/>
      <c r="E196" s="393"/>
      <c r="F196" s="393"/>
      <c r="G196" s="394"/>
      <c r="H196" s="394"/>
      <c r="I196" s="394"/>
      <c r="J196" s="394"/>
      <c r="K196" s="394"/>
      <c r="L196" s="394"/>
      <c r="M196" s="394"/>
      <c r="N196" s="394"/>
      <c r="O196" s="394"/>
      <c r="P196" s="394"/>
      <c r="Q196" s="394"/>
      <c r="R196" s="394"/>
      <c r="S196" s="394"/>
      <c r="T196" s="394">
        <v>41121</v>
      </c>
      <c r="U196" s="236"/>
      <c r="V196" s="236"/>
      <c r="W196" s="236"/>
      <c r="X196" s="5"/>
    </row>
    <row r="197" spans="1:24" ht="15.6" x14ac:dyDescent="0.3">
      <c r="A197" s="214"/>
      <c r="B197" s="215"/>
      <c r="C197" s="216"/>
      <c r="D197" s="216"/>
      <c r="E197" s="216"/>
      <c r="F197" s="216"/>
      <c r="G197" s="217"/>
      <c r="H197" s="217"/>
      <c r="I197" s="217"/>
      <c r="J197" s="217"/>
      <c r="K197" s="217"/>
      <c r="L197" s="217"/>
      <c r="M197" s="217"/>
      <c r="N197" s="217"/>
      <c r="O197" s="217"/>
      <c r="P197" s="217"/>
      <c r="Q197" s="217"/>
      <c r="R197" s="217"/>
      <c r="S197" s="217"/>
      <c r="T197" s="217"/>
      <c r="U197" s="179"/>
      <c r="V197" s="179"/>
      <c r="W197" s="179"/>
      <c r="X197" s="5"/>
    </row>
    <row r="198" spans="1:24" ht="15.6" x14ac:dyDescent="0.3">
      <c r="A198" s="344"/>
      <c r="B198" s="279" t="s">
        <v>72</v>
      </c>
      <c r="C198" s="395"/>
      <c r="D198" s="395"/>
      <c r="E198" s="395"/>
      <c r="F198" s="395"/>
      <c r="G198" s="386"/>
      <c r="H198" s="386"/>
      <c r="I198" s="386"/>
      <c r="J198" s="386"/>
      <c r="K198" s="386"/>
      <c r="L198" s="386"/>
      <c r="M198" s="386"/>
      <c r="N198" s="386"/>
      <c r="O198" s="386"/>
      <c r="P198" s="386"/>
      <c r="Q198" s="386"/>
      <c r="R198" s="386"/>
      <c r="S198" s="386"/>
      <c r="T198" s="313">
        <v>5.2060000000000002E-2</v>
      </c>
      <c r="U198" s="279"/>
      <c r="V198" s="279"/>
      <c r="W198" s="310"/>
      <c r="X198" s="5"/>
    </row>
    <row r="199" spans="1:24" ht="15.6" x14ac:dyDescent="0.3">
      <c r="A199" s="344"/>
      <c r="B199" s="279" t="s">
        <v>156</v>
      </c>
      <c r="C199" s="395"/>
      <c r="D199" s="395"/>
      <c r="E199" s="395"/>
      <c r="F199" s="395"/>
      <c r="G199" s="386"/>
      <c r="H199" s="386"/>
      <c r="I199" s="386"/>
      <c r="J199" s="386"/>
      <c r="K199" s="386"/>
      <c r="L199" s="386"/>
      <c r="M199" s="386"/>
      <c r="N199" s="386"/>
      <c r="O199" s="386"/>
      <c r="P199" s="386"/>
      <c r="Q199" s="386"/>
      <c r="R199" s="386"/>
      <c r="S199" s="386"/>
      <c r="T199" s="313">
        <f>'Oct 06'!T197</f>
        <v>4.8538814772447772E-2</v>
      </c>
      <c r="U199" s="279"/>
      <c r="V199" s="279"/>
      <c r="W199" s="310"/>
      <c r="X199" s="5"/>
    </row>
    <row r="200" spans="1:24" ht="15.6" x14ac:dyDescent="0.3">
      <c r="A200" s="344"/>
      <c r="B200" s="279" t="s">
        <v>73</v>
      </c>
      <c r="C200" s="395"/>
      <c r="D200" s="395"/>
      <c r="E200" s="395"/>
      <c r="F200" s="395"/>
      <c r="G200" s="386"/>
      <c r="H200" s="386"/>
      <c r="I200" s="386"/>
      <c r="J200" s="386"/>
      <c r="K200" s="386"/>
      <c r="L200" s="386"/>
      <c r="M200" s="386"/>
      <c r="N200" s="386"/>
      <c r="O200" s="386"/>
      <c r="P200" s="386"/>
      <c r="Q200" s="386"/>
      <c r="R200" s="386"/>
      <c r="S200" s="386"/>
      <c r="T200" s="313">
        <f>T198-T199</f>
        <v>3.5211852275522301E-3</v>
      </c>
      <c r="U200" s="279"/>
      <c r="V200" s="279"/>
      <c r="W200" s="310"/>
      <c r="X200" s="5"/>
    </row>
    <row r="201" spans="1:24" ht="15.6" x14ac:dyDescent="0.3">
      <c r="A201" s="344"/>
      <c r="B201" s="279" t="s">
        <v>74</v>
      </c>
      <c r="C201" s="395"/>
      <c r="D201" s="395"/>
      <c r="E201" s="395"/>
      <c r="F201" s="395"/>
      <c r="G201" s="386"/>
      <c r="H201" s="386"/>
      <c r="I201" s="386"/>
      <c r="J201" s="386"/>
      <c r="K201" s="386"/>
      <c r="L201" s="386"/>
      <c r="M201" s="386"/>
      <c r="N201" s="386"/>
      <c r="O201" s="386"/>
      <c r="P201" s="386"/>
      <c r="Q201" s="386"/>
      <c r="R201" s="386"/>
      <c r="S201" s="386"/>
      <c r="T201" s="313">
        <v>2.5940000000000001E-2</v>
      </c>
      <c r="U201" s="279"/>
      <c r="V201" s="279"/>
      <c r="W201" s="310"/>
      <c r="X201" s="5"/>
    </row>
    <row r="202" spans="1:24" ht="15.6" x14ac:dyDescent="0.3">
      <c r="A202" s="344"/>
      <c r="B202" s="279" t="s">
        <v>225</v>
      </c>
      <c r="C202" s="395"/>
      <c r="D202" s="395"/>
      <c r="E202" s="395"/>
      <c r="F202" s="395"/>
      <c r="G202" s="386"/>
      <c r="H202" s="386"/>
      <c r="I202" s="386"/>
      <c r="J202" s="386"/>
      <c r="K202" s="386"/>
      <c r="L202" s="386"/>
      <c r="M202" s="386"/>
      <c r="N202" s="386"/>
      <c r="O202" s="386"/>
      <c r="P202" s="386"/>
      <c r="Q202" s="386"/>
      <c r="R202" s="386"/>
      <c r="S202" s="386"/>
      <c r="T202" s="313">
        <f>V43</f>
        <v>1.3536003932142373E-2</v>
      </c>
      <c r="U202" s="279"/>
      <c r="V202" s="279"/>
      <c r="W202" s="310"/>
      <c r="X202" s="5"/>
    </row>
    <row r="203" spans="1:24" ht="15.6" x14ac:dyDescent="0.3">
      <c r="A203" s="344"/>
      <c r="B203" s="279" t="s">
        <v>75</v>
      </c>
      <c r="C203" s="395"/>
      <c r="D203" s="395"/>
      <c r="E203" s="395"/>
      <c r="F203" s="395"/>
      <c r="G203" s="386"/>
      <c r="H203" s="386"/>
      <c r="I203" s="386"/>
      <c r="J203" s="386"/>
      <c r="K203" s="386"/>
      <c r="L203" s="386"/>
      <c r="M203" s="386"/>
      <c r="N203" s="386"/>
      <c r="O203" s="386"/>
      <c r="P203" s="386"/>
      <c r="Q203" s="386"/>
      <c r="R203" s="386"/>
      <c r="S203" s="386"/>
      <c r="T203" s="313">
        <f>T201-T202</f>
        <v>1.2403996067857628E-2</v>
      </c>
      <c r="U203" s="279"/>
      <c r="V203" s="279"/>
      <c r="W203" s="310"/>
      <c r="X203" s="5"/>
    </row>
    <row r="204" spans="1:24" ht="15.6" x14ac:dyDescent="0.3">
      <c r="A204" s="344"/>
      <c r="B204" s="279" t="s">
        <v>271</v>
      </c>
      <c r="C204" s="395"/>
      <c r="D204" s="395"/>
      <c r="E204" s="395"/>
      <c r="F204" s="395"/>
      <c r="G204" s="386"/>
      <c r="H204" s="386"/>
      <c r="I204" s="386"/>
      <c r="J204" s="386"/>
      <c r="K204" s="386"/>
      <c r="L204" s="386"/>
      <c r="M204" s="386"/>
      <c r="N204" s="386"/>
      <c r="O204" s="386"/>
      <c r="P204" s="386"/>
      <c r="Q204" s="386"/>
      <c r="R204" s="386"/>
      <c r="S204" s="386"/>
      <c r="T204" s="313">
        <f>+V100/N71</f>
        <v>7.7187589232012343E-3</v>
      </c>
      <c r="U204" s="279"/>
      <c r="V204" s="279"/>
      <c r="W204" s="310"/>
      <c r="X204" s="5"/>
    </row>
    <row r="205" spans="1:24" ht="15.6" x14ac:dyDescent="0.3">
      <c r="A205" s="344"/>
      <c r="B205" s="279" t="s">
        <v>214</v>
      </c>
      <c r="C205" s="395"/>
      <c r="D205" s="395"/>
      <c r="E205" s="395"/>
      <c r="F205" s="395"/>
      <c r="G205" s="386"/>
      <c r="H205" s="386"/>
      <c r="I205" s="386"/>
      <c r="J205" s="386"/>
      <c r="K205" s="386"/>
      <c r="L205" s="386"/>
      <c r="M205" s="386"/>
      <c r="N205" s="386"/>
      <c r="O205" s="386"/>
      <c r="P205" s="386"/>
      <c r="Q205" s="386"/>
      <c r="R205" s="386"/>
      <c r="S205" s="386"/>
      <c r="T205" s="346">
        <v>50710</v>
      </c>
      <c r="U205" s="279"/>
      <c r="V205" s="279"/>
      <c r="W205" s="310"/>
      <c r="X205" s="5"/>
    </row>
    <row r="206" spans="1:24" ht="15.6" x14ac:dyDescent="0.3">
      <c r="A206" s="344"/>
      <c r="B206" s="279" t="s">
        <v>215</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216</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76</v>
      </c>
      <c r="C208" s="395"/>
      <c r="D208" s="395"/>
      <c r="E208" s="395"/>
      <c r="F208" s="395"/>
      <c r="G208" s="386"/>
      <c r="H208" s="386"/>
      <c r="I208" s="386"/>
      <c r="J208" s="386"/>
      <c r="K208" s="386"/>
      <c r="L208" s="386"/>
      <c r="M208" s="386"/>
      <c r="N208" s="386"/>
      <c r="O208" s="386"/>
      <c r="P208" s="386"/>
      <c r="Q208" s="386"/>
      <c r="R208" s="386"/>
      <c r="S208" s="386"/>
      <c r="T208" s="319">
        <v>21.06</v>
      </c>
      <c r="U208" s="279" t="s">
        <v>115</v>
      </c>
      <c r="V208" s="279"/>
      <c r="W208" s="310"/>
      <c r="X208" s="5"/>
    </row>
    <row r="209" spans="1:24" ht="15.6" x14ac:dyDescent="0.3">
      <c r="A209" s="344"/>
      <c r="B209" s="279" t="s">
        <v>77</v>
      </c>
      <c r="C209" s="395"/>
      <c r="D209" s="395"/>
      <c r="E209" s="395"/>
      <c r="F209" s="395"/>
      <c r="G209" s="386"/>
      <c r="H209" s="386"/>
      <c r="I209" s="386"/>
      <c r="J209" s="386"/>
      <c r="K209" s="386"/>
      <c r="L209" s="386"/>
      <c r="M209" s="386"/>
      <c r="N209" s="386"/>
      <c r="O209" s="386"/>
      <c r="P209" s="386"/>
      <c r="Q209" s="386"/>
      <c r="R209" s="386"/>
      <c r="S209" s="386"/>
      <c r="T209" s="319">
        <v>15.14</v>
      </c>
      <c r="U209" s="279" t="s">
        <v>115</v>
      </c>
      <c r="V209" s="279"/>
      <c r="W209" s="310"/>
      <c r="X209" s="5"/>
    </row>
    <row r="210" spans="1:24" ht="15.6" x14ac:dyDescent="0.3">
      <c r="A210" s="344"/>
      <c r="B210" s="279" t="s">
        <v>78</v>
      </c>
      <c r="C210" s="395"/>
      <c r="D210" s="395"/>
      <c r="E210" s="395"/>
      <c r="F210" s="395"/>
      <c r="G210" s="386"/>
      <c r="H210" s="386"/>
      <c r="I210" s="386"/>
      <c r="J210" s="386"/>
      <c r="K210" s="386"/>
      <c r="L210" s="386"/>
      <c r="M210" s="386"/>
      <c r="N210" s="386"/>
      <c r="O210" s="386"/>
      <c r="P210" s="386"/>
      <c r="Q210" s="386"/>
      <c r="R210" s="386"/>
      <c r="S210" s="386"/>
      <c r="T210" s="313">
        <f>P68/N68</f>
        <v>5.3179747953106234E-3</v>
      </c>
      <c r="U210" s="279"/>
      <c r="V210" s="279"/>
      <c r="W210" s="310"/>
      <c r="X210" s="5"/>
    </row>
    <row r="211" spans="1:24" ht="15.6" x14ac:dyDescent="0.3">
      <c r="A211" s="344"/>
      <c r="B211" s="279" t="s">
        <v>79</v>
      </c>
      <c r="C211" s="395"/>
      <c r="D211" s="395"/>
      <c r="E211" s="395"/>
      <c r="F211" s="395"/>
      <c r="G211" s="386"/>
      <c r="H211" s="386"/>
      <c r="I211" s="386"/>
      <c r="J211" s="386"/>
      <c r="K211" s="386"/>
      <c r="L211" s="386"/>
      <c r="M211" s="386"/>
      <c r="N211" s="386"/>
      <c r="O211" s="386"/>
      <c r="P211" s="386"/>
      <c r="Q211" s="386"/>
      <c r="R211" s="386"/>
      <c r="S211" s="386"/>
      <c r="T211" s="313">
        <v>7.4200000000000002E-2</v>
      </c>
      <c r="U211" s="279"/>
      <c r="V211" s="279"/>
      <c r="W211" s="310"/>
      <c r="X211" s="5"/>
    </row>
    <row r="212" spans="1:24" ht="15.6" x14ac:dyDescent="0.3">
      <c r="A212" s="214"/>
      <c r="B212" s="342"/>
      <c r="C212" s="342"/>
      <c r="D212" s="342"/>
      <c r="E212" s="342"/>
      <c r="F212" s="342"/>
      <c r="G212" s="275"/>
      <c r="H212" s="275"/>
      <c r="I212" s="275"/>
      <c r="J212" s="275"/>
      <c r="K212" s="275"/>
      <c r="L212" s="275"/>
      <c r="M212" s="275"/>
      <c r="N212" s="275"/>
      <c r="O212" s="275"/>
      <c r="P212" s="275"/>
      <c r="Q212" s="275"/>
      <c r="R212" s="275"/>
      <c r="S212" s="275"/>
      <c r="T212" s="338"/>
      <c r="U212" s="275"/>
      <c r="V212" s="343"/>
      <c r="W212" s="275"/>
      <c r="X212" s="5"/>
    </row>
    <row r="213" spans="1:24" ht="15.6" x14ac:dyDescent="0.3">
      <c r="A213" s="241"/>
      <c r="B213" s="388" t="s">
        <v>80</v>
      </c>
      <c r="C213" s="389"/>
      <c r="D213" s="389"/>
      <c r="E213" s="389"/>
      <c r="F213" s="396"/>
      <c r="G213" s="389"/>
      <c r="H213" s="389"/>
      <c r="I213" s="389"/>
      <c r="J213" s="389"/>
      <c r="K213" s="389"/>
      <c r="L213" s="389"/>
      <c r="M213" s="389"/>
      <c r="N213" s="389"/>
      <c r="O213" s="389"/>
      <c r="P213" s="389"/>
      <c r="Q213" s="389"/>
      <c r="R213" s="389"/>
      <c r="S213" s="389" t="s">
        <v>104</v>
      </c>
      <c r="T213" s="396" t="s">
        <v>111</v>
      </c>
      <c r="U213" s="224"/>
      <c r="V213" s="224"/>
      <c r="W213" s="224"/>
      <c r="X213" s="5"/>
    </row>
    <row r="214" spans="1:24" ht="15.6" x14ac:dyDescent="0.3">
      <c r="A214" s="219"/>
      <c r="B214" s="248" t="s">
        <v>81</v>
      </c>
      <c r="C214" s="204"/>
      <c r="D214" s="204"/>
      <c r="E214" s="204"/>
      <c r="F214" s="190"/>
      <c r="G214" s="190"/>
      <c r="H214" s="191"/>
      <c r="I214" s="191"/>
      <c r="J214" s="191"/>
      <c r="K214" s="191"/>
      <c r="L214" s="191"/>
      <c r="M214" s="191"/>
      <c r="N214" s="191"/>
      <c r="O214" s="191"/>
      <c r="P214" s="191"/>
      <c r="Q214" s="191"/>
      <c r="R214" s="191"/>
      <c r="S214" s="262">
        <v>11</v>
      </c>
      <c r="T214" s="263">
        <v>1895</v>
      </c>
      <c r="U214" s="190"/>
      <c r="V214" s="218"/>
      <c r="W214" s="220"/>
      <c r="X214" s="5"/>
    </row>
    <row r="215" spans="1:24" ht="15.6" x14ac:dyDescent="0.3">
      <c r="A215" s="352"/>
      <c r="B215" s="279" t="s">
        <v>150</v>
      </c>
      <c r="C215" s="353"/>
      <c r="D215" s="353"/>
      <c r="E215" s="353"/>
      <c r="F215" s="305"/>
      <c r="G215" s="305"/>
      <c r="H215" s="308"/>
      <c r="I215" s="308"/>
      <c r="J215" s="308"/>
      <c r="K215" s="308"/>
      <c r="L215" s="308"/>
      <c r="M215" s="308"/>
      <c r="N215" s="308"/>
      <c r="O215" s="308"/>
      <c r="P215" s="308"/>
      <c r="Q215" s="308"/>
      <c r="R215" s="308"/>
      <c r="S215" s="354">
        <f>+R267</f>
        <v>146</v>
      </c>
      <c r="T215" s="355">
        <f>+T267</f>
        <v>23746</v>
      </c>
      <c r="U215" s="305"/>
      <c r="V215" s="356"/>
      <c r="W215" s="357"/>
      <c r="X215" s="5"/>
    </row>
    <row r="216" spans="1:24" ht="15.6" x14ac:dyDescent="0.3">
      <c r="A216" s="352"/>
      <c r="B216" s="279" t="s">
        <v>82</v>
      </c>
      <c r="C216" s="353"/>
      <c r="D216" s="353"/>
      <c r="E216" s="353"/>
      <c r="F216" s="305"/>
      <c r="G216" s="305"/>
      <c r="H216" s="308"/>
      <c r="I216" s="308"/>
      <c r="J216" s="308"/>
      <c r="K216" s="308"/>
      <c r="L216" s="308"/>
      <c r="M216" s="308"/>
      <c r="N216" s="308"/>
      <c r="O216" s="308"/>
      <c r="P216" s="308"/>
      <c r="Q216" s="308"/>
      <c r="R216" s="308"/>
      <c r="S216" s="354">
        <f>+R279</f>
        <v>2</v>
      </c>
      <c r="T216" s="355">
        <f>+T279</f>
        <v>214</v>
      </c>
      <c r="U216" s="305"/>
      <c r="V216" s="356"/>
      <c r="W216" s="357"/>
      <c r="X216" s="5"/>
    </row>
    <row r="217" spans="1:24" ht="15.6" x14ac:dyDescent="0.3">
      <c r="A217" s="352"/>
      <c r="B217" s="304" t="s">
        <v>83</v>
      </c>
      <c r="C217" s="353"/>
      <c r="D217" s="353"/>
      <c r="E217" s="353"/>
      <c r="F217" s="305"/>
      <c r="G217" s="305"/>
      <c r="H217" s="305"/>
      <c r="I217" s="305"/>
      <c r="J217" s="305"/>
      <c r="K217" s="305"/>
      <c r="L217" s="305"/>
      <c r="M217" s="305"/>
      <c r="N217" s="305"/>
      <c r="O217" s="305"/>
      <c r="P217" s="305"/>
      <c r="Q217" s="305"/>
      <c r="R217" s="305"/>
      <c r="S217" s="279"/>
      <c r="T217" s="355">
        <v>0</v>
      </c>
      <c r="U217" s="305"/>
      <c r="V217" s="356"/>
      <c r="W217" s="357"/>
      <c r="X217" s="5"/>
    </row>
    <row r="218" spans="1:24" ht="15.6" x14ac:dyDescent="0.3">
      <c r="A218" s="352"/>
      <c r="B218" s="304" t="s">
        <v>84</v>
      </c>
      <c r="C218" s="353"/>
      <c r="D218" s="353"/>
      <c r="E218" s="353"/>
      <c r="F218" s="305"/>
      <c r="G218" s="305"/>
      <c r="H218" s="305"/>
      <c r="I218" s="305"/>
      <c r="J218" s="305"/>
      <c r="K218" s="305"/>
      <c r="L218" s="305"/>
      <c r="M218" s="305"/>
      <c r="N218" s="305"/>
      <c r="O218" s="305"/>
      <c r="P218" s="305"/>
      <c r="Q218" s="305"/>
      <c r="R218" s="305"/>
      <c r="S218" s="279"/>
      <c r="T218" s="358" t="s">
        <v>112</v>
      </c>
      <c r="U218" s="305"/>
      <c r="V218" s="356"/>
      <c r="W218" s="357"/>
      <c r="X218" s="5"/>
    </row>
    <row r="219" spans="1:24" ht="15.6" x14ac:dyDescent="0.3">
      <c r="A219" s="359"/>
      <c r="B219" s="304" t="s">
        <v>85</v>
      </c>
      <c r="C219" s="360"/>
      <c r="D219" s="360"/>
      <c r="E219" s="360"/>
      <c r="F219" s="360"/>
      <c r="G219" s="305"/>
      <c r="H219" s="305"/>
      <c r="I219" s="305"/>
      <c r="J219" s="305"/>
      <c r="K219" s="305"/>
      <c r="L219" s="305"/>
      <c r="M219" s="305"/>
      <c r="N219" s="305"/>
      <c r="O219" s="305"/>
      <c r="P219" s="305"/>
      <c r="Q219" s="305"/>
      <c r="R219" s="305"/>
      <c r="S219" s="279"/>
      <c r="T219" s="355"/>
      <c r="U219" s="305"/>
      <c r="V219" s="356"/>
      <c r="W219" s="361"/>
      <c r="X219" s="5"/>
    </row>
    <row r="220" spans="1:24" ht="15.6" x14ac:dyDescent="0.3">
      <c r="A220" s="359"/>
      <c r="B220" s="279" t="s">
        <v>86</v>
      </c>
      <c r="C220" s="360"/>
      <c r="D220" s="360"/>
      <c r="E220" s="360"/>
      <c r="F220" s="360"/>
      <c r="G220" s="305"/>
      <c r="H220" s="305"/>
      <c r="I220" s="305"/>
      <c r="J220" s="305"/>
      <c r="K220" s="305"/>
      <c r="L220" s="305"/>
      <c r="M220" s="305"/>
      <c r="N220" s="305"/>
      <c r="O220" s="305"/>
      <c r="P220" s="305"/>
      <c r="Q220" s="305"/>
      <c r="R220" s="305"/>
      <c r="S220" s="287"/>
      <c r="T220" s="355">
        <f>+V164</f>
        <v>150</v>
      </c>
      <c r="U220" s="305"/>
      <c r="V220" s="356"/>
      <c r="W220" s="361"/>
      <c r="X220" s="5"/>
    </row>
    <row r="221" spans="1:24" ht="15.6" x14ac:dyDescent="0.3">
      <c r="A221" s="352"/>
      <c r="B221" s="279" t="s">
        <v>87</v>
      </c>
      <c r="C221" s="353"/>
      <c r="D221" s="353"/>
      <c r="E221" s="353"/>
      <c r="F221" s="353"/>
      <c r="G221" s="305"/>
      <c r="H221" s="305"/>
      <c r="I221" s="305"/>
      <c r="J221" s="305"/>
      <c r="K221" s="305"/>
      <c r="L221" s="305"/>
      <c r="M221" s="305"/>
      <c r="N221" s="305"/>
      <c r="O221" s="305"/>
      <c r="P221" s="305"/>
      <c r="Q221" s="305"/>
      <c r="R221" s="305"/>
      <c r="S221" s="287"/>
      <c r="T221" s="355">
        <f>'April 12'!T221+'July 12'!T220</f>
        <v>3913</v>
      </c>
      <c r="U221" s="305"/>
      <c r="V221" s="356"/>
      <c r="W221" s="361"/>
      <c r="X221" s="5"/>
    </row>
    <row r="222" spans="1:24" ht="15.6" x14ac:dyDescent="0.3">
      <c r="A222" s="359"/>
      <c r="B222" s="304" t="s">
        <v>292</v>
      </c>
      <c r="C222" s="360"/>
      <c r="D222" s="360"/>
      <c r="E222" s="360"/>
      <c r="F222" s="360"/>
      <c r="G222" s="305"/>
      <c r="H222" s="305"/>
      <c r="I222" s="305"/>
      <c r="J222" s="305"/>
      <c r="K222" s="305"/>
      <c r="L222" s="305"/>
      <c r="M222" s="305"/>
      <c r="N222" s="305"/>
      <c r="O222" s="305"/>
      <c r="P222" s="305"/>
      <c r="Q222" s="305"/>
      <c r="R222" s="305"/>
      <c r="S222" s="287"/>
      <c r="T222" s="355"/>
      <c r="U222" s="305"/>
      <c r="V222" s="356"/>
      <c r="W222" s="361"/>
      <c r="X222" s="5"/>
    </row>
    <row r="223" spans="1:24" ht="15.6" x14ac:dyDescent="0.3">
      <c r="A223" s="359"/>
      <c r="B223" s="279" t="s">
        <v>290</v>
      </c>
      <c r="C223" s="360"/>
      <c r="D223" s="360"/>
      <c r="E223" s="360"/>
      <c r="F223" s="360"/>
      <c r="G223" s="305"/>
      <c r="H223" s="305"/>
      <c r="I223" s="305"/>
      <c r="J223" s="305"/>
      <c r="K223" s="305"/>
      <c r="L223" s="305"/>
      <c r="M223" s="305"/>
      <c r="N223" s="305"/>
      <c r="O223" s="305"/>
      <c r="P223" s="305"/>
      <c r="Q223" s="305"/>
      <c r="R223" s="305"/>
      <c r="S223" s="287">
        <v>1</v>
      </c>
      <c r="T223" s="355">
        <v>20</v>
      </c>
      <c r="U223" s="305"/>
      <c r="V223" s="356"/>
      <c r="W223" s="361"/>
      <c r="X223" s="5"/>
    </row>
    <row r="224" spans="1:24" ht="15.6" x14ac:dyDescent="0.3">
      <c r="A224" s="352"/>
      <c r="B224" s="279" t="s">
        <v>88</v>
      </c>
      <c r="C224" s="362"/>
      <c r="D224" s="362"/>
      <c r="E224" s="362"/>
      <c r="F224" s="363"/>
      <c r="G224" s="305"/>
      <c r="H224" s="305"/>
      <c r="I224" s="305"/>
      <c r="J224" s="305"/>
      <c r="K224" s="305"/>
      <c r="L224" s="305"/>
      <c r="M224" s="305"/>
      <c r="N224" s="305"/>
      <c r="O224" s="305"/>
      <c r="P224" s="305"/>
      <c r="Q224" s="305"/>
      <c r="R224" s="305"/>
      <c r="S224" s="279"/>
      <c r="T224" s="358">
        <v>4.78</v>
      </c>
      <c r="U224" s="305"/>
      <c r="V224" s="356"/>
      <c r="W224" s="361"/>
      <c r="X224" s="5"/>
    </row>
    <row r="225" spans="1:25" ht="15.6" x14ac:dyDescent="0.3">
      <c r="A225" s="352"/>
      <c r="B225" s="279" t="s">
        <v>89</v>
      </c>
      <c r="C225" s="362"/>
      <c r="D225" s="362"/>
      <c r="E225" s="362"/>
      <c r="F225" s="363"/>
      <c r="G225" s="305"/>
      <c r="H225" s="305"/>
      <c r="I225" s="305"/>
      <c r="J225" s="305"/>
      <c r="K225" s="305"/>
      <c r="L225" s="305"/>
      <c r="M225" s="305"/>
      <c r="N225" s="305"/>
      <c r="O225" s="305"/>
      <c r="P225" s="305"/>
      <c r="Q225" s="305"/>
      <c r="R225" s="305"/>
      <c r="S225" s="279"/>
      <c r="T225" s="358">
        <v>2.86</v>
      </c>
      <c r="U225" s="305"/>
      <c r="V225" s="356"/>
      <c r="W225" s="361"/>
      <c r="X225" s="5"/>
    </row>
    <row r="226" spans="1:25" ht="15.6" x14ac:dyDescent="0.3">
      <c r="A226" s="352"/>
      <c r="B226" s="304" t="s">
        <v>223</v>
      </c>
      <c r="C226" s="362"/>
      <c r="D226" s="362"/>
      <c r="E226" s="362"/>
      <c r="F226" s="363"/>
      <c r="G226" s="305"/>
      <c r="H226" s="305"/>
      <c r="I226" s="305"/>
      <c r="J226" s="305"/>
      <c r="K226" s="305"/>
      <c r="L226" s="305"/>
      <c r="M226" s="305"/>
      <c r="N226" s="305"/>
      <c r="O226" s="305"/>
      <c r="P226" s="305"/>
      <c r="Q226" s="305"/>
      <c r="R226" s="305"/>
      <c r="S226" s="279"/>
      <c r="T226" s="364"/>
      <c r="U226" s="305"/>
      <c r="V226" s="356"/>
      <c r="W226" s="361"/>
      <c r="X226" s="5"/>
    </row>
    <row r="227" spans="1:25" ht="15.6" x14ac:dyDescent="0.3">
      <c r="A227" s="352"/>
      <c r="B227" s="279" t="s">
        <v>290</v>
      </c>
      <c r="C227" s="362"/>
      <c r="D227" s="362"/>
      <c r="E227" s="362"/>
      <c r="F227" s="363"/>
      <c r="G227" s="305"/>
      <c r="H227" s="305"/>
      <c r="I227" s="305"/>
      <c r="J227" s="305"/>
      <c r="K227" s="305"/>
      <c r="L227" s="305"/>
      <c r="M227" s="305"/>
      <c r="N227" s="305"/>
      <c r="O227" s="305"/>
      <c r="P227" s="305"/>
      <c r="Q227" s="305"/>
      <c r="R227" s="305"/>
      <c r="S227" s="287">
        <v>8</v>
      </c>
      <c r="T227" s="355">
        <v>1030</v>
      </c>
      <c r="U227" s="305"/>
      <c r="V227" s="356"/>
      <c r="W227" s="361"/>
      <c r="X227" s="5"/>
    </row>
    <row r="228" spans="1:25" ht="15.6" x14ac:dyDescent="0.3">
      <c r="A228" s="352"/>
      <c r="B228" s="279" t="s">
        <v>224</v>
      </c>
      <c r="C228" s="362"/>
      <c r="D228" s="362"/>
      <c r="E228" s="362"/>
      <c r="F228" s="363"/>
      <c r="G228" s="305"/>
      <c r="H228" s="305"/>
      <c r="I228" s="305"/>
      <c r="J228" s="305"/>
      <c r="K228" s="305"/>
      <c r="L228" s="305"/>
      <c r="M228" s="305"/>
      <c r="N228" s="305"/>
      <c r="O228" s="305"/>
      <c r="P228" s="305"/>
      <c r="Q228" s="305"/>
      <c r="R228" s="305"/>
      <c r="S228" s="279"/>
      <c r="T228" s="358">
        <v>2.5099999999999998</v>
      </c>
      <c r="U228" s="305"/>
      <c r="V228" s="356"/>
      <c r="W228" s="361"/>
      <c r="X228" s="5"/>
    </row>
    <row r="229" spans="1:25" ht="15.6" x14ac:dyDescent="0.3">
      <c r="A229" s="352"/>
      <c r="B229" s="360"/>
      <c r="C229" s="362"/>
      <c r="D229" s="362"/>
      <c r="E229" s="362"/>
      <c r="F229" s="363"/>
      <c r="G229" s="305"/>
      <c r="H229" s="305"/>
      <c r="I229" s="305"/>
      <c r="J229" s="305"/>
      <c r="K229" s="305"/>
      <c r="L229" s="305"/>
      <c r="M229" s="305"/>
      <c r="N229" s="305"/>
      <c r="O229" s="305"/>
      <c r="P229" s="305"/>
      <c r="Q229" s="305"/>
      <c r="R229" s="305"/>
      <c r="S229" s="279"/>
      <c r="T229" s="364"/>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305"/>
      <c r="T230" s="365"/>
      <c r="U230" s="305"/>
      <c r="V230" s="356"/>
      <c r="W230" s="361"/>
      <c r="X230" s="5"/>
    </row>
    <row r="231" spans="1:25" ht="17.399999999999999" x14ac:dyDescent="0.3">
      <c r="A231" s="352"/>
      <c r="B231" s="366" t="s">
        <v>174</v>
      </c>
      <c r="C231" s="362"/>
      <c r="D231" s="362"/>
      <c r="E231" s="362"/>
      <c r="F231" s="363"/>
      <c r="G231" s="305"/>
      <c r="H231" s="305"/>
      <c r="I231" s="305"/>
      <c r="J231" s="305"/>
      <c r="K231" s="305"/>
      <c r="L231" s="305"/>
      <c r="M231" s="305"/>
      <c r="N231" s="305"/>
      <c r="O231" s="305"/>
      <c r="P231" s="367" t="s">
        <v>173</v>
      </c>
      <c r="Q231" s="305"/>
      <c r="R231" s="305"/>
      <c r="S231" s="305"/>
      <c r="T231" s="365"/>
      <c r="U231" s="305"/>
      <c r="V231" s="356"/>
      <c r="W231" s="361"/>
      <c r="X231" s="5"/>
    </row>
    <row r="232" spans="1:25" ht="15.6" x14ac:dyDescent="0.3">
      <c r="A232" s="347"/>
      <c r="B232" s="342"/>
      <c r="C232" s="348"/>
      <c r="D232" s="348"/>
      <c r="E232" s="348"/>
      <c r="F232" s="349"/>
      <c r="G232" s="275"/>
      <c r="H232" s="275"/>
      <c r="I232" s="275"/>
      <c r="J232" s="275"/>
      <c r="K232" s="275"/>
      <c r="L232" s="275"/>
      <c r="M232" s="275"/>
      <c r="N232" s="275"/>
      <c r="O232" s="275"/>
      <c r="P232" s="275"/>
      <c r="Q232" s="275"/>
      <c r="R232" s="275"/>
      <c r="S232" s="275"/>
      <c r="T232" s="350"/>
      <c r="U232" s="275"/>
      <c r="V232" s="343"/>
      <c r="W232" s="351"/>
      <c r="X232" s="5"/>
    </row>
    <row r="233" spans="1:25" ht="15.6" x14ac:dyDescent="0.3">
      <c r="A233" s="223"/>
      <c r="B233" s="388" t="s">
        <v>304</v>
      </c>
      <c r="C233" s="389"/>
      <c r="D233" s="389"/>
      <c r="E233" s="389"/>
      <c r="F233" s="396"/>
      <c r="G233" s="389"/>
      <c r="H233" s="389"/>
      <c r="I233" s="389"/>
      <c r="J233" s="389"/>
      <c r="K233" s="389"/>
      <c r="L233" s="389"/>
      <c r="M233" s="389"/>
      <c r="N233" s="389"/>
      <c r="O233" s="389"/>
      <c r="P233" s="389"/>
      <c r="Q233" s="389"/>
      <c r="R233" s="396" t="s">
        <v>104</v>
      </c>
      <c r="S233" s="389" t="s">
        <v>105</v>
      </c>
      <c r="T233" s="396" t="s">
        <v>113</v>
      </c>
      <c r="U233" s="389" t="s">
        <v>105</v>
      </c>
      <c r="V233" s="224"/>
      <c r="W233" s="388"/>
      <c r="X233" s="5"/>
    </row>
    <row r="234" spans="1:25" ht="15.6" x14ac:dyDescent="0.3">
      <c r="A234" s="189"/>
      <c r="B234" s="247" t="s">
        <v>90</v>
      </c>
      <c r="C234" s="261"/>
      <c r="D234" s="261"/>
      <c r="E234" s="261"/>
      <c r="F234" s="248"/>
      <c r="G234" s="261"/>
      <c r="H234" s="261"/>
      <c r="I234" s="261"/>
      <c r="J234" s="261"/>
      <c r="K234" s="261"/>
      <c r="L234" s="261"/>
      <c r="M234" s="261"/>
      <c r="N234" s="261"/>
      <c r="O234" s="261"/>
      <c r="P234" s="261"/>
      <c r="Q234" s="261"/>
      <c r="R234" s="329">
        <f t="shared" ref="R234:R241" si="1">+R246+R258+R270</f>
        <v>7245</v>
      </c>
      <c r="S234" s="372">
        <f t="shared" ref="S234:S241" si="2">R234/$R$243</f>
        <v>0.9866539561487131</v>
      </c>
      <c r="T234" s="330">
        <f t="shared" ref="T234:T241" si="3">+T246+T258+T270</f>
        <v>966594</v>
      </c>
      <c r="U234" s="372">
        <f t="shared" ref="U234:U241" si="4">T234/$T$243</f>
        <v>0.98345234001249415</v>
      </c>
      <c r="V234" s="218"/>
      <c r="W234" s="221"/>
      <c r="X234" s="5"/>
    </row>
    <row r="235" spans="1:25" ht="15.6" x14ac:dyDescent="0.3">
      <c r="A235" s="278"/>
      <c r="B235" s="329" t="s">
        <v>91</v>
      </c>
      <c r="C235" s="371"/>
      <c r="D235" s="371"/>
      <c r="E235" s="371"/>
      <c r="F235" s="279"/>
      <c r="G235" s="372"/>
      <c r="H235" s="371"/>
      <c r="I235" s="371"/>
      <c r="J235" s="371"/>
      <c r="K235" s="371"/>
      <c r="L235" s="371"/>
      <c r="M235" s="371"/>
      <c r="N235" s="371"/>
      <c r="O235" s="371"/>
      <c r="P235" s="371"/>
      <c r="Q235" s="371"/>
      <c r="R235" s="329">
        <f t="shared" si="1"/>
        <v>53</v>
      </c>
      <c r="S235" s="372">
        <f t="shared" si="2"/>
        <v>7.2177584093694675E-3</v>
      </c>
      <c r="T235" s="330">
        <f t="shared" si="3"/>
        <v>10213</v>
      </c>
      <c r="U235" s="372">
        <f t="shared" si="4"/>
        <v>1.0391124658902913E-2</v>
      </c>
      <c r="V235" s="356"/>
      <c r="W235" s="361"/>
      <c r="X235" s="5"/>
      <c r="Y235" s="109"/>
    </row>
    <row r="236" spans="1:25" ht="15.6" x14ac:dyDescent="0.3">
      <c r="A236" s="278"/>
      <c r="B236" s="329" t="s">
        <v>92</v>
      </c>
      <c r="C236" s="371"/>
      <c r="D236" s="371"/>
      <c r="E236" s="371"/>
      <c r="F236" s="279"/>
      <c r="G236" s="372"/>
      <c r="H236" s="371"/>
      <c r="I236" s="371"/>
      <c r="J236" s="371"/>
      <c r="K236" s="371"/>
      <c r="L236" s="371"/>
      <c r="M236" s="371"/>
      <c r="N236" s="371"/>
      <c r="O236" s="371"/>
      <c r="P236" s="371"/>
      <c r="Q236" s="371"/>
      <c r="R236" s="329">
        <f t="shared" si="1"/>
        <v>16</v>
      </c>
      <c r="S236" s="372">
        <f t="shared" si="2"/>
        <v>2.17894593490399E-3</v>
      </c>
      <c r="T236" s="330">
        <f t="shared" si="3"/>
        <v>1956</v>
      </c>
      <c r="U236" s="372">
        <f t="shared" si="4"/>
        <v>1.9901145435047584E-3</v>
      </c>
      <c r="V236" s="356"/>
      <c r="W236" s="361"/>
      <c r="X236" s="5"/>
    </row>
    <row r="237" spans="1:25" ht="15.6" x14ac:dyDescent="0.3">
      <c r="A237" s="278"/>
      <c r="B237" s="329" t="s">
        <v>161</v>
      </c>
      <c r="C237" s="371"/>
      <c r="D237" s="371"/>
      <c r="E237" s="371"/>
      <c r="F237" s="279"/>
      <c r="G237" s="372"/>
      <c r="H237" s="371"/>
      <c r="I237" s="371"/>
      <c r="J237" s="371"/>
      <c r="K237" s="371"/>
      <c r="L237" s="371"/>
      <c r="M237" s="371"/>
      <c r="N237" s="371"/>
      <c r="O237" s="371"/>
      <c r="P237" s="371"/>
      <c r="Q237" s="371"/>
      <c r="R237" s="329">
        <f t="shared" si="1"/>
        <v>1</v>
      </c>
      <c r="S237" s="372">
        <f t="shared" si="2"/>
        <v>1.3618412093149938E-4</v>
      </c>
      <c r="T237" s="330">
        <f t="shared" si="3"/>
        <v>145</v>
      </c>
      <c r="U237" s="372">
        <f t="shared" si="4"/>
        <v>1.4752894110848158E-4</v>
      </c>
      <c r="V237" s="356"/>
      <c r="W237" s="361"/>
      <c r="X237" s="5"/>
      <c r="Y237" s="109"/>
    </row>
    <row r="238" spans="1:25" ht="15.6" x14ac:dyDescent="0.3">
      <c r="A238" s="278"/>
      <c r="B238" s="329" t="s">
        <v>162</v>
      </c>
      <c r="C238" s="371"/>
      <c r="D238" s="371"/>
      <c r="E238" s="371"/>
      <c r="F238" s="279"/>
      <c r="G238" s="372"/>
      <c r="H238" s="371"/>
      <c r="I238" s="371"/>
      <c r="J238" s="371"/>
      <c r="K238" s="371"/>
      <c r="L238" s="371"/>
      <c r="M238" s="371"/>
      <c r="N238" s="371"/>
      <c r="O238" s="371"/>
      <c r="P238" s="371"/>
      <c r="Q238" s="371"/>
      <c r="R238" s="329">
        <f t="shared" si="1"/>
        <v>0</v>
      </c>
      <c r="S238" s="372">
        <f t="shared" si="2"/>
        <v>0</v>
      </c>
      <c r="T238" s="330">
        <f t="shared" si="3"/>
        <v>0</v>
      </c>
      <c r="U238" s="372">
        <f t="shared" si="4"/>
        <v>0</v>
      </c>
      <c r="V238" s="356"/>
      <c r="W238" s="361"/>
      <c r="X238" s="5"/>
    </row>
    <row r="239" spans="1:25" ht="15.6" x14ac:dyDescent="0.3">
      <c r="A239" s="278"/>
      <c r="B239" s="329" t="s">
        <v>163</v>
      </c>
      <c r="C239" s="371"/>
      <c r="D239" s="371"/>
      <c r="E239" s="371"/>
      <c r="F239" s="279"/>
      <c r="G239" s="372"/>
      <c r="H239" s="371"/>
      <c r="I239" s="371"/>
      <c r="J239" s="371"/>
      <c r="K239" s="371"/>
      <c r="L239" s="371"/>
      <c r="M239" s="371"/>
      <c r="N239" s="371"/>
      <c r="O239" s="371"/>
      <c r="P239" s="371"/>
      <c r="Q239" s="371"/>
      <c r="R239" s="329">
        <f t="shared" si="1"/>
        <v>2</v>
      </c>
      <c r="S239" s="372">
        <f t="shared" si="2"/>
        <v>2.7236824186299875E-4</v>
      </c>
      <c r="T239" s="330">
        <f t="shared" si="3"/>
        <v>371</v>
      </c>
      <c r="U239" s="372">
        <f t="shared" si="4"/>
        <v>3.7747060104308046E-4</v>
      </c>
      <c r="V239" s="356"/>
      <c r="W239" s="361"/>
      <c r="X239" s="5"/>
      <c r="Y239" s="109"/>
    </row>
    <row r="240" spans="1:25" ht="15.6" x14ac:dyDescent="0.3">
      <c r="A240" s="278"/>
      <c r="B240" s="329" t="s">
        <v>164</v>
      </c>
      <c r="C240" s="371"/>
      <c r="D240" s="371"/>
      <c r="E240" s="371"/>
      <c r="F240" s="279"/>
      <c r="G240" s="372"/>
      <c r="H240" s="371"/>
      <c r="I240" s="371"/>
      <c r="J240" s="371"/>
      <c r="K240" s="371"/>
      <c r="L240" s="371"/>
      <c r="M240" s="371"/>
      <c r="N240" s="371"/>
      <c r="O240" s="371"/>
      <c r="P240" s="371"/>
      <c r="Q240" s="371"/>
      <c r="R240" s="329">
        <f t="shared" si="1"/>
        <v>13</v>
      </c>
      <c r="S240" s="372">
        <f t="shared" si="2"/>
        <v>1.770393572109492E-3</v>
      </c>
      <c r="T240" s="330">
        <f t="shared" si="3"/>
        <v>1921</v>
      </c>
      <c r="U240" s="372">
        <f t="shared" si="4"/>
        <v>1.9545041094440906E-3</v>
      </c>
      <c r="V240" s="356"/>
      <c r="W240" s="361"/>
      <c r="X240" s="5"/>
    </row>
    <row r="241" spans="1:25" ht="15.6" x14ac:dyDescent="0.3">
      <c r="A241" s="278"/>
      <c r="B241" s="329" t="s">
        <v>165</v>
      </c>
      <c r="C241" s="371"/>
      <c r="D241" s="371"/>
      <c r="E241" s="371"/>
      <c r="F241" s="279"/>
      <c r="G241" s="372"/>
      <c r="H241" s="371"/>
      <c r="I241" s="371"/>
      <c r="J241" s="371"/>
      <c r="K241" s="371"/>
      <c r="L241" s="371"/>
      <c r="M241" s="371"/>
      <c r="N241" s="371"/>
      <c r="O241" s="371"/>
      <c r="P241" s="371"/>
      <c r="Q241" s="371"/>
      <c r="R241" s="329">
        <f t="shared" si="1"/>
        <v>13</v>
      </c>
      <c r="S241" s="372">
        <f t="shared" si="2"/>
        <v>1.770393572109492E-3</v>
      </c>
      <c r="T241" s="330">
        <f t="shared" si="3"/>
        <v>1658</v>
      </c>
      <c r="U241" s="372">
        <f t="shared" si="4"/>
        <v>1.6869171335024999E-3</v>
      </c>
      <c r="V241" s="356"/>
      <c r="W241" s="361"/>
      <c r="X241" s="5"/>
      <c r="Y241" s="109"/>
    </row>
    <row r="242" spans="1:25" ht="15.6" x14ac:dyDescent="0.3">
      <c r="A242" s="278"/>
      <c r="B242" s="329"/>
      <c r="C242" s="371"/>
      <c r="D242" s="371"/>
      <c r="E242" s="371"/>
      <c r="F242" s="279"/>
      <c r="G242" s="372"/>
      <c r="H242" s="371"/>
      <c r="I242" s="371"/>
      <c r="J242" s="371"/>
      <c r="K242" s="371"/>
      <c r="L242" s="371"/>
      <c r="M242" s="371"/>
      <c r="N242" s="371"/>
      <c r="O242" s="371"/>
      <c r="P242" s="371"/>
      <c r="Q242" s="371"/>
      <c r="R242" s="329"/>
      <c r="S242" s="372"/>
      <c r="T242" s="330"/>
      <c r="U242" s="372"/>
      <c r="V242" s="356"/>
      <c r="W242" s="361"/>
      <c r="X242" s="5"/>
    </row>
    <row r="243" spans="1:25" ht="15.6" x14ac:dyDescent="0.3">
      <c r="A243" s="278"/>
      <c r="B243" s="279" t="s">
        <v>119</v>
      </c>
      <c r="C243" s="279"/>
      <c r="D243" s="279"/>
      <c r="E243" s="279"/>
      <c r="F243" s="279"/>
      <c r="G243" s="279"/>
      <c r="H243" s="373"/>
      <c r="I243" s="373"/>
      <c r="J243" s="373"/>
      <c r="K243" s="373"/>
      <c r="L243" s="373"/>
      <c r="M243" s="373"/>
      <c r="N243" s="373"/>
      <c r="O243" s="373"/>
      <c r="P243" s="373"/>
      <c r="Q243" s="373"/>
      <c r="R243" s="329">
        <f>SUM(R234:R242)</f>
        <v>7343</v>
      </c>
      <c r="S243" s="372">
        <f>SUM(S234:S242)</f>
        <v>1</v>
      </c>
      <c r="T243" s="330">
        <f>SUM(T234:T242)</f>
        <v>982858</v>
      </c>
      <c r="U243" s="372">
        <f>SUM(U234:U242)</f>
        <v>1</v>
      </c>
      <c r="V243" s="305"/>
      <c r="W243" s="310"/>
      <c r="X243" s="5"/>
    </row>
    <row r="244" spans="1:25" ht="15.6" x14ac:dyDescent="0.3">
      <c r="A244" s="347"/>
      <c r="B244" s="342"/>
      <c r="C244" s="348"/>
      <c r="D244" s="348"/>
      <c r="E244" s="348"/>
      <c r="F244" s="349"/>
      <c r="G244" s="275"/>
      <c r="H244" s="275"/>
      <c r="I244" s="275"/>
      <c r="J244" s="275"/>
      <c r="K244" s="275"/>
      <c r="L244" s="275"/>
      <c r="M244" s="275"/>
      <c r="N244" s="275"/>
      <c r="O244" s="275"/>
      <c r="P244" s="275"/>
      <c r="Q244" s="275"/>
      <c r="R244" s="275"/>
      <c r="S244" s="275"/>
      <c r="T244" s="350"/>
      <c r="U244" s="275"/>
      <c r="V244" s="343"/>
      <c r="W244" s="351"/>
      <c r="X244" s="5"/>
    </row>
    <row r="245" spans="1:25" ht="15.6" x14ac:dyDescent="0.3">
      <c r="A245" s="223"/>
      <c r="B245" s="388" t="s">
        <v>167</v>
      </c>
      <c r="C245" s="389"/>
      <c r="D245" s="389"/>
      <c r="E245" s="389"/>
      <c r="F245" s="396"/>
      <c r="G245" s="389"/>
      <c r="H245" s="389"/>
      <c r="I245" s="389"/>
      <c r="J245" s="389"/>
      <c r="K245" s="389"/>
      <c r="L245" s="389"/>
      <c r="M245" s="389"/>
      <c r="N245" s="389"/>
      <c r="O245" s="389"/>
      <c r="P245" s="389"/>
      <c r="Q245" s="389"/>
      <c r="R245" s="396" t="s">
        <v>104</v>
      </c>
      <c r="S245" s="389" t="s">
        <v>105</v>
      </c>
      <c r="T245" s="396" t="s">
        <v>113</v>
      </c>
      <c r="U245" s="389" t="s">
        <v>105</v>
      </c>
      <c r="V245" s="224"/>
      <c r="W245" s="388"/>
      <c r="X245" s="5"/>
    </row>
    <row r="246" spans="1:25" ht="15.6" x14ac:dyDescent="0.3">
      <c r="A246" s="189"/>
      <c r="B246" s="247" t="s">
        <v>90</v>
      </c>
      <c r="C246" s="261"/>
      <c r="D246" s="261"/>
      <c r="E246" s="261"/>
      <c r="F246" s="248"/>
      <c r="G246" s="261"/>
      <c r="H246" s="261"/>
      <c r="I246" s="261"/>
      <c r="J246" s="261"/>
      <c r="K246" s="261"/>
      <c r="L246" s="261"/>
      <c r="M246" s="261"/>
      <c r="N246" s="261"/>
      <c r="O246" s="261"/>
      <c r="P246" s="261"/>
      <c r="Q246" s="261"/>
      <c r="R246" s="247">
        <v>7133</v>
      </c>
      <c r="S246" s="250">
        <f t="shared" ref="S246:S253" si="5">R246/$R$255</f>
        <v>0.99138290479499658</v>
      </c>
      <c r="T246" s="251">
        <v>947735</v>
      </c>
      <c r="U246" s="250">
        <f t="shared" ref="U246:U253" si="6">T246/$T$255</f>
        <v>0.98835851154137355</v>
      </c>
      <c r="V246" s="218"/>
      <c r="W246" s="221"/>
      <c r="X246" s="5"/>
    </row>
    <row r="247" spans="1:25" ht="15.6" x14ac:dyDescent="0.3">
      <c r="A247" s="278"/>
      <c r="B247" s="329" t="s">
        <v>91</v>
      </c>
      <c r="C247" s="371"/>
      <c r="D247" s="371"/>
      <c r="E247" s="371"/>
      <c r="F247" s="279"/>
      <c r="G247" s="372"/>
      <c r="H247" s="371"/>
      <c r="I247" s="371"/>
      <c r="J247" s="371"/>
      <c r="K247" s="371"/>
      <c r="L247" s="371"/>
      <c r="M247" s="371"/>
      <c r="N247" s="371"/>
      <c r="O247" s="371"/>
      <c r="P247" s="371"/>
      <c r="Q247" s="371"/>
      <c r="R247" s="329">
        <v>48</v>
      </c>
      <c r="S247" s="372">
        <f t="shared" si="5"/>
        <v>6.671299513551077E-3</v>
      </c>
      <c r="T247" s="330">
        <v>9412</v>
      </c>
      <c r="U247" s="372">
        <f t="shared" si="6"/>
        <v>9.8154339669078456E-3</v>
      </c>
      <c r="V247" s="356"/>
      <c r="W247" s="361"/>
      <c r="X247" s="5"/>
      <c r="Y247" s="109"/>
    </row>
    <row r="248" spans="1:25" ht="15.6" x14ac:dyDescent="0.3">
      <c r="A248" s="278"/>
      <c r="B248" s="329" t="s">
        <v>92</v>
      </c>
      <c r="C248" s="371"/>
      <c r="D248" s="371"/>
      <c r="E248" s="371"/>
      <c r="F248" s="279"/>
      <c r="G248" s="372"/>
      <c r="H248" s="371"/>
      <c r="I248" s="371"/>
      <c r="J248" s="371"/>
      <c r="K248" s="371"/>
      <c r="L248" s="371"/>
      <c r="M248" s="371"/>
      <c r="N248" s="371"/>
      <c r="O248" s="371"/>
      <c r="P248" s="371"/>
      <c r="Q248" s="371"/>
      <c r="R248" s="329">
        <v>9</v>
      </c>
      <c r="S248" s="372">
        <f t="shared" si="5"/>
        <v>1.250868658790827E-3</v>
      </c>
      <c r="T248" s="330">
        <v>978</v>
      </c>
      <c r="U248" s="372">
        <f t="shared" si="6"/>
        <v>1.0199207840667099E-3</v>
      </c>
      <c r="V248" s="356"/>
      <c r="W248" s="361"/>
      <c r="X248" s="5"/>
    </row>
    <row r="249" spans="1:25" ht="15.6" x14ac:dyDescent="0.3">
      <c r="A249" s="278"/>
      <c r="B249" s="329" t="s">
        <v>161</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c r="Y249" s="109"/>
    </row>
    <row r="250" spans="1:25" ht="15.6" x14ac:dyDescent="0.3">
      <c r="A250" s="278"/>
      <c r="B250" s="329" t="s">
        <v>162</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row>
    <row r="251" spans="1:25" ht="15.6" x14ac:dyDescent="0.3">
      <c r="A251" s="278"/>
      <c r="B251" s="329" t="s">
        <v>163</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c r="Y251" s="109"/>
    </row>
    <row r="252" spans="1:25" ht="15.6" x14ac:dyDescent="0.3">
      <c r="A252" s="278"/>
      <c r="B252" s="329" t="s">
        <v>164</v>
      </c>
      <c r="C252" s="371"/>
      <c r="D252" s="371"/>
      <c r="E252" s="371"/>
      <c r="F252" s="279"/>
      <c r="G252" s="372"/>
      <c r="H252" s="371"/>
      <c r="I252" s="371"/>
      <c r="J252" s="371"/>
      <c r="K252" s="371"/>
      <c r="L252" s="371"/>
      <c r="M252" s="371"/>
      <c r="N252" s="371"/>
      <c r="O252" s="371"/>
      <c r="P252" s="371"/>
      <c r="Q252" s="371"/>
      <c r="R252" s="329">
        <v>2</v>
      </c>
      <c r="S252" s="372">
        <f t="shared" si="5"/>
        <v>2.7797081306462821E-4</v>
      </c>
      <c r="T252" s="330">
        <v>263</v>
      </c>
      <c r="U252" s="372">
        <f t="shared" si="6"/>
        <v>2.7427317608337906E-4</v>
      </c>
      <c r="V252" s="356"/>
      <c r="W252" s="361"/>
      <c r="X252" s="5"/>
    </row>
    <row r="253" spans="1:25" ht="15.6" x14ac:dyDescent="0.3">
      <c r="A253" s="278"/>
      <c r="B253" s="329" t="s">
        <v>165</v>
      </c>
      <c r="C253" s="371"/>
      <c r="D253" s="371"/>
      <c r="E253" s="371"/>
      <c r="F253" s="279"/>
      <c r="G253" s="372"/>
      <c r="H253" s="371"/>
      <c r="I253" s="371"/>
      <c r="J253" s="371"/>
      <c r="K253" s="371"/>
      <c r="L253" s="371"/>
      <c r="M253" s="371"/>
      <c r="N253" s="371"/>
      <c r="O253" s="371"/>
      <c r="P253" s="371"/>
      <c r="Q253" s="371"/>
      <c r="R253" s="329">
        <v>3</v>
      </c>
      <c r="S253" s="372">
        <f t="shared" si="5"/>
        <v>4.1695621959694231E-4</v>
      </c>
      <c r="T253" s="330">
        <v>510</v>
      </c>
      <c r="U253" s="372">
        <f t="shared" si="6"/>
        <v>5.3186053156852975E-4</v>
      </c>
      <c r="V253" s="356"/>
      <c r="W253" s="361"/>
      <c r="X253" s="5"/>
      <c r="Y253" s="109"/>
    </row>
    <row r="254" spans="1:25" ht="15.6" x14ac:dyDescent="0.3">
      <c r="A254" s="278"/>
      <c r="B254" s="329"/>
      <c r="C254" s="371"/>
      <c r="D254" s="371"/>
      <c r="E254" s="371"/>
      <c r="F254" s="279"/>
      <c r="G254" s="372"/>
      <c r="H254" s="371"/>
      <c r="I254" s="371"/>
      <c r="J254" s="371"/>
      <c r="K254" s="371"/>
      <c r="L254" s="371"/>
      <c r="M254" s="371"/>
      <c r="N254" s="371"/>
      <c r="O254" s="371"/>
      <c r="P254" s="371"/>
      <c r="Q254" s="371"/>
      <c r="R254" s="329"/>
      <c r="S254" s="372"/>
      <c r="T254" s="330"/>
      <c r="U254" s="372"/>
      <c r="V254" s="356"/>
      <c r="W254" s="361"/>
      <c r="X254" s="5"/>
    </row>
    <row r="255" spans="1:25" ht="15.6" x14ac:dyDescent="0.3">
      <c r="A255" s="278"/>
      <c r="B255" s="279" t="s">
        <v>119</v>
      </c>
      <c r="C255" s="279"/>
      <c r="D255" s="279"/>
      <c r="E255" s="279"/>
      <c r="F255" s="279"/>
      <c r="G255" s="279"/>
      <c r="H255" s="373"/>
      <c r="I255" s="373"/>
      <c r="J255" s="373"/>
      <c r="K255" s="373"/>
      <c r="L255" s="373"/>
      <c r="M255" s="373"/>
      <c r="N255" s="373"/>
      <c r="O255" s="373"/>
      <c r="P255" s="373"/>
      <c r="Q255" s="373"/>
      <c r="R255" s="329">
        <f>SUM(R246:R254)</f>
        <v>7195</v>
      </c>
      <c r="S255" s="372">
        <f>SUM(S246:S254)</f>
        <v>1</v>
      </c>
      <c r="T255" s="330">
        <f>SUM(T246:T254)</f>
        <v>958898</v>
      </c>
      <c r="U255" s="372">
        <f>SUM(U246:U254)</f>
        <v>1.0000000000000002</v>
      </c>
      <c r="V255" s="305"/>
      <c r="W255" s="310"/>
      <c r="X255" s="5"/>
    </row>
    <row r="256" spans="1:25" ht="15.6" x14ac:dyDescent="0.3">
      <c r="A256" s="177"/>
      <c r="B256" s="275"/>
      <c r="C256" s="275"/>
      <c r="D256" s="275"/>
      <c r="E256" s="275"/>
      <c r="F256" s="275"/>
      <c r="G256" s="275"/>
      <c r="H256" s="368"/>
      <c r="I256" s="368"/>
      <c r="J256" s="368"/>
      <c r="K256" s="368"/>
      <c r="L256" s="368"/>
      <c r="M256" s="368"/>
      <c r="N256" s="368"/>
      <c r="O256" s="368"/>
      <c r="P256" s="368"/>
      <c r="Q256" s="368"/>
      <c r="R256" s="327"/>
      <c r="S256" s="369"/>
      <c r="T256" s="370"/>
      <c r="U256" s="369"/>
      <c r="V256" s="275"/>
      <c r="W256" s="275"/>
      <c r="X256" s="5"/>
    </row>
    <row r="257" spans="1:24" ht="15.6" x14ac:dyDescent="0.3">
      <c r="A257" s="243"/>
      <c r="B257" s="388" t="s">
        <v>283</v>
      </c>
      <c r="C257" s="389"/>
      <c r="D257" s="389"/>
      <c r="E257" s="389"/>
      <c r="F257" s="396"/>
      <c r="G257" s="389"/>
      <c r="H257" s="389"/>
      <c r="I257" s="389"/>
      <c r="J257" s="389"/>
      <c r="K257" s="389"/>
      <c r="L257" s="389"/>
      <c r="M257" s="389"/>
      <c r="N257" s="389"/>
      <c r="O257" s="389"/>
      <c r="P257" s="389"/>
      <c r="Q257" s="389"/>
      <c r="R257" s="396" t="s">
        <v>104</v>
      </c>
      <c r="S257" s="389" t="s">
        <v>105</v>
      </c>
      <c r="T257" s="396" t="s">
        <v>113</v>
      </c>
      <c r="U257" s="389" t="s">
        <v>105</v>
      </c>
      <c r="V257" s="244"/>
      <c r="W257" s="245"/>
      <c r="X257" s="5"/>
    </row>
    <row r="258" spans="1:24" ht="15.6" x14ac:dyDescent="0.3">
      <c r="A258" s="189"/>
      <c r="B258" s="247" t="s">
        <v>90</v>
      </c>
      <c r="C258" s="261"/>
      <c r="D258" s="261"/>
      <c r="E258" s="261"/>
      <c r="F258" s="248"/>
      <c r="G258" s="261"/>
      <c r="H258" s="261"/>
      <c r="I258" s="261"/>
      <c r="J258" s="261"/>
      <c r="K258" s="261"/>
      <c r="L258" s="261"/>
      <c r="M258" s="261"/>
      <c r="N258" s="261"/>
      <c r="O258" s="261"/>
      <c r="P258" s="261"/>
      <c r="Q258" s="261"/>
      <c r="R258" s="247">
        <v>112</v>
      </c>
      <c r="S258" s="250">
        <f t="shared" ref="S258:S265" si="7">R258/$R$267</f>
        <v>0.76712328767123283</v>
      </c>
      <c r="T258" s="251">
        <v>18859</v>
      </c>
      <c r="U258" s="250">
        <f t="shared" ref="U258:U265" si="8">T258/$T$267</f>
        <v>0.79419691737555798</v>
      </c>
      <c r="V258" s="190"/>
      <c r="W258" s="190"/>
      <c r="X258" s="5"/>
    </row>
    <row r="259" spans="1:24" ht="15.6" x14ac:dyDescent="0.3">
      <c r="A259" s="278"/>
      <c r="B259" s="329" t="s">
        <v>91</v>
      </c>
      <c r="C259" s="371"/>
      <c r="D259" s="371"/>
      <c r="E259" s="371"/>
      <c r="F259" s="279"/>
      <c r="G259" s="372"/>
      <c r="H259" s="371"/>
      <c r="I259" s="371"/>
      <c r="J259" s="371"/>
      <c r="K259" s="371"/>
      <c r="L259" s="371"/>
      <c r="M259" s="371"/>
      <c r="N259" s="371"/>
      <c r="O259" s="371"/>
      <c r="P259" s="371"/>
      <c r="Q259" s="371"/>
      <c r="R259" s="329">
        <v>5</v>
      </c>
      <c r="S259" s="372">
        <f t="shared" si="7"/>
        <v>3.4246575342465752E-2</v>
      </c>
      <c r="T259" s="330">
        <v>801</v>
      </c>
      <c r="U259" s="372">
        <f t="shared" si="8"/>
        <v>3.3731996967910384E-2</v>
      </c>
      <c r="V259" s="305"/>
      <c r="W259" s="310"/>
      <c r="X259" s="5"/>
    </row>
    <row r="260" spans="1:24" ht="15.6" x14ac:dyDescent="0.3">
      <c r="A260" s="278"/>
      <c r="B260" s="329" t="s">
        <v>92</v>
      </c>
      <c r="C260" s="371"/>
      <c r="D260" s="371"/>
      <c r="E260" s="371"/>
      <c r="F260" s="279"/>
      <c r="G260" s="372"/>
      <c r="H260" s="371"/>
      <c r="I260" s="371"/>
      <c r="J260" s="371"/>
      <c r="K260" s="371"/>
      <c r="L260" s="371"/>
      <c r="M260" s="371"/>
      <c r="N260" s="371"/>
      <c r="O260" s="371"/>
      <c r="P260" s="371"/>
      <c r="Q260" s="371"/>
      <c r="R260" s="329">
        <v>7</v>
      </c>
      <c r="S260" s="372">
        <f t="shared" si="7"/>
        <v>4.7945205479452052E-2</v>
      </c>
      <c r="T260" s="330">
        <v>978</v>
      </c>
      <c r="U260" s="372">
        <f t="shared" si="8"/>
        <v>4.118588393834751E-2</v>
      </c>
      <c r="V260" s="305"/>
      <c r="W260" s="310"/>
      <c r="X260" s="5"/>
    </row>
    <row r="261" spans="1:24" ht="15.6" x14ac:dyDescent="0.3">
      <c r="A261" s="278"/>
      <c r="B261" s="329" t="s">
        <v>161</v>
      </c>
      <c r="C261" s="371"/>
      <c r="D261" s="371"/>
      <c r="E261" s="371"/>
      <c r="F261" s="279"/>
      <c r="G261" s="372"/>
      <c r="H261" s="371"/>
      <c r="I261" s="371"/>
      <c r="J261" s="371"/>
      <c r="K261" s="371"/>
      <c r="L261" s="371"/>
      <c r="M261" s="371"/>
      <c r="N261" s="371"/>
      <c r="O261" s="371"/>
      <c r="P261" s="371"/>
      <c r="Q261" s="371"/>
      <c r="R261" s="329">
        <v>1</v>
      </c>
      <c r="S261" s="372">
        <f t="shared" si="7"/>
        <v>6.8493150684931503E-3</v>
      </c>
      <c r="T261" s="330">
        <v>145</v>
      </c>
      <c r="U261" s="372">
        <f t="shared" si="8"/>
        <v>6.1062915859513185E-3</v>
      </c>
      <c r="V261" s="305"/>
      <c r="W261" s="310"/>
      <c r="X261" s="5"/>
    </row>
    <row r="262" spans="1:24" ht="15.6" x14ac:dyDescent="0.3">
      <c r="A262" s="278"/>
      <c r="B262" s="329" t="s">
        <v>162</v>
      </c>
      <c r="C262" s="371"/>
      <c r="D262" s="371"/>
      <c r="E262" s="371"/>
      <c r="F262" s="279"/>
      <c r="G262" s="372"/>
      <c r="H262" s="371"/>
      <c r="I262" s="371"/>
      <c r="J262" s="371"/>
      <c r="K262" s="371"/>
      <c r="L262" s="371"/>
      <c r="M262" s="371"/>
      <c r="N262" s="371"/>
      <c r="O262" s="371"/>
      <c r="P262" s="371"/>
      <c r="Q262" s="371"/>
      <c r="R262" s="329">
        <v>0</v>
      </c>
      <c r="S262" s="372">
        <f t="shared" si="7"/>
        <v>0</v>
      </c>
      <c r="T262" s="330">
        <v>0</v>
      </c>
      <c r="U262" s="372">
        <f t="shared" si="8"/>
        <v>0</v>
      </c>
      <c r="V262" s="305"/>
      <c r="W262" s="310"/>
      <c r="X262" s="5"/>
    </row>
    <row r="263" spans="1:24" ht="15.6" x14ac:dyDescent="0.3">
      <c r="A263" s="278"/>
      <c r="B263" s="329" t="s">
        <v>163</v>
      </c>
      <c r="C263" s="371"/>
      <c r="D263" s="371"/>
      <c r="E263" s="371"/>
      <c r="F263" s="279"/>
      <c r="G263" s="372"/>
      <c r="H263" s="371"/>
      <c r="I263" s="371"/>
      <c r="J263" s="371"/>
      <c r="K263" s="371"/>
      <c r="L263" s="371"/>
      <c r="M263" s="371"/>
      <c r="N263" s="371"/>
      <c r="O263" s="371"/>
      <c r="P263" s="371"/>
      <c r="Q263" s="371"/>
      <c r="R263" s="329">
        <v>2</v>
      </c>
      <c r="S263" s="372">
        <f t="shared" si="7"/>
        <v>1.3698630136986301E-2</v>
      </c>
      <c r="T263" s="330">
        <v>371</v>
      </c>
      <c r="U263" s="372">
        <f t="shared" si="8"/>
        <v>1.5623683988882338E-2</v>
      </c>
      <c r="V263" s="305"/>
      <c r="W263" s="310"/>
      <c r="X263" s="5"/>
    </row>
    <row r="264" spans="1:24" ht="15.6" x14ac:dyDescent="0.3">
      <c r="A264" s="278"/>
      <c r="B264" s="329" t="s">
        <v>164</v>
      </c>
      <c r="C264" s="371"/>
      <c r="D264" s="371"/>
      <c r="E264" s="371"/>
      <c r="F264" s="279"/>
      <c r="G264" s="372"/>
      <c r="H264" s="371"/>
      <c r="I264" s="371"/>
      <c r="J264" s="371"/>
      <c r="K264" s="371"/>
      <c r="L264" s="371"/>
      <c r="M264" s="371"/>
      <c r="N264" s="371"/>
      <c r="O264" s="371"/>
      <c r="P264" s="371"/>
      <c r="Q264" s="371"/>
      <c r="R264" s="329">
        <v>11</v>
      </c>
      <c r="S264" s="372">
        <f t="shared" si="7"/>
        <v>7.5342465753424653E-2</v>
      </c>
      <c r="T264" s="330">
        <v>1658</v>
      </c>
      <c r="U264" s="372">
        <f t="shared" si="8"/>
        <v>6.9822285858670938E-2</v>
      </c>
      <c r="V264" s="305"/>
      <c r="W264" s="310"/>
      <c r="X264" s="5"/>
    </row>
    <row r="265" spans="1:24" ht="15.6" x14ac:dyDescent="0.3">
      <c r="A265" s="278"/>
      <c r="B265" s="329" t="s">
        <v>165</v>
      </c>
      <c r="C265" s="371"/>
      <c r="D265" s="371"/>
      <c r="E265" s="371"/>
      <c r="F265" s="279"/>
      <c r="G265" s="372"/>
      <c r="H265" s="371"/>
      <c r="I265" s="371"/>
      <c r="J265" s="371"/>
      <c r="K265" s="371"/>
      <c r="L265" s="371"/>
      <c r="M265" s="371"/>
      <c r="N265" s="371"/>
      <c r="O265" s="371"/>
      <c r="P265" s="371"/>
      <c r="Q265" s="371"/>
      <c r="R265" s="329">
        <v>8</v>
      </c>
      <c r="S265" s="372">
        <f t="shared" si="7"/>
        <v>5.4794520547945202E-2</v>
      </c>
      <c r="T265" s="330">
        <v>934</v>
      </c>
      <c r="U265" s="372">
        <f t="shared" si="8"/>
        <v>3.9332940284679527E-2</v>
      </c>
      <c r="V265" s="305"/>
      <c r="W265" s="310"/>
      <c r="X265" s="5"/>
    </row>
    <row r="266" spans="1:24" ht="15.6" x14ac:dyDescent="0.3">
      <c r="A266" s="278"/>
      <c r="B266" s="329"/>
      <c r="C266" s="371"/>
      <c r="D266" s="371"/>
      <c r="E266" s="371"/>
      <c r="F266" s="279"/>
      <c r="G266" s="372"/>
      <c r="H266" s="371"/>
      <c r="I266" s="371"/>
      <c r="J266" s="371"/>
      <c r="K266" s="371"/>
      <c r="L266" s="371"/>
      <c r="M266" s="371"/>
      <c r="N266" s="371"/>
      <c r="O266" s="371"/>
      <c r="P266" s="371"/>
      <c r="Q266" s="371"/>
      <c r="R266" s="329"/>
      <c r="S266" s="372"/>
      <c r="T266" s="330"/>
      <c r="U266" s="372"/>
      <c r="V266" s="305"/>
      <c r="W266" s="310"/>
      <c r="X266" s="5"/>
    </row>
    <row r="267" spans="1:24" ht="15.6" x14ac:dyDescent="0.3">
      <c r="A267" s="278"/>
      <c r="B267" s="279" t="s">
        <v>119</v>
      </c>
      <c r="C267" s="279"/>
      <c r="D267" s="279"/>
      <c r="E267" s="279"/>
      <c r="F267" s="279"/>
      <c r="G267" s="279"/>
      <c r="H267" s="373"/>
      <c r="I267" s="373"/>
      <c r="J267" s="373"/>
      <c r="K267" s="373"/>
      <c r="L267" s="373"/>
      <c r="M267" s="373"/>
      <c r="N267" s="373"/>
      <c r="O267" s="373"/>
      <c r="P267" s="373"/>
      <c r="Q267" s="373"/>
      <c r="R267" s="329">
        <f>SUM(R258:R266)</f>
        <v>146</v>
      </c>
      <c r="S267" s="372">
        <f>SUM(S258:S266)</f>
        <v>0.99999999999999989</v>
      </c>
      <c r="T267" s="330">
        <f>SUM(T258:T266)</f>
        <v>23746</v>
      </c>
      <c r="U267" s="372">
        <f>SUM(U258:U266)</f>
        <v>1</v>
      </c>
      <c r="V267" s="305"/>
      <c r="W267" s="310"/>
      <c r="X267" s="5"/>
    </row>
    <row r="268" spans="1:24" ht="15.6" x14ac:dyDescent="0.3">
      <c r="A268" s="177"/>
      <c r="B268" s="275"/>
      <c r="C268" s="275"/>
      <c r="D268" s="275"/>
      <c r="E268" s="275"/>
      <c r="F268" s="275"/>
      <c r="G268" s="275"/>
      <c r="H268" s="368"/>
      <c r="I268" s="368"/>
      <c r="J268" s="368"/>
      <c r="K268" s="368"/>
      <c r="L268" s="368"/>
      <c r="M268" s="368"/>
      <c r="N268" s="368"/>
      <c r="O268" s="368"/>
      <c r="P268" s="368"/>
      <c r="Q268" s="368"/>
      <c r="R268" s="327"/>
      <c r="S268" s="369"/>
      <c r="T268" s="370"/>
      <c r="U268" s="369"/>
      <c r="V268" s="275"/>
      <c r="W268" s="275"/>
      <c r="X268" s="5"/>
    </row>
    <row r="269" spans="1:24" ht="15.6" x14ac:dyDescent="0.3">
      <c r="A269" s="243"/>
      <c r="B269" s="388" t="s">
        <v>169</v>
      </c>
      <c r="C269" s="244"/>
      <c r="D269" s="244"/>
      <c r="E269" s="244"/>
      <c r="F269" s="244"/>
      <c r="G269" s="244"/>
      <c r="H269" s="246"/>
      <c r="I269" s="246"/>
      <c r="J269" s="246"/>
      <c r="K269" s="246"/>
      <c r="L269" s="246"/>
      <c r="M269" s="246"/>
      <c r="N269" s="246"/>
      <c r="O269" s="246"/>
      <c r="P269" s="246"/>
      <c r="Q269" s="246"/>
      <c r="R269" s="396" t="s">
        <v>104</v>
      </c>
      <c r="S269" s="389" t="s">
        <v>105</v>
      </c>
      <c r="T269" s="396" t="s">
        <v>113</v>
      </c>
      <c r="U269" s="389" t="s">
        <v>105</v>
      </c>
      <c r="V269" s="244"/>
      <c r="W269" s="245"/>
      <c r="X269" s="5"/>
    </row>
    <row r="270" spans="1:24" ht="15.6" x14ac:dyDescent="0.3">
      <c r="A270" s="189"/>
      <c r="B270" s="247" t="s">
        <v>90</v>
      </c>
      <c r="C270" s="248"/>
      <c r="D270" s="248"/>
      <c r="E270" s="248"/>
      <c r="F270" s="248"/>
      <c r="G270" s="248"/>
      <c r="H270" s="249"/>
      <c r="I270" s="249"/>
      <c r="J270" s="249"/>
      <c r="K270" s="249"/>
      <c r="L270" s="249"/>
      <c r="M270" s="249"/>
      <c r="N270" s="249"/>
      <c r="O270" s="249"/>
      <c r="P270" s="249"/>
      <c r="Q270" s="249"/>
      <c r="R270" s="247">
        <v>0</v>
      </c>
      <c r="S270" s="250">
        <v>0</v>
      </c>
      <c r="T270" s="251">
        <v>0</v>
      </c>
      <c r="U270" s="250">
        <v>0</v>
      </c>
      <c r="V270" s="248"/>
      <c r="W270" s="190"/>
      <c r="X270" s="5"/>
    </row>
    <row r="271" spans="1:24" ht="15.6" x14ac:dyDescent="0.3">
      <c r="A271" s="278"/>
      <c r="B271" s="329" t="s">
        <v>91</v>
      </c>
      <c r="C271" s="279"/>
      <c r="D271" s="279"/>
      <c r="E271" s="279"/>
      <c r="F271" s="279"/>
      <c r="G271" s="279"/>
      <c r="H271" s="373"/>
      <c r="I271" s="373"/>
      <c r="J271" s="373"/>
      <c r="K271" s="373"/>
      <c r="L271" s="373"/>
      <c r="M271" s="373"/>
      <c r="N271" s="373"/>
      <c r="O271" s="373"/>
      <c r="P271" s="373"/>
      <c r="Q271" s="373"/>
      <c r="R271" s="329">
        <v>0</v>
      </c>
      <c r="S271" s="372">
        <v>0</v>
      </c>
      <c r="T271" s="330">
        <v>0</v>
      </c>
      <c r="U271" s="372">
        <v>0</v>
      </c>
      <c r="V271" s="279"/>
      <c r="W271" s="310"/>
      <c r="X271" s="5"/>
    </row>
    <row r="272" spans="1:24" ht="15.6" x14ac:dyDescent="0.3">
      <c r="A272" s="278"/>
      <c r="B272" s="329" t="s">
        <v>92</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161</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162</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163</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164</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165</v>
      </c>
      <c r="C277" s="279"/>
      <c r="D277" s="279"/>
      <c r="E277" s="279"/>
      <c r="F277" s="279"/>
      <c r="G277" s="279"/>
      <c r="H277" s="373"/>
      <c r="I277" s="373"/>
      <c r="J277" s="373"/>
      <c r="K277" s="373"/>
      <c r="L277" s="373"/>
      <c r="M277" s="373"/>
      <c r="N277" s="373"/>
      <c r="O277" s="373"/>
      <c r="P277" s="373"/>
      <c r="Q277" s="373"/>
      <c r="R277" s="329">
        <v>2</v>
      </c>
      <c r="S277" s="372">
        <f>+R277/R279</f>
        <v>1</v>
      </c>
      <c r="T277" s="330">
        <v>214</v>
      </c>
      <c r="U277" s="372">
        <f>+T277/T279</f>
        <v>1</v>
      </c>
      <c r="V277" s="279"/>
      <c r="W277" s="310"/>
      <c r="X277" s="5"/>
    </row>
    <row r="278" spans="1:24" ht="15.6" x14ac:dyDescent="0.3">
      <c r="A278" s="278"/>
      <c r="B278" s="329"/>
      <c r="C278" s="279"/>
      <c r="D278" s="279"/>
      <c r="E278" s="279"/>
      <c r="F278" s="279"/>
      <c r="G278" s="279"/>
      <c r="H278" s="373"/>
      <c r="I278" s="373"/>
      <c r="J278" s="373"/>
      <c r="K278" s="373"/>
      <c r="L278" s="373"/>
      <c r="M278" s="373"/>
      <c r="N278" s="373"/>
      <c r="O278" s="373"/>
      <c r="P278" s="373"/>
      <c r="Q278" s="373"/>
      <c r="R278" s="329"/>
      <c r="S278" s="372"/>
      <c r="T278" s="330"/>
      <c r="U278" s="372"/>
      <c r="V278" s="279"/>
      <c r="W278" s="310"/>
      <c r="X278" s="5"/>
    </row>
    <row r="279" spans="1:24" ht="15.6" x14ac:dyDescent="0.3">
      <c r="A279" s="278"/>
      <c r="B279" s="279" t="s">
        <v>119</v>
      </c>
      <c r="C279" s="279"/>
      <c r="D279" s="279"/>
      <c r="E279" s="279"/>
      <c r="F279" s="279"/>
      <c r="G279" s="279"/>
      <c r="H279" s="373"/>
      <c r="I279" s="373"/>
      <c r="J279" s="373"/>
      <c r="K279" s="373"/>
      <c r="L279" s="373"/>
      <c r="M279" s="373"/>
      <c r="N279" s="373"/>
      <c r="O279" s="373"/>
      <c r="P279" s="373"/>
      <c r="Q279" s="373"/>
      <c r="R279" s="329">
        <f>SUM(R270:R277)</f>
        <v>2</v>
      </c>
      <c r="S279" s="372">
        <f>SUM(S270:S278)</f>
        <v>1</v>
      </c>
      <c r="T279" s="330">
        <f>SUM(T270:T277)</f>
        <v>214</v>
      </c>
      <c r="U279" s="372">
        <f>SUM(U270:U278)</f>
        <v>1</v>
      </c>
      <c r="V279" s="279"/>
      <c r="W279" s="310"/>
      <c r="X279" s="5"/>
    </row>
    <row r="280" spans="1:24" ht="15.6" x14ac:dyDescent="0.3">
      <c r="A280" s="278"/>
      <c r="B280" s="279"/>
      <c r="C280" s="279"/>
      <c r="D280" s="279"/>
      <c r="E280" s="279"/>
      <c r="F280" s="279"/>
      <c r="G280" s="279"/>
      <c r="H280" s="373"/>
      <c r="I280" s="373"/>
      <c r="J280" s="373"/>
      <c r="K280" s="373"/>
      <c r="L280" s="373"/>
      <c r="M280" s="373"/>
      <c r="N280" s="373"/>
      <c r="O280" s="373"/>
      <c r="P280" s="373"/>
      <c r="Q280" s="373"/>
      <c r="R280" s="329"/>
      <c r="S280" s="372"/>
      <c r="T280" s="330"/>
      <c r="U280" s="372"/>
      <c r="V280" s="279"/>
      <c r="W280" s="310"/>
      <c r="X280" s="5"/>
    </row>
    <row r="281" spans="1:24" ht="15.6" x14ac:dyDescent="0.3">
      <c r="A281" s="278"/>
      <c r="B281" s="288" t="s">
        <v>170</v>
      </c>
      <c r="C281" s="279"/>
      <c r="D281" s="279"/>
      <c r="E281" s="279"/>
      <c r="F281" s="279"/>
      <c r="G281" s="279"/>
      <c r="H281" s="373"/>
      <c r="I281" s="373"/>
      <c r="J281" s="373"/>
      <c r="K281" s="373"/>
      <c r="L281" s="373"/>
      <c r="M281" s="373"/>
      <c r="N281" s="373"/>
      <c r="O281" s="373"/>
      <c r="P281" s="373"/>
      <c r="Q281" s="373"/>
      <c r="R281" s="376">
        <f>R279+R267+R255</f>
        <v>7343</v>
      </c>
      <c r="S281" s="372"/>
      <c r="T281" s="397">
        <f>+T279+T267+T255</f>
        <v>982858</v>
      </c>
      <c r="U281" s="372"/>
      <c r="V281" s="279"/>
      <c r="W281" s="310"/>
      <c r="X281" s="5"/>
    </row>
    <row r="282" spans="1:24" ht="15.6" x14ac:dyDescent="0.3">
      <c r="A282" s="177"/>
      <c r="B282" s="340"/>
      <c r="C282" s="340"/>
      <c r="D282" s="340"/>
      <c r="E282" s="340"/>
      <c r="F282" s="340"/>
      <c r="G282" s="340"/>
      <c r="H282" s="374"/>
      <c r="I282" s="374"/>
      <c r="J282" s="374"/>
      <c r="K282" s="374"/>
      <c r="L282" s="374"/>
      <c r="M282" s="374"/>
      <c r="N282" s="374"/>
      <c r="O282" s="374"/>
      <c r="P282" s="374"/>
      <c r="Q282" s="374"/>
      <c r="R282" s="374"/>
      <c r="S282" s="374"/>
      <c r="T282" s="375"/>
      <c r="U282" s="374"/>
      <c r="V282" s="340"/>
      <c r="W282" s="275"/>
      <c r="X282" s="5"/>
    </row>
    <row r="283" spans="1:24" ht="15.6" x14ac:dyDescent="0.3">
      <c r="A283" s="177"/>
      <c r="B283" s="252"/>
      <c r="C283" s="252"/>
      <c r="D283" s="252"/>
      <c r="E283" s="252"/>
      <c r="F283" s="252"/>
      <c r="G283" s="252"/>
      <c r="H283" s="253"/>
      <c r="I283" s="253"/>
      <c r="J283" s="253"/>
      <c r="K283" s="253"/>
      <c r="L283" s="253"/>
      <c r="M283" s="253"/>
      <c r="N283" s="253"/>
      <c r="O283" s="253"/>
      <c r="P283" s="253"/>
      <c r="Q283" s="253"/>
      <c r="R283" s="253"/>
      <c r="S283" s="253"/>
      <c r="T283" s="254"/>
      <c r="U283" s="253"/>
      <c r="V283" s="252"/>
      <c r="W283" s="179"/>
      <c r="X283" s="5"/>
    </row>
    <row r="284" spans="1:24" ht="15.6" x14ac:dyDescent="0.3">
      <c r="A284" s="222"/>
      <c r="B284" s="378" t="s">
        <v>93</v>
      </c>
      <c r="C284" s="252"/>
      <c r="D284" s="252"/>
      <c r="E284" s="252"/>
      <c r="F284" s="381" t="s">
        <v>99</v>
      </c>
      <c r="G284" s="252"/>
      <c r="H284" s="378" t="s">
        <v>101</v>
      </c>
      <c r="I284" s="257"/>
      <c r="J284" s="257"/>
      <c r="K284" s="257"/>
      <c r="L284" s="257"/>
      <c r="M284" s="257"/>
      <c r="N284" s="257"/>
      <c r="O284" s="257"/>
      <c r="P284" s="257"/>
      <c r="Q284" s="257"/>
      <c r="R284" s="257"/>
      <c r="S284" s="257"/>
      <c r="T284" s="257"/>
      <c r="U284" s="257"/>
      <c r="V284" s="257"/>
      <c r="W284" s="187"/>
      <c r="X284" s="5"/>
    </row>
    <row r="285" spans="1:24" ht="15.6" x14ac:dyDescent="0.3">
      <c r="A285" s="222"/>
      <c r="B285" s="257"/>
      <c r="C285" s="252"/>
      <c r="D285" s="252"/>
      <c r="E285" s="252"/>
      <c r="F285" s="252"/>
      <c r="G285" s="252"/>
      <c r="H285" s="252"/>
      <c r="I285" s="257"/>
      <c r="J285" s="257"/>
      <c r="K285" s="257"/>
      <c r="L285" s="257"/>
      <c r="M285" s="257"/>
      <c r="N285" s="257"/>
      <c r="O285" s="257"/>
      <c r="P285" s="257"/>
      <c r="Q285" s="257"/>
      <c r="R285" s="257"/>
      <c r="S285" s="257"/>
      <c r="T285" s="257"/>
      <c r="U285" s="257"/>
      <c r="V285" s="257"/>
      <c r="W285" s="187"/>
      <c r="X285" s="5"/>
    </row>
    <row r="286" spans="1:24" ht="15.6" x14ac:dyDescent="0.3">
      <c r="A286" s="222"/>
      <c r="B286" s="378" t="s">
        <v>94</v>
      </c>
      <c r="C286" s="378"/>
      <c r="D286" s="378"/>
      <c r="E286" s="378"/>
      <c r="F286" s="398" t="s">
        <v>153</v>
      </c>
      <c r="G286" s="378"/>
      <c r="H286" s="378" t="s">
        <v>157</v>
      </c>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277</v>
      </c>
      <c r="C287" s="378"/>
      <c r="D287" s="378"/>
      <c r="E287" s="378"/>
      <c r="F287" s="398" t="s">
        <v>278</v>
      </c>
      <c r="G287" s="378"/>
      <c r="H287" s="378" t="s">
        <v>279</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95</v>
      </c>
      <c r="C288" s="378"/>
      <c r="D288" s="378"/>
      <c r="E288" s="378"/>
      <c r="F288" s="398" t="s">
        <v>152</v>
      </c>
      <c r="G288" s="378"/>
      <c r="H288" s="378" t="s">
        <v>158</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c r="C289" s="378"/>
      <c r="D289" s="378"/>
      <c r="E289" s="378"/>
      <c r="F289" s="378"/>
      <c r="G289" s="259"/>
      <c r="H289" s="257"/>
      <c r="I289" s="257"/>
      <c r="J289" s="257"/>
      <c r="K289" s="257"/>
      <c r="L289" s="257"/>
      <c r="M289" s="257"/>
      <c r="N289" s="257"/>
      <c r="O289" s="257"/>
      <c r="P289" s="257"/>
      <c r="Q289" s="257"/>
      <c r="R289" s="257"/>
      <c r="S289" s="257"/>
      <c r="T289" s="257"/>
      <c r="U289" s="257"/>
      <c r="V289" s="257"/>
      <c r="W289" s="187"/>
      <c r="X289" s="5"/>
    </row>
    <row r="290" spans="1:24" ht="18" thickBot="1" x14ac:dyDescent="0.35">
      <c r="A290" s="222"/>
      <c r="B290" s="260" t="str">
        <f>B195</f>
        <v>PM12 INVESTOR REPORT QUARTER ENDING JULY 2012</v>
      </c>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x14ac:dyDescent="0.2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row>
  </sheetData>
  <hyperlinks>
    <hyperlink ref="P231" r:id="rId1" xr:uid="{00000000-0004-0000-1700-000000000000}"/>
    <hyperlink ref="I9" r:id="rId2" xr:uid="{00000000-0004-0000-17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195" max="14" man="1"/>
  </rowBreak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89CB31"/>
  </sheetPr>
  <dimension ref="A1:Y291"/>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0.64610000000000001</v>
      </c>
      <c r="T16" s="381" t="s">
        <v>145</v>
      </c>
      <c r="U16" s="380">
        <v>0.35389999999999999</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41235</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316</v>
      </c>
      <c r="E27" s="285"/>
      <c r="F27" s="285" t="s">
        <v>317</v>
      </c>
      <c r="G27" s="285"/>
      <c r="H27" s="285" t="s">
        <v>317</v>
      </c>
      <c r="I27" s="285"/>
      <c r="J27" s="285" t="s">
        <v>317</v>
      </c>
      <c r="K27" s="285"/>
      <c r="L27" s="285" t="s">
        <v>149</v>
      </c>
      <c r="M27" s="285"/>
      <c r="N27" s="285" t="s">
        <v>149</v>
      </c>
      <c r="O27" s="285"/>
      <c r="P27" s="285" t="s">
        <v>318</v>
      </c>
      <c r="Q27" s="285"/>
      <c r="R27" s="285" t="s">
        <v>318</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902236.5</v>
      </c>
      <c r="E32" s="289"/>
      <c r="F32" s="290">
        <f>F31*F38</f>
        <v>87216.340000000011</v>
      </c>
      <c r="G32" s="290"/>
      <c r="H32" s="295">
        <f>H31*H38</f>
        <v>147365.54</v>
      </c>
      <c r="I32" s="295"/>
      <c r="J32" s="294">
        <f>J31*J38</f>
        <v>187063.701</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896475.60000000009</v>
      </c>
      <c r="E33" s="301"/>
      <c r="F33" s="303">
        <f>F37*F31</f>
        <v>86659.453000000009</v>
      </c>
      <c r="G33" s="303"/>
      <c r="H33" s="384">
        <f>H31*H37</f>
        <v>146424.59300000002</v>
      </c>
      <c r="I33" s="384"/>
      <c r="J33" s="383">
        <f>J37*J31</f>
        <v>185869.27439999999</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490345.688547</v>
      </c>
      <c r="E35" s="289"/>
      <c r="F35" s="290">
        <f>F34*F38</f>
        <v>87216.340000000011</v>
      </c>
      <c r="G35" s="290"/>
      <c r="H35" s="290">
        <f>H34*H38</f>
        <v>101631.697272</v>
      </c>
      <c r="I35" s="290"/>
      <c r="J35" s="290">
        <f>J34*J38</f>
        <v>101665.21180200001</v>
      </c>
      <c r="K35" s="290"/>
      <c r="L35" s="290">
        <f>+L34</f>
        <v>25000</v>
      </c>
      <c r="M35" s="290"/>
      <c r="N35" s="290">
        <f>+N34</f>
        <v>86897</v>
      </c>
      <c r="O35" s="290"/>
      <c r="P35" s="290">
        <f>+P34</f>
        <v>17000</v>
      </c>
      <c r="Q35" s="290"/>
      <c r="R35" s="290">
        <f>+R34</f>
        <v>73103</v>
      </c>
      <c r="S35" s="290"/>
      <c r="T35" s="290"/>
      <c r="U35" s="291"/>
      <c r="V35" s="290">
        <f>SUM(C35:R35)-1</f>
        <v>982857.93762099999</v>
      </c>
      <c r="W35" s="292"/>
      <c r="X35" s="5"/>
    </row>
    <row r="36" spans="1:24" ht="15.6" x14ac:dyDescent="0.3">
      <c r="A36" s="283"/>
      <c r="B36" s="288" t="s">
        <v>295</v>
      </c>
      <c r="C36" s="301"/>
      <c r="D36" s="303">
        <f>D34*D37</f>
        <v>487214.7661368</v>
      </c>
      <c r="E36" s="301"/>
      <c r="F36" s="303">
        <f>F34*F37</f>
        <v>86659.453000000009</v>
      </c>
      <c r="G36" s="303"/>
      <c r="H36" s="303">
        <f>H34*H37</f>
        <v>100982.76645240001</v>
      </c>
      <c r="I36" s="303"/>
      <c r="J36" s="303">
        <f>J34*J37</f>
        <v>101016.06590880001</v>
      </c>
      <c r="K36" s="303"/>
      <c r="L36" s="303">
        <f>+L34</f>
        <v>25000</v>
      </c>
      <c r="M36" s="303"/>
      <c r="N36" s="303">
        <f>+N34</f>
        <v>86897</v>
      </c>
      <c r="O36" s="303"/>
      <c r="P36" s="303">
        <f>+P34</f>
        <v>17000</v>
      </c>
      <c r="Q36" s="303"/>
      <c r="R36" s="303">
        <f>+R34</f>
        <v>73103</v>
      </c>
      <c r="S36" s="302"/>
      <c r="T36" s="302"/>
      <c r="U36" s="291"/>
      <c r="V36" s="303">
        <f>SUM(C36:R36)</f>
        <v>977873.05149800004</v>
      </c>
      <c r="W36" s="292"/>
      <c r="X36" s="5"/>
    </row>
    <row r="37" spans="1:24" ht="15.6" x14ac:dyDescent="0.3">
      <c r="A37" s="278"/>
      <c r="B37" s="304" t="s">
        <v>135</v>
      </c>
      <c r="C37" s="305"/>
      <c r="D37" s="306">
        <v>0.59765040000000003</v>
      </c>
      <c r="E37" s="307"/>
      <c r="F37" s="306">
        <v>0.59765140000000005</v>
      </c>
      <c r="G37" s="306"/>
      <c r="H37" s="306">
        <v>0.59765140000000005</v>
      </c>
      <c r="I37" s="306"/>
      <c r="J37" s="306">
        <v>0.59765040000000003</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0.601491</v>
      </c>
      <c r="E38" s="307"/>
      <c r="F38" s="306">
        <v>0.60149200000000003</v>
      </c>
      <c r="G38" s="306"/>
      <c r="H38" s="306">
        <v>0.60149200000000003</v>
      </c>
      <c r="I38" s="306"/>
      <c r="J38" s="306">
        <v>0.601491</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4.5399999999999998E-3</v>
      </c>
      <c r="E40" s="279"/>
      <c r="F40" s="314">
        <v>9.4438000000000005E-3</v>
      </c>
      <c r="G40" s="313"/>
      <c r="H40" s="314">
        <v>5.8900000000000003E-3</v>
      </c>
      <c r="I40" s="314"/>
      <c r="J40" s="314">
        <v>6.5449999999999996E-3</v>
      </c>
      <c r="K40" s="313"/>
      <c r="L40" s="314">
        <v>1.18438E-2</v>
      </c>
      <c r="M40" s="313"/>
      <c r="N40" s="314">
        <v>8.2900000000000005E-3</v>
      </c>
      <c r="O40" s="313"/>
      <c r="P40" s="314">
        <v>1.6243799999999999E-2</v>
      </c>
      <c r="Q40" s="313"/>
      <c r="R40" s="314">
        <v>1.269E-2</v>
      </c>
      <c r="S40" s="313"/>
      <c r="T40" s="314"/>
      <c r="U40" s="281"/>
      <c r="V40" s="287"/>
      <c r="W40" s="282"/>
      <c r="X40" s="5"/>
    </row>
    <row r="41" spans="1:24" ht="15.6" x14ac:dyDescent="0.3">
      <c r="A41" s="278"/>
      <c r="B41" s="279" t="s">
        <v>13</v>
      </c>
      <c r="C41" s="279"/>
      <c r="D41" s="314">
        <v>4.8875000000000004E-3</v>
      </c>
      <c r="E41" s="279"/>
      <c r="F41" s="314">
        <v>1.2475E-2</v>
      </c>
      <c r="G41" s="313"/>
      <c r="H41" s="314">
        <v>9.2999999999999992E-3</v>
      </c>
      <c r="I41" s="314"/>
      <c r="J41" s="314">
        <v>6.8684999999999996E-3</v>
      </c>
      <c r="K41" s="313"/>
      <c r="L41" s="314">
        <v>1.4874999999999999E-2</v>
      </c>
      <c r="M41" s="313"/>
      <c r="N41" s="314">
        <v>1.17E-2</v>
      </c>
      <c r="O41" s="313"/>
      <c r="P41" s="314">
        <v>1.9275E-2</v>
      </c>
      <c r="Q41" s="313"/>
      <c r="R41" s="314">
        <v>1.61E-2</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9.6580999999999993E-3</v>
      </c>
      <c r="E43" s="314"/>
      <c r="F43" s="314">
        <f>+F40</f>
        <v>9.4438000000000005E-3</v>
      </c>
      <c r="G43" s="314"/>
      <c r="H43" s="314">
        <v>9.3658000000000005E-3</v>
      </c>
      <c r="I43" s="314"/>
      <c r="J43" s="314">
        <v>9.6077999999999997E-3</v>
      </c>
      <c r="K43" s="314"/>
      <c r="L43" s="314">
        <f>+L40</f>
        <v>1.18438E-2</v>
      </c>
      <c r="M43" s="314"/>
      <c r="N43" s="314">
        <v>1.2045800000000001E-2</v>
      </c>
      <c r="O43" s="314"/>
      <c r="P43" s="314">
        <f>+P40</f>
        <v>1.6243799999999999E-2</v>
      </c>
      <c r="Q43" s="313"/>
      <c r="R43" s="314">
        <v>1.6715799999999999E-2</v>
      </c>
      <c r="S43" s="287"/>
      <c r="T43" s="287"/>
      <c r="U43" s="281"/>
      <c r="V43" s="313">
        <f>SUMPRODUCT(D43:R43,D35:R35)/V35</f>
        <v>1.0509210693775892E-2</v>
      </c>
      <c r="W43" s="282"/>
      <c r="X43" s="5"/>
    </row>
    <row r="44" spans="1:24" ht="15.6" x14ac:dyDescent="0.3">
      <c r="A44" s="278"/>
      <c r="B44" s="279" t="s">
        <v>298</v>
      </c>
      <c r="C44" s="315"/>
      <c r="D44" s="314">
        <v>1.2689300000000001E-2</v>
      </c>
      <c r="E44" s="314"/>
      <c r="F44" s="314">
        <f>+F41</f>
        <v>1.2475E-2</v>
      </c>
      <c r="G44" s="314"/>
      <c r="H44" s="314">
        <v>1.2397E-2</v>
      </c>
      <c r="I44" s="314"/>
      <c r="J44" s="314">
        <v>1.2638999999999999E-2</v>
      </c>
      <c r="K44" s="314"/>
      <c r="L44" s="314">
        <f>+L41</f>
        <v>1.4874999999999999E-2</v>
      </c>
      <c r="M44" s="314"/>
      <c r="N44" s="314">
        <v>1.5077E-2</v>
      </c>
      <c r="O44" s="314"/>
      <c r="P44" s="314">
        <f>+P41</f>
        <v>1.9275E-2</v>
      </c>
      <c r="Q44" s="313"/>
      <c r="R44" s="314">
        <v>1.9747000000000001E-2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0.26035187020607675</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41228</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92</v>
      </c>
      <c r="S57" s="279"/>
      <c r="T57" s="325">
        <v>41044</v>
      </c>
      <c r="U57" s="326"/>
      <c r="V57" s="325">
        <v>41135</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41136</v>
      </c>
      <c r="U58" s="326"/>
      <c r="V58" s="325">
        <v>41227</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41214</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319</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982858</v>
      </c>
      <c r="O68" s="329"/>
      <c r="P68" s="329">
        <f>4986+10+80-1</f>
        <v>5075</v>
      </c>
      <c r="Q68" s="329"/>
      <c r="R68" s="329">
        <f>10+80</f>
        <v>90</v>
      </c>
      <c r="S68" s="329"/>
      <c r="T68" s="329">
        <v>0</v>
      </c>
      <c r="U68" s="329"/>
      <c r="V68" s="330">
        <f>+N68-P68+R68-T68</f>
        <v>977873</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982858</v>
      </c>
      <c r="O71" s="329"/>
      <c r="P71" s="329">
        <f>SUM(P68:P70)</f>
        <v>5075</v>
      </c>
      <c r="Q71" s="329"/>
      <c r="R71" s="329">
        <f>SUM(R68:R70)</f>
        <v>90</v>
      </c>
      <c r="S71" s="329"/>
      <c r="T71" s="329">
        <f>SUM(T68:T70)</f>
        <v>0</v>
      </c>
      <c r="U71" s="329"/>
      <c r="V71" s="329">
        <f>SUM(V68:V70)</f>
        <v>977873</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982858</v>
      </c>
      <c r="O84" s="329"/>
      <c r="P84" s="329"/>
      <c r="Q84" s="329"/>
      <c r="R84" s="329"/>
      <c r="S84" s="329"/>
      <c r="T84" s="329"/>
      <c r="U84" s="329"/>
      <c r="V84" s="329">
        <f>SUM(V71:V83)</f>
        <v>977873</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+T196</f>
        <v>41213</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5075-4</f>
        <v>5071</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4887+2617-967-337</f>
        <v>6200</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11+56</f>
        <v>67</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72</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509</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5071</v>
      </c>
      <c r="U96" s="279"/>
      <c r="V96" s="329">
        <f>SUM(V88:V95)</f>
        <v>6848</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-1</v>
      </c>
      <c r="U97" s="279"/>
      <c r="V97" s="329">
        <v>1</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263</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5070</v>
      </c>
      <c r="U100" s="279"/>
      <c r="V100" s="329">
        <f>V96+V98+V97+V99</f>
        <v>7112</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259</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210</v>
      </c>
      <c r="C104" s="279"/>
      <c r="D104" s="279"/>
      <c r="E104" s="279"/>
      <c r="F104" s="279"/>
      <c r="G104" s="279"/>
      <c r="H104" s="279"/>
      <c r="I104" s="279"/>
      <c r="J104" s="279"/>
      <c r="K104" s="279"/>
      <c r="L104" s="279"/>
      <c r="M104" s="279"/>
      <c r="N104" s="279"/>
      <c r="O104" s="279"/>
      <c r="P104" s="279"/>
      <c r="Q104" s="279"/>
      <c r="R104" s="279"/>
      <c r="S104" s="279"/>
      <c r="T104" s="279"/>
      <c r="U104" s="279"/>
      <c r="V104" s="330">
        <f>-375-219-12</f>
        <v>-606</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-48</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-1887+207</f>
        <v>-1680</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-207</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-264</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-75</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-308</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-70</v>
      </c>
      <c r="W111" s="282"/>
      <c r="X111" s="5"/>
      <c r="Y111" s="109"/>
    </row>
    <row r="112" spans="1:25" ht="15.6" x14ac:dyDescent="0.3">
      <c r="A112" s="336">
        <v>7</v>
      </c>
      <c r="B112" s="279" t="s">
        <v>35</v>
      </c>
      <c r="C112" s="279"/>
      <c r="D112" s="279"/>
      <c r="E112" s="279"/>
      <c r="F112" s="279"/>
      <c r="G112" s="279"/>
      <c r="H112" s="279"/>
      <c r="I112" s="279"/>
      <c r="J112" s="279"/>
      <c r="K112" s="279"/>
      <c r="L112" s="279"/>
      <c r="M112" s="279"/>
      <c r="N112" s="279"/>
      <c r="O112" s="279"/>
      <c r="P112" s="279"/>
      <c r="Q112" s="279"/>
      <c r="R112" s="279"/>
      <c r="S112" s="279"/>
      <c r="T112" s="279"/>
      <c r="U112" s="279"/>
      <c r="V112" s="330">
        <v>-8</v>
      </c>
      <c r="W112" s="282"/>
      <c r="X112" s="5"/>
    </row>
    <row r="113" spans="1:24" ht="15.6" x14ac:dyDescent="0.3">
      <c r="A113" s="336">
        <f t="shared" ref="A113:A118" si="0">+A112+1</f>
        <v>8</v>
      </c>
      <c r="B113" s="279" t="s">
        <v>46</v>
      </c>
      <c r="C113" s="279"/>
      <c r="D113" s="279"/>
      <c r="E113" s="279"/>
      <c r="F113" s="279"/>
      <c r="G113" s="279"/>
      <c r="H113" s="279"/>
      <c r="I113" s="279"/>
      <c r="J113" s="279"/>
      <c r="K113" s="279"/>
      <c r="L113" s="279"/>
      <c r="M113" s="279"/>
      <c r="N113" s="279"/>
      <c r="O113" s="279"/>
      <c r="P113" s="279"/>
      <c r="Q113" s="279"/>
      <c r="R113" s="279"/>
      <c r="S113" s="279"/>
      <c r="T113" s="329">
        <f>-V113</f>
        <v>4</v>
      </c>
      <c r="U113" s="279"/>
      <c r="V113" s="330">
        <v>-4</v>
      </c>
      <c r="W113" s="282"/>
      <c r="X113" s="5"/>
    </row>
    <row r="114" spans="1:24" ht="15.6" x14ac:dyDescent="0.3">
      <c r="A114" s="336">
        <f t="shared" si="0"/>
        <v>9</v>
      </c>
      <c r="B114" s="279" t="s">
        <v>130</v>
      </c>
      <c r="C114" s="279"/>
      <c r="D114" s="279"/>
      <c r="E114" s="279"/>
      <c r="F114" s="279"/>
      <c r="G114" s="279"/>
      <c r="H114" s="279"/>
      <c r="I114" s="279"/>
      <c r="J114" s="279"/>
      <c r="K114" s="279"/>
      <c r="L114" s="279"/>
      <c r="M114" s="279"/>
      <c r="N114" s="279"/>
      <c r="O114" s="279"/>
      <c r="P114" s="279"/>
      <c r="Q114" s="279"/>
      <c r="R114" s="279"/>
      <c r="S114" s="279"/>
      <c r="T114" s="279"/>
      <c r="U114" s="279"/>
      <c r="V114" s="330">
        <v>0</v>
      </c>
      <c r="W114" s="282"/>
      <c r="X114" s="5"/>
    </row>
    <row r="115" spans="1:24" ht="15.6" x14ac:dyDescent="0.3">
      <c r="A115" s="336">
        <f t="shared" si="0"/>
        <v>10</v>
      </c>
      <c r="B115" s="279" t="s">
        <v>36</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37</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154</v>
      </c>
      <c r="C117" s="279"/>
      <c r="D117" s="279"/>
      <c r="E117" s="279"/>
      <c r="F117" s="279"/>
      <c r="G117" s="279"/>
      <c r="H117" s="279"/>
      <c r="I117" s="279"/>
      <c r="J117" s="279"/>
      <c r="K117" s="279"/>
      <c r="L117" s="279"/>
      <c r="M117" s="279"/>
      <c r="N117" s="279"/>
      <c r="O117" s="279"/>
      <c r="P117" s="279"/>
      <c r="Q117" s="279"/>
      <c r="R117" s="279"/>
      <c r="S117" s="279"/>
      <c r="T117" s="279"/>
      <c r="U117" s="279"/>
      <c r="V117" s="330">
        <v>-374</v>
      </c>
      <c r="W117" s="282"/>
      <c r="X117" s="5"/>
    </row>
    <row r="118" spans="1:24" ht="15.6" x14ac:dyDescent="0.3">
      <c r="A118" s="336">
        <f t="shared" si="0"/>
        <v>13</v>
      </c>
      <c r="B118" s="279" t="s">
        <v>131</v>
      </c>
      <c r="C118" s="279"/>
      <c r="D118" s="279"/>
      <c r="E118" s="279"/>
      <c r="F118" s="279"/>
      <c r="G118" s="279"/>
      <c r="H118" s="279"/>
      <c r="I118" s="279"/>
      <c r="J118" s="279"/>
      <c r="K118" s="279"/>
      <c r="L118" s="279"/>
      <c r="M118" s="279"/>
      <c r="N118" s="279"/>
      <c r="O118" s="279"/>
      <c r="P118" s="279"/>
      <c r="Q118" s="279"/>
      <c r="R118" s="279"/>
      <c r="S118" s="279"/>
      <c r="T118" s="279"/>
      <c r="U118" s="279"/>
      <c r="V118" s="330">
        <f>-V100-SUM(V102:V117)</f>
        <v>-3466</v>
      </c>
      <c r="W118" s="282"/>
      <c r="X118" s="5"/>
    </row>
    <row r="119" spans="1:24" ht="15.6" x14ac:dyDescent="0.3">
      <c r="A119" s="278"/>
      <c r="B119" s="333" t="s">
        <v>38</v>
      </c>
      <c r="C119" s="305"/>
      <c r="D119" s="305"/>
      <c r="E119" s="305"/>
      <c r="F119" s="305"/>
      <c r="G119" s="305"/>
      <c r="H119" s="305"/>
      <c r="I119" s="305"/>
      <c r="J119" s="305"/>
      <c r="K119" s="305"/>
      <c r="L119" s="305"/>
      <c r="M119" s="305"/>
      <c r="N119" s="305"/>
      <c r="O119" s="305"/>
      <c r="P119" s="305"/>
      <c r="Q119" s="305"/>
      <c r="R119" s="305"/>
      <c r="S119" s="305"/>
      <c r="T119" s="305"/>
      <c r="U119" s="305"/>
      <c r="V119" s="337"/>
      <c r="W119" s="310"/>
      <c r="X119" s="5"/>
    </row>
    <row r="120" spans="1:24" ht="15.6" x14ac:dyDescent="0.3">
      <c r="A120" s="278"/>
      <c r="B120" s="279" t="s">
        <v>179</v>
      </c>
      <c r="C120" s="279"/>
      <c r="D120" s="279"/>
      <c r="E120" s="279"/>
      <c r="F120" s="279"/>
      <c r="G120" s="279"/>
      <c r="H120" s="279"/>
      <c r="I120" s="279"/>
      <c r="J120" s="279"/>
      <c r="K120" s="279"/>
      <c r="L120" s="279"/>
      <c r="M120" s="279"/>
      <c r="N120" s="279"/>
      <c r="O120" s="279"/>
      <c r="P120" s="279"/>
      <c r="Q120" s="279"/>
      <c r="R120" s="279"/>
      <c r="S120" s="279"/>
      <c r="T120" s="329">
        <f>-T180</f>
        <v>0</v>
      </c>
      <c r="U120" s="329"/>
      <c r="V120" s="330"/>
      <c r="W120" s="282"/>
      <c r="X120" s="5"/>
    </row>
    <row r="121" spans="1:24" ht="15.6" x14ac:dyDescent="0.3">
      <c r="A121" s="278"/>
      <c r="B121" s="279" t="s">
        <v>180</v>
      </c>
      <c r="C121" s="279"/>
      <c r="D121" s="279"/>
      <c r="E121" s="279"/>
      <c r="F121" s="279"/>
      <c r="G121" s="279"/>
      <c r="H121" s="279"/>
      <c r="I121" s="279"/>
      <c r="J121" s="279"/>
      <c r="K121" s="279"/>
      <c r="L121" s="279"/>
      <c r="M121" s="279"/>
      <c r="N121" s="279"/>
      <c r="O121" s="279"/>
      <c r="P121" s="279"/>
      <c r="Q121" s="279"/>
      <c r="R121" s="279"/>
      <c r="S121" s="279"/>
      <c r="T121" s="329">
        <v>-20</v>
      </c>
      <c r="U121" s="329"/>
      <c r="V121" s="330"/>
      <c r="W121" s="282"/>
      <c r="X121" s="5"/>
    </row>
    <row r="122" spans="1:24" ht="15.6" x14ac:dyDescent="0.3">
      <c r="A122" s="278"/>
      <c r="B122" s="279" t="s">
        <v>39</v>
      </c>
      <c r="C122" s="279"/>
      <c r="D122" s="279"/>
      <c r="E122" s="279"/>
      <c r="F122" s="279"/>
      <c r="G122" s="279"/>
      <c r="H122" s="279"/>
      <c r="I122" s="279"/>
      <c r="J122" s="279"/>
      <c r="K122" s="279"/>
      <c r="L122" s="279"/>
      <c r="M122" s="279"/>
      <c r="N122" s="279"/>
      <c r="O122" s="279"/>
      <c r="P122" s="279"/>
      <c r="Q122" s="279"/>
      <c r="R122" s="279"/>
      <c r="S122" s="279"/>
      <c r="T122" s="329">
        <f>-S180</f>
        <v>-69</v>
      </c>
      <c r="U122" s="329"/>
      <c r="V122" s="330"/>
      <c r="W122" s="282"/>
      <c r="X122" s="5"/>
    </row>
    <row r="123" spans="1:24" ht="15.6" x14ac:dyDescent="0.3">
      <c r="A123" s="278"/>
      <c r="B123" s="279" t="s">
        <v>203</v>
      </c>
      <c r="C123" s="279"/>
      <c r="D123" s="279"/>
      <c r="E123" s="279"/>
      <c r="F123" s="279"/>
      <c r="G123" s="279"/>
      <c r="H123" s="279"/>
      <c r="I123" s="279"/>
      <c r="J123" s="279"/>
      <c r="K123" s="279"/>
      <c r="L123" s="279"/>
      <c r="M123" s="279"/>
      <c r="N123" s="279"/>
      <c r="O123" s="279"/>
      <c r="P123" s="279"/>
      <c r="Q123" s="279"/>
      <c r="R123" s="279"/>
      <c r="S123" s="279"/>
      <c r="T123" s="329">
        <v>-3131</v>
      </c>
      <c r="U123" s="329"/>
      <c r="V123" s="330"/>
      <c r="W123" s="282"/>
      <c r="X123" s="5"/>
    </row>
    <row r="124" spans="1:24" ht="15.6" x14ac:dyDescent="0.3">
      <c r="A124" s="278"/>
      <c r="B124" s="279" t="s">
        <v>201</v>
      </c>
      <c r="C124" s="279"/>
      <c r="D124" s="279"/>
      <c r="E124" s="279"/>
      <c r="F124" s="279"/>
      <c r="G124" s="279"/>
      <c r="H124" s="279"/>
      <c r="I124" s="279"/>
      <c r="J124" s="279"/>
      <c r="K124" s="279"/>
      <c r="L124" s="279"/>
      <c r="M124" s="279"/>
      <c r="N124" s="279"/>
      <c r="O124" s="279"/>
      <c r="P124" s="279"/>
      <c r="Q124" s="279"/>
      <c r="R124" s="279"/>
      <c r="S124" s="279"/>
      <c r="T124" s="329">
        <v>-557</v>
      </c>
      <c r="U124" s="329"/>
      <c r="V124" s="330"/>
      <c r="W124" s="282"/>
      <c r="X124" s="5"/>
    </row>
    <row r="125" spans="1:24" ht="15.6" x14ac:dyDescent="0.3">
      <c r="A125" s="278"/>
      <c r="B125" s="279" t="s">
        <v>200</v>
      </c>
      <c r="C125" s="279"/>
      <c r="D125" s="279"/>
      <c r="E125" s="279"/>
      <c r="F125" s="279"/>
      <c r="G125" s="279"/>
      <c r="H125" s="279"/>
      <c r="I125" s="279"/>
      <c r="J125" s="279"/>
      <c r="K125" s="279"/>
      <c r="L125" s="279"/>
      <c r="M125" s="279"/>
      <c r="N125" s="279"/>
      <c r="O125" s="279"/>
      <c r="P125" s="279"/>
      <c r="Q125" s="279"/>
      <c r="R125" s="279"/>
      <c r="S125" s="279"/>
      <c r="T125" s="329">
        <v>-648</v>
      </c>
      <c r="U125" s="329"/>
      <c r="V125" s="330"/>
      <c r="W125" s="282"/>
      <c r="X125" s="5"/>
    </row>
    <row r="126" spans="1:24" ht="15.6" x14ac:dyDescent="0.3">
      <c r="A126" s="278"/>
      <c r="B126" s="279" t="s">
        <v>260</v>
      </c>
      <c r="C126" s="279"/>
      <c r="D126" s="279"/>
      <c r="E126" s="279"/>
      <c r="F126" s="279"/>
      <c r="G126" s="279"/>
      <c r="H126" s="279"/>
      <c r="I126" s="279"/>
      <c r="J126" s="279"/>
      <c r="K126" s="279"/>
      <c r="L126" s="279"/>
      <c r="M126" s="279"/>
      <c r="N126" s="279"/>
      <c r="O126" s="279"/>
      <c r="P126" s="279"/>
      <c r="Q126" s="279"/>
      <c r="R126" s="279"/>
      <c r="S126" s="279"/>
      <c r="T126" s="329">
        <v>-649</v>
      </c>
      <c r="U126" s="329"/>
      <c r="V126" s="330"/>
      <c r="W126" s="282"/>
      <c r="X126" s="5"/>
    </row>
    <row r="127" spans="1:24" ht="15.6" x14ac:dyDescent="0.3">
      <c r="A127" s="278"/>
      <c r="B127" s="279" t="s">
        <v>195</v>
      </c>
      <c r="C127" s="279"/>
      <c r="D127" s="279"/>
      <c r="E127" s="279"/>
      <c r="F127" s="279"/>
      <c r="G127" s="279"/>
      <c r="H127" s="279"/>
      <c r="I127" s="279"/>
      <c r="J127" s="279"/>
      <c r="K127" s="279"/>
      <c r="L127" s="279"/>
      <c r="M127" s="279"/>
      <c r="N127" s="279"/>
      <c r="O127" s="279"/>
      <c r="P127" s="279"/>
      <c r="Q127" s="279"/>
      <c r="R127" s="279"/>
      <c r="S127" s="279"/>
      <c r="T127" s="329">
        <v>0</v>
      </c>
      <c r="U127" s="329"/>
      <c r="V127" s="330"/>
      <c r="W127" s="282"/>
      <c r="X127" s="5"/>
    </row>
    <row r="128" spans="1:24" ht="15.6" x14ac:dyDescent="0.3">
      <c r="A128" s="278"/>
      <c r="B128" s="279" t="s">
        <v>194</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261</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193</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40</v>
      </c>
      <c r="C131" s="279"/>
      <c r="D131" s="279"/>
      <c r="E131" s="279"/>
      <c r="F131" s="279"/>
      <c r="G131" s="279"/>
      <c r="H131" s="279"/>
      <c r="I131" s="279"/>
      <c r="J131" s="279"/>
      <c r="K131" s="279"/>
      <c r="L131" s="279"/>
      <c r="M131" s="279"/>
      <c r="N131" s="279"/>
      <c r="O131" s="279"/>
      <c r="P131" s="279"/>
      <c r="Q131" s="279"/>
      <c r="R131" s="279"/>
      <c r="S131" s="279"/>
      <c r="T131" s="329">
        <f>SUM(T120:T130)</f>
        <v>-5074</v>
      </c>
      <c r="U131" s="329"/>
      <c r="V131" s="329">
        <f>SUM(V101:V128)</f>
        <v>-7112</v>
      </c>
      <c r="W131" s="282"/>
      <c r="X131" s="5"/>
    </row>
    <row r="132" spans="1:24" ht="15.6" x14ac:dyDescent="0.3">
      <c r="A132" s="278"/>
      <c r="B132" s="279" t="s">
        <v>41</v>
      </c>
      <c r="C132" s="279"/>
      <c r="D132" s="279"/>
      <c r="E132" s="279"/>
      <c r="F132" s="279"/>
      <c r="G132" s="279"/>
      <c r="H132" s="279"/>
      <c r="I132" s="279"/>
      <c r="J132" s="279"/>
      <c r="K132" s="279"/>
      <c r="L132" s="279"/>
      <c r="M132" s="279"/>
      <c r="N132" s="279"/>
      <c r="O132" s="279"/>
      <c r="P132" s="279"/>
      <c r="Q132" s="279"/>
      <c r="R132" s="279"/>
      <c r="S132" s="279"/>
      <c r="T132" s="329">
        <f>T100+T131+T113</f>
        <v>0</v>
      </c>
      <c r="U132" s="329"/>
      <c r="V132" s="329">
        <f>V100+V131</f>
        <v>0</v>
      </c>
      <c r="W132" s="282"/>
      <c r="X132" s="5"/>
    </row>
    <row r="133" spans="1:24" ht="15.6" x14ac:dyDescent="0.3">
      <c r="A133" s="177"/>
      <c r="B133" s="275"/>
      <c r="C133" s="275"/>
      <c r="D133" s="275"/>
      <c r="E133" s="275"/>
      <c r="F133" s="275"/>
      <c r="G133" s="275"/>
      <c r="H133" s="275"/>
      <c r="I133" s="275"/>
      <c r="J133" s="275"/>
      <c r="K133" s="275"/>
      <c r="L133" s="275"/>
      <c r="M133" s="275"/>
      <c r="N133" s="275"/>
      <c r="O133" s="275"/>
      <c r="P133" s="275"/>
      <c r="Q133" s="275"/>
      <c r="R133" s="275"/>
      <c r="S133" s="275"/>
      <c r="T133" s="327"/>
      <c r="U133" s="327"/>
      <c r="V133" s="327"/>
      <c r="W133" s="275"/>
      <c r="X133" s="5"/>
    </row>
    <row r="134" spans="1:24" ht="15.6" x14ac:dyDescent="0.3">
      <c r="A134" s="177"/>
      <c r="B134" s="179"/>
      <c r="C134" s="179"/>
      <c r="D134" s="179"/>
      <c r="E134" s="179"/>
      <c r="F134" s="179"/>
      <c r="G134" s="179"/>
      <c r="H134" s="179"/>
      <c r="I134" s="179"/>
      <c r="J134" s="179"/>
      <c r="K134" s="179"/>
      <c r="L134" s="179"/>
      <c r="M134" s="179"/>
      <c r="N134" s="179"/>
      <c r="O134" s="179"/>
      <c r="P134" s="179"/>
      <c r="Q134" s="179"/>
      <c r="R134" s="179"/>
      <c r="S134" s="179"/>
      <c r="T134" s="179"/>
      <c r="U134" s="179"/>
      <c r="V134" s="199"/>
      <c r="W134" s="179"/>
      <c r="X134" s="5"/>
    </row>
    <row r="135" spans="1:24" ht="18" thickBot="1" x14ac:dyDescent="0.35">
      <c r="A135" s="194"/>
      <c r="B135" s="264" t="str">
        <f>B64</f>
        <v>PM12 INVESTOR REPORT QUARTER ENDING OCTOBER 2012</v>
      </c>
      <c r="C135" s="195"/>
      <c r="D135" s="195"/>
      <c r="E135" s="195"/>
      <c r="F135" s="195"/>
      <c r="G135" s="195"/>
      <c r="H135" s="195"/>
      <c r="I135" s="195"/>
      <c r="J135" s="195"/>
      <c r="K135" s="195"/>
      <c r="L135" s="195"/>
      <c r="M135" s="195"/>
      <c r="N135" s="195"/>
      <c r="O135" s="195"/>
      <c r="P135" s="195"/>
      <c r="Q135" s="195"/>
      <c r="R135" s="195"/>
      <c r="S135" s="195"/>
      <c r="T135" s="195"/>
      <c r="U135" s="195"/>
      <c r="V135" s="207"/>
      <c r="W135" s="197"/>
      <c r="X135" s="5"/>
    </row>
    <row r="136" spans="1:24" ht="15.6" x14ac:dyDescent="0.3">
      <c r="A136" s="235"/>
      <c r="B136" s="392" t="s">
        <v>42</v>
      </c>
      <c r="C136" s="236"/>
      <c r="D136" s="236"/>
      <c r="E136" s="236"/>
      <c r="F136" s="236"/>
      <c r="G136" s="236"/>
      <c r="H136" s="236"/>
      <c r="I136" s="236"/>
      <c r="J136" s="236"/>
      <c r="K136" s="236"/>
      <c r="L136" s="236"/>
      <c r="M136" s="236"/>
      <c r="N136" s="236"/>
      <c r="O136" s="236"/>
      <c r="P136" s="236"/>
      <c r="Q136" s="236"/>
      <c r="R136" s="236"/>
      <c r="S136" s="236"/>
      <c r="T136" s="236"/>
      <c r="U136" s="236"/>
      <c r="V136" s="237"/>
      <c r="W136" s="236"/>
      <c r="X136" s="5"/>
    </row>
    <row r="137" spans="1:24" ht="15.6" x14ac:dyDescent="0.3">
      <c r="A137" s="177"/>
      <c r="B137" s="186"/>
      <c r="C137" s="179"/>
      <c r="D137" s="179"/>
      <c r="E137" s="179"/>
      <c r="F137" s="179"/>
      <c r="G137" s="179"/>
      <c r="H137" s="179"/>
      <c r="I137" s="179"/>
      <c r="J137" s="179"/>
      <c r="K137" s="179"/>
      <c r="L137" s="179"/>
      <c r="M137" s="179"/>
      <c r="N137" s="179"/>
      <c r="O137" s="179"/>
      <c r="P137" s="179"/>
      <c r="Q137" s="179"/>
      <c r="R137" s="179"/>
      <c r="S137" s="179"/>
      <c r="T137" s="179"/>
      <c r="U137" s="179"/>
      <c r="V137" s="199"/>
      <c r="W137" s="179"/>
      <c r="X137" s="5"/>
    </row>
    <row r="138" spans="1:24" ht="15.6" x14ac:dyDescent="0.3">
      <c r="A138" s="177"/>
      <c r="B138" s="208" t="s">
        <v>43</v>
      </c>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278"/>
      <c r="B139" s="279" t="s">
        <v>44</v>
      </c>
      <c r="C139" s="279"/>
      <c r="D139" s="279"/>
      <c r="E139" s="279"/>
      <c r="F139" s="279"/>
      <c r="G139" s="279"/>
      <c r="H139" s="279"/>
      <c r="I139" s="279"/>
      <c r="J139" s="279"/>
      <c r="K139" s="279"/>
      <c r="L139" s="279"/>
      <c r="M139" s="279"/>
      <c r="N139" s="279"/>
      <c r="O139" s="279"/>
      <c r="P139" s="279"/>
      <c r="Q139" s="279"/>
      <c r="R139" s="279"/>
      <c r="S139" s="279"/>
      <c r="T139" s="279"/>
      <c r="U139" s="279"/>
      <c r="V139" s="330">
        <f>+V34*0.019</f>
        <v>28503.895</v>
      </c>
      <c r="W139" s="310"/>
      <c r="X139" s="5"/>
    </row>
    <row r="140" spans="1:24" ht="15.6" x14ac:dyDescent="0.3">
      <c r="A140" s="278"/>
      <c r="B140" s="279" t="s">
        <v>45</v>
      </c>
      <c r="C140" s="279"/>
      <c r="D140" s="279"/>
      <c r="E140" s="279"/>
      <c r="F140" s="279"/>
      <c r="G140" s="279"/>
      <c r="H140" s="279"/>
      <c r="I140" s="279"/>
      <c r="J140" s="279"/>
      <c r="K140" s="279"/>
      <c r="L140" s="279"/>
      <c r="M140" s="279"/>
      <c r="N140" s="279"/>
      <c r="O140" s="279"/>
      <c r="P140" s="279"/>
      <c r="Q140" s="279"/>
      <c r="R140" s="279"/>
      <c r="S140" s="279"/>
      <c r="T140" s="279"/>
      <c r="U140" s="279"/>
      <c r="V140" s="330">
        <v>28504</v>
      </c>
      <c r="W140" s="310"/>
      <c r="X140" s="5"/>
    </row>
    <row r="141" spans="1:24" ht="15.6" x14ac:dyDescent="0.3">
      <c r="A141" s="278"/>
      <c r="B141" s="279" t="s">
        <v>141</v>
      </c>
      <c r="C141" s="279"/>
      <c r="D141" s="279"/>
      <c r="E141" s="279"/>
      <c r="F141" s="279"/>
      <c r="G141" s="279"/>
      <c r="H141" s="279"/>
      <c r="I141" s="279"/>
      <c r="J141" s="279"/>
      <c r="K141" s="279"/>
      <c r="L141" s="279"/>
      <c r="M141" s="279"/>
      <c r="N141" s="279"/>
      <c r="O141" s="279"/>
      <c r="P141" s="279"/>
      <c r="Q141" s="279"/>
      <c r="R141" s="279"/>
      <c r="S141" s="279"/>
      <c r="T141" s="279"/>
      <c r="U141" s="279"/>
      <c r="V141" s="330">
        <v>0</v>
      </c>
      <c r="W141" s="310"/>
      <c r="X141" s="5"/>
    </row>
    <row r="142" spans="1:24" ht="15.6" x14ac:dyDescent="0.3">
      <c r="A142" s="278"/>
      <c r="B142" s="279" t="s">
        <v>128</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129</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181</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46</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134</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230</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c r="Y147" s="109"/>
    </row>
    <row r="148" spans="1:25" ht="15.6" x14ac:dyDescent="0.3">
      <c r="A148" s="278"/>
      <c r="B148" s="279" t="s">
        <v>47</v>
      </c>
      <c r="C148" s="279"/>
      <c r="D148" s="279"/>
      <c r="E148" s="279"/>
      <c r="F148" s="279"/>
      <c r="G148" s="279"/>
      <c r="H148" s="279"/>
      <c r="I148" s="279"/>
      <c r="J148" s="279"/>
      <c r="K148" s="279"/>
      <c r="L148" s="279"/>
      <c r="M148" s="279"/>
      <c r="N148" s="279"/>
      <c r="O148" s="279"/>
      <c r="P148" s="279"/>
      <c r="Q148" s="279"/>
      <c r="R148" s="279"/>
      <c r="S148" s="279"/>
      <c r="T148" s="279"/>
      <c r="U148" s="279"/>
      <c r="V148" s="330">
        <f>SUM(V140:V147)</f>
        <v>28504</v>
      </c>
      <c r="W148" s="310"/>
      <c r="X148" s="5"/>
    </row>
    <row r="149" spans="1:25" ht="15.6" x14ac:dyDescent="0.3">
      <c r="A149" s="278"/>
      <c r="B149" s="305"/>
      <c r="C149" s="305"/>
      <c r="D149" s="305"/>
      <c r="E149" s="305"/>
      <c r="F149" s="305"/>
      <c r="G149" s="305"/>
      <c r="H149" s="305"/>
      <c r="I149" s="305"/>
      <c r="J149" s="305"/>
      <c r="K149" s="305"/>
      <c r="L149" s="305"/>
      <c r="M149" s="305"/>
      <c r="N149" s="305"/>
      <c r="O149" s="305"/>
      <c r="P149" s="305"/>
      <c r="Q149" s="305"/>
      <c r="R149" s="305"/>
      <c r="S149" s="305"/>
      <c r="T149" s="305"/>
      <c r="U149" s="305"/>
      <c r="V149" s="335"/>
      <c r="W149" s="310"/>
      <c r="X149" s="5"/>
    </row>
    <row r="150" spans="1:25" ht="15.6" x14ac:dyDescent="0.3">
      <c r="A150" s="278"/>
      <c r="B150" s="333" t="s">
        <v>269</v>
      </c>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279" t="s">
        <v>160</v>
      </c>
      <c r="C151" s="279"/>
      <c r="D151" s="279"/>
      <c r="E151" s="279"/>
      <c r="F151" s="279"/>
      <c r="G151" s="279"/>
      <c r="H151" s="279"/>
      <c r="I151" s="279"/>
      <c r="J151" s="279"/>
      <c r="K151" s="279"/>
      <c r="L151" s="279"/>
      <c r="M151" s="279"/>
      <c r="N151" s="279"/>
      <c r="O151" s="279"/>
      <c r="P151" s="279"/>
      <c r="Q151" s="279"/>
      <c r="R151" s="279"/>
      <c r="S151" s="279"/>
      <c r="T151" s="279"/>
      <c r="U151" s="279"/>
      <c r="V151" s="330">
        <v>0</v>
      </c>
      <c r="W151" s="310"/>
      <c r="X151" s="5"/>
    </row>
    <row r="152" spans="1:25" ht="15.6" x14ac:dyDescent="0.3">
      <c r="A152" s="278"/>
      <c r="B152" s="279" t="s">
        <v>178</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270</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305"/>
      <c r="C154" s="305"/>
      <c r="D154" s="305"/>
      <c r="E154" s="305"/>
      <c r="F154" s="305"/>
      <c r="G154" s="305"/>
      <c r="H154" s="305"/>
      <c r="I154" s="305"/>
      <c r="J154" s="305"/>
      <c r="K154" s="305"/>
      <c r="L154" s="305"/>
      <c r="M154" s="305"/>
      <c r="N154" s="305"/>
      <c r="O154" s="305"/>
      <c r="P154" s="305"/>
      <c r="Q154" s="305"/>
      <c r="R154" s="305"/>
      <c r="S154" s="305"/>
      <c r="T154" s="305"/>
      <c r="U154" s="305"/>
      <c r="V154" s="335"/>
      <c r="W154" s="310"/>
      <c r="X154" s="5"/>
    </row>
    <row r="155" spans="1:25" ht="15.6" x14ac:dyDescent="0.3">
      <c r="A155" s="177"/>
      <c r="B155" s="275"/>
      <c r="C155" s="275"/>
      <c r="D155" s="275"/>
      <c r="E155" s="275"/>
      <c r="F155" s="275"/>
      <c r="G155" s="275"/>
      <c r="H155" s="275"/>
      <c r="I155" s="275"/>
      <c r="J155" s="275"/>
      <c r="K155" s="275"/>
      <c r="L155" s="275"/>
      <c r="M155" s="275"/>
      <c r="N155" s="275"/>
      <c r="O155" s="275"/>
      <c r="P155" s="275"/>
      <c r="Q155" s="275"/>
      <c r="R155" s="275"/>
      <c r="S155" s="275"/>
      <c r="T155" s="275"/>
      <c r="U155" s="275"/>
      <c r="V155" s="338"/>
      <c r="W155" s="275"/>
      <c r="X155" s="5"/>
    </row>
    <row r="156" spans="1:25" ht="15.6" x14ac:dyDescent="0.3">
      <c r="A156" s="177"/>
      <c r="B156" s="208" t="s">
        <v>24</v>
      </c>
      <c r="C156" s="179"/>
      <c r="D156" s="179"/>
      <c r="E156" s="179"/>
      <c r="F156" s="179"/>
      <c r="G156" s="179"/>
      <c r="H156" s="179"/>
      <c r="I156" s="179"/>
      <c r="J156" s="179"/>
      <c r="K156" s="179"/>
      <c r="L156" s="179"/>
      <c r="M156" s="179"/>
      <c r="N156" s="179"/>
      <c r="O156" s="179"/>
      <c r="P156" s="179"/>
      <c r="Q156" s="179"/>
      <c r="R156" s="179"/>
      <c r="S156" s="179"/>
      <c r="T156" s="179"/>
      <c r="U156" s="179"/>
      <c r="V156" s="199"/>
      <c r="W156" s="179"/>
      <c r="X156" s="5"/>
    </row>
    <row r="157" spans="1:25" ht="15.6" x14ac:dyDescent="0.3">
      <c r="A157" s="278"/>
      <c r="B157" s="279" t="s">
        <v>48</v>
      </c>
      <c r="C157" s="279"/>
      <c r="D157" s="279"/>
      <c r="E157" s="279"/>
      <c r="F157" s="279"/>
      <c r="G157" s="279"/>
      <c r="H157" s="279"/>
      <c r="I157" s="279"/>
      <c r="J157" s="279"/>
      <c r="K157" s="279"/>
      <c r="L157" s="279"/>
      <c r="M157" s="279"/>
      <c r="N157" s="279"/>
      <c r="O157" s="279"/>
      <c r="P157" s="279"/>
      <c r="Q157" s="279"/>
      <c r="R157" s="279"/>
      <c r="S157" s="279"/>
      <c r="T157" s="279"/>
      <c r="U157" s="279"/>
      <c r="V157" s="339" t="s">
        <v>123</v>
      </c>
      <c r="W157" s="282"/>
      <c r="X157" s="5"/>
    </row>
    <row r="158" spans="1:25" ht="15.6" x14ac:dyDescent="0.3">
      <c r="A158" s="278"/>
      <c r="B158" s="279" t="s">
        <v>49</v>
      </c>
      <c r="C158" s="281"/>
      <c r="D158" s="281"/>
      <c r="E158" s="281"/>
      <c r="F158" s="281"/>
      <c r="G158" s="281"/>
      <c r="H158" s="281"/>
      <c r="I158" s="281"/>
      <c r="J158" s="281"/>
      <c r="K158" s="281"/>
      <c r="L158" s="281"/>
      <c r="M158" s="281"/>
      <c r="N158" s="281"/>
      <c r="O158" s="281"/>
      <c r="P158" s="281"/>
      <c r="Q158" s="281"/>
      <c r="R158" s="281"/>
      <c r="S158" s="281"/>
      <c r="T158" s="281"/>
      <c r="U158" s="281"/>
      <c r="V158" s="339" t="s">
        <v>123</v>
      </c>
      <c r="W158" s="282"/>
      <c r="X158" s="5"/>
    </row>
    <row r="159" spans="1:25" ht="15.6" x14ac:dyDescent="0.3">
      <c r="A159" s="278"/>
      <c r="B159" s="279" t="s">
        <v>50</v>
      </c>
      <c r="C159" s="279"/>
      <c r="D159" s="279"/>
      <c r="E159" s="279"/>
      <c r="F159" s="279"/>
      <c r="G159" s="279"/>
      <c r="H159" s="279"/>
      <c r="I159" s="279"/>
      <c r="J159" s="279"/>
      <c r="K159" s="279"/>
      <c r="L159" s="279"/>
      <c r="M159" s="279"/>
      <c r="N159" s="279"/>
      <c r="O159" s="279"/>
      <c r="P159" s="279"/>
      <c r="Q159" s="279"/>
      <c r="R159" s="279"/>
      <c r="S159" s="279"/>
      <c r="T159" s="279"/>
      <c r="U159" s="279"/>
      <c r="V159" s="339" t="s">
        <v>123</v>
      </c>
      <c r="W159" s="282"/>
      <c r="X159" s="5"/>
    </row>
    <row r="160" spans="1:25" ht="15.6" x14ac:dyDescent="0.3">
      <c r="A160" s="278"/>
      <c r="B160" s="279" t="s">
        <v>51</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177"/>
      <c r="B161" s="275"/>
      <c r="C161" s="275"/>
      <c r="D161" s="275"/>
      <c r="E161" s="275"/>
      <c r="F161" s="275"/>
      <c r="G161" s="275"/>
      <c r="H161" s="275"/>
      <c r="I161" s="275"/>
      <c r="J161" s="275"/>
      <c r="K161" s="275"/>
      <c r="L161" s="275"/>
      <c r="M161" s="275"/>
      <c r="N161" s="275"/>
      <c r="O161" s="275"/>
      <c r="P161" s="275"/>
      <c r="Q161" s="275"/>
      <c r="R161" s="275"/>
      <c r="S161" s="275"/>
      <c r="T161" s="275"/>
      <c r="U161" s="275"/>
      <c r="V161" s="338"/>
      <c r="W161" s="275"/>
      <c r="X161" s="5"/>
    </row>
    <row r="162" spans="1:24" ht="15.6" x14ac:dyDescent="0.3">
      <c r="A162" s="177"/>
      <c r="B162" s="208" t="s">
        <v>52</v>
      </c>
      <c r="C162" s="179"/>
      <c r="D162" s="179"/>
      <c r="E162" s="179"/>
      <c r="F162" s="179"/>
      <c r="G162" s="179"/>
      <c r="H162" s="179"/>
      <c r="I162" s="179"/>
      <c r="J162" s="179"/>
      <c r="K162" s="179"/>
      <c r="L162" s="179"/>
      <c r="M162" s="179"/>
      <c r="N162" s="179"/>
      <c r="O162" s="179"/>
      <c r="P162" s="179"/>
      <c r="Q162" s="179"/>
      <c r="R162" s="179"/>
      <c r="S162" s="179"/>
      <c r="T162" s="179"/>
      <c r="U162" s="179"/>
      <c r="V162" s="209"/>
      <c r="W162" s="179"/>
      <c r="X162" s="5"/>
    </row>
    <row r="163" spans="1:24" ht="15.6" x14ac:dyDescent="0.3">
      <c r="A163" s="278"/>
      <c r="B163" s="279" t="s">
        <v>53</v>
      </c>
      <c r="C163" s="279"/>
      <c r="D163" s="279"/>
      <c r="E163" s="279"/>
      <c r="F163" s="279"/>
      <c r="G163" s="279"/>
      <c r="H163" s="279"/>
      <c r="I163" s="279"/>
      <c r="J163" s="279"/>
      <c r="K163" s="279"/>
      <c r="L163" s="279"/>
      <c r="M163" s="279"/>
      <c r="N163" s="279"/>
      <c r="O163" s="279"/>
      <c r="P163" s="279"/>
      <c r="Q163" s="279"/>
      <c r="R163" s="279"/>
      <c r="S163" s="279"/>
      <c r="T163" s="279"/>
      <c r="U163" s="279"/>
      <c r="V163" s="330">
        <v>0</v>
      </c>
      <c r="W163" s="310"/>
      <c r="X163" s="5"/>
    </row>
    <row r="164" spans="1:24" ht="15.6" x14ac:dyDescent="0.3">
      <c r="A164" s="278"/>
      <c r="B164" s="279" t="s">
        <v>54</v>
      </c>
      <c r="C164" s="279"/>
      <c r="D164" s="279"/>
      <c r="E164" s="279"/>
      <c r="F164" s="279"/>
      <c r="G164" s="279"/>
      <c r="H164" s="279"/>
      <c r="I164" s="279"/>
      <c r="J164" s="279"/>
      <c r="K164" s="279"/>
      <c r="L164" s="279"/>
      <c r="M164" s="279"/>
      <c r="N164" s="279"/>
      <c r="O164" s="279"/>
      <c r="P164" s="279"/>
      <c r="Q164" s="279"/>
      <c r="R164" s="279"/>
      <c r="S164" s="279"/>
      <c r="T164" s="279"/>
      <c r="U164" s="279"/>
      <c r="V164" s="330">
        <f>-V113</f>
        <v>4</v>
      </c>
      <c r="W164" s="310"/>
      <c r="X164" s="5"/>
    </row>
    <row r="165" spans="1:24" ht="15.6" x14ac:dyDescent="0.3">
      <c r="A165" s="278"/>
      <c r="B165" s="279" t="s">
        <v>55</v>
      </c>
      <c r="C165" s="279"/>
      <c r="D165" s="279"/>
      <c r="E165" s="279"/>
      <c r="F165" s="279"/>
      <c r="G165" s="279"/>
      <c r="H165" s="279"/>
      <c r="I165" s="279"/>
      <c r="J165" s="279"/>
      <c r="K165" s="279"/>
      <c r="L165" s="279"/>
      <c r="M165" s="279"/>
      <c r="N165" s="279"/>
      <c r="O165" s="279"/>
      <c r="P165" s="279"/>
      <c r="Q165" s="279"/>
      <c r="R165" s="279"/>
      <c r="S165" s="279"/>
      <c r="T165" s="279"/>
      <c r="U165" s="279"/>
      <c r="V165" s="330">
        <f>V164+V163</f>
        <v>4</v>
      </c>
      <c r="W165" s="310"/>
      <c r="X165" s="5"/>
    </row>
    <row r="166" spans="1:24" ht="15.6" x14ac:dyDescent="0.3">
      <c r="A166" s="278"/>
      <c r="B166" s="399" t="s">
        <v>310</v>
      </c>
      <c r="C166" s="279"/>
      <c r="D166" s="279"/>
      <c r="E166" s="279"/>
      <c r="F166" s="279"/>
      <c r="G166" s="279"/>
      <c r="H166" s="279"/>
      <c r="I166" s="279"/>
      <c r="J166" s="279"/>
      <c r="K166" s="279"/>
      <c r="L166" s="279"/>
      <c r="M166" s="279"/>
      <c r="N166" s="279"/>
      <c r="O166" s="279"/>
      <c r="P166" s="279"/>
      <c r="Q166" s="279"/>
      <c r="R166" s="279"/>
      <c r="S166" s="279"/>
      <c r="T166" s="279"/>
      <c r="U166" s="279"/>
      <c r="V166" s="330">
        <f>V113</f>
        <v>-4</v>
      </c>
      <c r="W166" s="310"/>
      <c r="X166" s="5"/>
    </row>
    <row r="167" spans="1:24" ht="15.6" x14ac:dyDescent="0.3">
      <c r="A167" s="278"/>
      <c r="B167" s="279" t="s">
        <v>56</v>
      </c>
      <c r="C167" s="279"/>
      <c r="D167" s="279"/>
      <c r="E167" s="279"/>
      <c r="F167" s="279"/>
      <c r="G167" s="279"/>
      <c r="H167" s="279"/>
      <c r="I167" s="279"/>
      <c r="J167" s="279"/>
      <c r="K167" s="279"/>
      <c r="L167" s="279"/>
      <c r="M167" s="279"/>
      <c r="N167" s="279"/>
      <c r="O167" s="279"/>
      <c r="P167" s="279"/>
      <c r="Q167" s="279"/>
      <c r="R167" s="279"/>
      <c r="S167" s="279"/>
      <c r="T167" s="279"/>
      <c r="U167" s="279"/>
      <c r="V167" s="330">
        <f>V165+V166</f>
        <v>0</v>
      </c>
      <c r="W167" s="310"/>
      <c r="X167" s="5"/>
    </row>
    <row r="168" spans="1:24" ht="15.6" x14ac:dyDescent="0.3">
      <c r="A168" s="278"/>
      <c r="B168" s="279" t="s">
        <v>282</v>
      </c>
      <c r="C168" s="279"/>
      <c r="D168" s="279"/>
      <c r="E168" s="279"/>
      <c r="F168" s="279"/>
      <c r="G168" s="279"/>
      <c r="H168" s="279"/>
      <c r="I168" s="279"/>
      <c r="J168" s="279"/>
      <c r="K168" s="279"/>
      <c r="L168" s="279"/>
      <c r="M168" s="279"/>
      <c r="N168" s="279"/>
      <c r="O168" s="279"/>
      <c r="P168" s="279"/>
      <c r="Q168" s="279"/>
      <c r="R168" s="279"/>
      <c r="S168" s="279"/>
      <c r="T168" s="279"/>
      <c r="U168" s="279"/>
      <c r="V168" s="330">
        <v>0</v>
      </c>
      <c r="W168" s="310"/>
      <c r="X168" s="5"/>
    </row>
    <row r="169" spans="1:24" ht="16.2" thickBot="1" x14ac:dyDescent="0.35">
      <c r="A169" s="177"/>
      <c r="B169" s="275"/>
      <c r="C169" s="275"/>
      <c r="D169" s="275"/>
      <c r="E169" s="275"/>
      <c r="F169" s="275"/>
      <c r="G169" s="275"/>
      <c r="H169" s="275"/>
      <c r="I169" s="275"/>
      <c r="J169" s="275"/>
      <c r="K169" s="275"/>
      <c r="L169" s="275"/>
      <c r="M169" s="275"/>
      <c r="N169" s="275"/>
      <c r="O169" s="275"/>
      <c r="P169" s="275"/>
      <c r="Q169" s="275"/>
      <c r="R169" s="275"/>
      <c r="S169" s="275"/>
      <c r="T169" s="275"/>
      <c r="U169" s="275"/>
      <c r="V169" s="338"/>
      <c r="W169" s="275"/>
      <c r="X169" s="5"/>
    </row>
    <row r="170" spans="1:24"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76"/>
      <c r="U170" s="176"/>
      <c r="V170" s="198"/>
      <c r="W170" s="176"/>
      <c r="X170" s="5"/>
    </row>
    <row r="171" spans="1:24" ht="15.6" x14ac:dyDescent="0.3">
      <c r="A171" s="177"/>
      <c r="B171" s="208" t="s">
        <v>57</v>
      </c>
      <c r="C171" s="179"/>
      <c r="D171" s="179"/>
      <c r="E171" s="179"/>
      <c r="F171" s="179"/>
      <c r="G171" s="179"/>
      <c r="H171" s="179"/>
      <c r="I171" s="179"/>
      <c r="J171" s="179"/>
      <c r="K171" s="179"/>
      <c r="L171" s="179"/>
      <c r="M171" s="179"/>
      <c r="N171" s="179"/>
      <c r="O171" s="179"/>
      <c r="P171" s="179"/>
      <c r="Q171" s="179"/>
      <c r="R171" s="179"/>
      <c r="S171" s="179"/>
      <c r="T171" s="179"/>
      <c r="U171" s="179"/>
      <c r="V171" s="199"/>
      <c r="W171" s="179"/>
      <c r="X171" s="5"/>
    </row>
    <row r="172" spans="1:24" ht="15.6" x14ac:dyDescent="0.3">
      <c r="A172" s="177"/>
      <c r="B172" s="186"/>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278"/>
      <c r="B173" s="279" t="s">
        <v>58</v>
      </c>
      <c r="C173" s="279"/>
      <c r="D173" s="279"/>
      <c r="E173" s="279"/>
      <c r="F173" s="279"/>
      <c r="G173" s="279"/>
      <c r="H173" s="279"/>
      <c r="I173" s="279"/>
      <c r="J173" s="279"/>
      <c r="K173" s="279"/>
      <c r="L173" s="279"/>
      <c r="M173" s="279"/>
      <c r="N173" s="279"/>
      <c r="O173" s="279"/>
      <c r="P173" s="279"/>
      <c r="Q173" s="279"/>
      <c r="R173" s="279"/>
      <c r="S173" s="279"/>
      <c r="T173" s="279"/>
      <c r="U173" s="279"/>
      <c r="V173" s="330">
        <f>V71</f>
        <v>977873</v>
      </c>
      <c r="W173" s="282"/>
      <c r="X173" s="5"/>
    </row>
    <row r="174" spans="1:24" ht="15.6" x14ac:dyDescent="0.3">
      <c r="A174" s="278"/>
      <c r="B174" s="279" t="s">
        <v>59</v>
      </c>
      <c r="C174" s="279"/>
      <c r="D174" s="279"/>
      <c r="E174" s="279"/>
      <c r="F174" s="279"/>
      <c r="G174" s="279"/>
      <c r="H174" s="279"/>
      <c r="I174" s="279"/>
      <c r="J174" s="279"/>
      <c r="K174" s="279"/>
      <c r="L174" s="279"/>
      <c r="M174" s="279"/>
      <c r="N174" s="279"/>
      <c r="O174" s="279"/>
      <c r="P174" s="279"/>
      <c r="Q174" s="279"/>
      <c r="R174" s="279"/>
      <c r="S174" s="279"/>
      <c r="T174" s="279"/>
      <c r="U174" s="279"/>
      <c r="V174" s="330">
        <f>V84</f>
        <v>977873</v>
      </c>
      <c r="W174" s="282"/>
      <c r="X174" s="5"/>
    </row>
    <row r="175" spans="1:24" ht="16.2" thickBot="1" x14ac:dyDescent="0.35">
      <c r="A175" s="177"/>
      <c r="B175" s="275"/>
      <c r="C175" s="275"/>
      <c r="D175" s="275"/>
      <c r="E175" s="275"/>
      <c r="F175" s="275"/>
      <c r="G175" s="275"/>
      <c r="H175" s="275"/>
      <c r="I175" s="275"/>
      <c r="J175" s="275"/>
      <c r="K175" s="275"/>
      <c r="L175" s="275"/>
      <c r="M175" s="275"/>
      <c r="N175" s="275"/>
      <c r="O175" s="275"/>
      <c r="P175" s="275"/>
      <c r="Q175" s="275"/>
      <c r="R175" s="275"/>
      <c r="S175" s="275"/>
      <c r="T175" s="275"/>
      <c r="U175" s="275"/>
      <c r="V175" s="338"/>
      <c r="W175" s="275"/>
      <c r="X175" s="5"/>
    </row>
    <row r="176" spans="1:24"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76"/>
      <c r="U176" s="176"/>
      <c r="V176" s="198"/>
      <c r="W176" s="176"/>
      <c r="X176" s="5"/>
    </row>
    <row r="177" spans="1:24" ht="15.6" x14ac:dyDescent="0.3">
      <c r="A177" s="177"/>
      <c r="B177" s="208" t="s">
        <v>60</v>
      </c>
      <c r="C177" s="203"/>
      <c r="D177" s="203"/>
      <c r="E177" s="203"/>
      <c r="F177" s="203"/>
      <c r="G177" s="203"/>
      <c r="H177" s="210"/>
      <c r="I177" s="210"/>
      <c r="J177" s="210"/>
      <c r="K177" s="210"/>
      <c r="L177" s="210"/>
      <c r="M177" s="210"/>
      <c r="N177" s="210"/>
      <c r="O177" s="210"/>
      <c r="P177" s="210"/>
      <c r="Q177" s="210"/>
      <c r="R177" s="210"/>
      <c r="S177" s="210" t="s">
        <v>103</v>
      </c>
      <c r="T177" s="210" t="s">
        <v>182</v>
      </c>
      <c r="U177" s="181"/>
      <c r="V177" s="211" t="s">
        <v>119</v>
      </c>
      <c r="W177" s="212"/>
      <c r="X177" s="5"/>
    </row>
    <row r="178" spans="1:24" ht="15.6" x14ac:dyDescent="0.3">
      <c r="A178" s="278"/>
      <c r="B178" s="279" t="s">
        <v>61</v>
      </c>
      <c r="C178" s="279"/>
      <c r="D178" s="279"/>
      <c r="E178" s="279"/>
      <c r="F178" s="279"/>
      <c r="G178" s="279"/>
      <c r="H178" s="279"/>
      <c r="I178" s="279"/>
      <c r="J178" s="279"/>
      <c r="K178" s="279"/>
      <c r="L178" s="279"/>
      <c r="M178" s="279"/>
      <c r="N178" s="279"/>
      <c r="O178" s="279"/>
      <c r="P178" s="279"/>
      <c r="Q178" s="279"/>
      <c r="R178" s="279"/>
      <c r="S178" s="330">
        <f>+V34*0.16</f>
        <v>240032.80000000002</v>
      </c>
      <c r="T178" s="317"/>
      <c r="U178" s="279"/>
      <c r="V178" s="330"/>
      <c r="W178" s="310"/>
      <c r="X178" s="5"/>
    </row>
    <row r="179" spans="1:24" ht="15.6" x14ac:dyDescent="0.3">
      <c r="A179" s="278"/>
      <c r="B179" s="279" t="s">
        <v>62</v>
      </c>
      <c r="C179" s="279"/>
      <c r="D179" s="279"/>
      <c r="E179" s="279"/>
      <c r="F179" s="279"/>
      <c r="G179" s="279"/>
      <c r="H179" s="279"/>
      <c r="I179" s="279"/>
      <c r="J179" s="279"/>
      <c r="K179" s="279"/>
      <c r="L179" s="279"/>
      <c r="M179" s="279"/>
      <c r="N179" s="279"/>
      <c r="O179" s="279"/>
      <c r="P179" s="279"/>
      <c r="Q179" s="279"/>
      <c r="R179" s="279"/>
      <c r="S179" s="330">
        <f>+'July 12'!S181</f>
        <v>49039</v>
      </c>
      <c r="T179" s="330">
        <f>+'July 12'!T181</f>
        <v>6362</v>
      </c>
      <c r="U179" s="279"/>
      <c r="V179" s="330">
        <f>S179+T179</f>
        <v>55401</v>
      </c>
      <c r="W179" s="310"/>
      <c r="X179" s="5"/>
    </row>
    <row r="180" spans="1:24" ht="15.6" x14ac:dyDescent="0.3">
      <c r="A180" s="278"/>
      <c r="B180" s="279" t="s">
        <v>63</v>
      </c>
      <c r="C180" s="279"/>
      <c r="D180" s="279"/>
      <c r="E180" s="279"/>
      <c r="F180" s="279"/>
      <c r="G180" s="279"/>
      <c r="H180" s="279"/>
      <c r="I180" s="279"/>
      <c r="J180" s="279"/>
      <c r="K180" s="279"/>
      <c r="L180" s="279"/>
      <c r="M180" s="279"/>
      <c r="N180" s="279"/>
      <c r="O180" s="279"/>
      <c r="P180" s="279"/>
      <c r="Q180" s="279"/>
      <c r="R180" s="279"/>
      <c r="S180" s="329">
        <v>69</v>
      </c>
      <c r="T180" s="329">
        <v>0</v>
      </c>
      <c r="U180" s="279"/>
      <c r="V180" s="330">
        <f>S180+T180</f>
        <v>69</v>
      </c>
      <c r="W180" s="310"/>
      <c r="X180" s="5"/>
    </row>
    <row r="181" spans="1:24" ht="15.6" x14ac:dyDescent="0.3">
      <c r="A181" s="278"/>
      <c r="B181" s="279" t="s">
        <v>64</v>
      </c>
      <c r="C181" s="279"/>
      <c r="D181" s="279"/>
      <c r="E181" s="279"/>
      <c r="F181" s="279"/>
      <c r="G181" s="279"/>
      <c r="H181" s="279"/>
      <c r="I181" s="279"/>
      <c r="J181" s="279"/>
      <c r="K181" s="279"/>
      <c r="L181" s="279"/>
      <c r="M181" s="279"/>
      <c r="N181" s="279"/>
      <c r="O181" s="279"/>
      <c r="P181" s="279"/>
      <c r="Q181" s="279"/>
      <c r="R181" s="279"/>
      <c r="S181" s="330">
        <f>S179+S180</f>
        <v>49108</v>
      </c>
      <c r="T181" s="330">
        <f>T180+T179</f>
        <v>6362</v>
      </c>
      <c r="U181" s="279"/>
      <c r="V181" s="330">
        <f>S181+T181</f>
        <v>55470</v>
      </c>
      <c r="W181" s="310"/>
      <c r="X181" s="5"/>
    </row>
    <row r="182" spans="1:24" ht="15.6" x14ac:dyDescent="0.3">
      <c r="A182" s="278"/>
      <c r="B182" s="279" t="s">
        <v>65</v>
      </c>
      <c r="C182" s="279"/>
      <c r="D182" s="279"/>
      <c r="E182" s="279"/>
      <c r="F182" s="279"/>
      <c r="G182" s="279"/>
      <c r="H182" s="279"/>
      <c r="I182" s="279"/>
      <c r="J182" s="279"/>
      <c r="K182" s="279"/>
      <c r="L182" s="279"/>
      <c r="M182" s="279"/>
      <c r="N182" s="279"/>
      <c r="O182" s="279"/>
      <c r="P182" s="279"/>
      <c r="Q182" s="279"/>
      <c r="R182" s="279"/>
      <c r="S182" s="330">
        <f>S178-S181-T181</f>
        <v>184562.80000000002</v>
      </c>
      <c r="T182" s="317"/>
      <c r="U182" s="279"/>
      <c r="V182" s="330"/>
      <c r="W182" s="310"/>
      <c r="X182" s="5"/>
    </row>
    <row r="183" spans="1:24" ht="16.2" thickBot="1" x14ac:dyDescent="0.35">
      <c r="A183" s="177"/>
      <c r="B183" s="275"/>
      <c r="C183" s="275"/>
      <c r="D183" s="275"/>
      <c r="E183" s="275"/>
      <c r="F183" s="275"/>
      <c r="G183" s="275"/>
      <c r="H183" s="275"/>
      <c r="I183" s="275"/>
      <c r="J183" s="275"/>
      <c r="K183" s="275"/>
      <c r="L183" s="275"/>
      <c r="M183" s="275"/>
      <c r="N183" s="275"/>
      <c r="O183" s="275"/>
      <c r="P183" s="275"/>
      <c r="Q183" s="275"/>
      <c r="R183" s="275"/>
      <c r="S183" s="275"/>
      <c r="T183" s="275"/>
      <c r="U183" s="275"/>
      <c r="V183" s="338"/>
      <c r="W183" s="275"/>
      <c r="X183" s="5"/>
    </row>
    <row r="184" spans="1:24"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76"/>
      <c r="U184" s="176"/>
      <c r="V184" s="198"/>
      <c r="W184" s="176"/>
      <c r="X184" s="5"/>
    </row>
    <row r="185" spans="1:24" ht="15.6" x14ac:dyDescent="0.3">
      <c r="A185" s="177"/>
      <c r="B185" s="208" t="s">
        <v>66</v>
      </c>
      <c r="C185" s="179"/>
      <c r="D185" s="179"/>
      <c r="E185" s="179"/>
      <c r="F185" s="179"/>
      <c r="G185" s="179"/>
      <c r="H185" s="179"/>
      <c r="I185" s="179"/>
      <c r="J185" s="179"/>
      <c r="K185" s="179"/>
      <c r="L185" s="179"/>
      <c r="M185" s="179"/>
      <c r="N185" s="179"/>
      <c r="O185" s="179"/>
      <c r="P185" s="179"/>
      <c r="Q185" s="179"/>
      <c r="R185" s="179"/>
      <c r="S185" s="179"/>
      <c r="T185" s="179"/>
      <c r="U185" s="179"/>
      <c r="V185" s="213"/>
      <c r="W185" s="179"/>
      <c r="X185" s="5"/>
    </row>
    <row r="186" spans="1:24" ht="15.6" x14ac:dyDescent="0.3">
      <c r="A186" s="278"/>
      <c r="B186" s="279" t="s">
        <v>67</v>
      </c>
      <c r="C186" s="279"/>
      <c r="D186" s="279"/>
      <c r="E186" s="279"/>
      <c r="F186" s="279"/>
      <c r="G186" s="279"/>
      <c r="H186" s="279"/>
      <c r="I186" s="279"/>
      <c r="J186" s="279"/>
      <c r="K186" s="279"/>
      <c r="L186" s="279"/>
      <c r="M186" s="279"/>
      <c r="N186" s="279"/>
      <c r="O186" s="279"/>
      <c r="P186" s="279"/>
      <c r="Q186" s="279"/>
      <c r="R186" s="279"/>
      <c r="S186" s="279"/>
      <c r="T186" s="279"/>
      <c r="U186" s="279"/>
      <c r="V186" s="339">
        <f>(V100+V102+V103+V104+V105)/-(V106+V107)</f>
        <v>3.4213036565977744</v>
      </c>
      <c r="W186" s="282" t="s">
        <v>120</v>
      </c>
      <c r="X186" s="5"/>
    </row>
    <row r="187" spans="1:24" ht="15.6" x14ac:dyDescent="0.3">
      <c r="A187" s="278"/>
      <c r="B187" s="279" t="s">
        <v>68</v>
      </c>
      <c r="C187" s="279"/>
      <c r="D187" s="279"/>
      <c r="E187" s="279"/>
      <c r="F187" s="279"/>
      <c r="G187" s="279"/>
      <c r="H187" s="279"/>
      <c r="I187" s="279"/>
      <c r="J187" s="279"/>
      <c r="K187" s="279"/>
      <c r="L187" s="279"/>
      <c r="M187" s="279"/>
      <c r="N187" s="279"/>
      <c r="O187" s="279"/>
      <c r="P187" s="279"/>
      <c r="Q187" s="279"/>
      <c r="R187" s="279"/>
      <c r="S187" s="279"/>
      <c r="T187" s="279"/>
      <c r="U187" s="279"/>
      <c r="V187" s="341">
        <v>1.64</v>
      </c>
      <c r="W187" s="282" t="s">
        <v>120</v>
      </c>
      <c r="X187" s="5"/>
    </row>
    <row r="188" spans="1:24" ht="15.6" x14ac:dyDescent="0.3">
      <c r="A188" s="278"/>
      <c r="B188" s="279" t="s">
        <v>69</v>
      </c>
      <c r="C188" s="279"/>
      <c r="D188" s="279"/>
      <c r="E188" s="279"/>
      <c r="F188" s="279"/>
      <c r="G188" s="279"/>
      <c r="H188" s="279"/>
      <c r="I188" s="279"/>
      <c r="J188" s="279"/>
      <c r="K188" s="279"/>
      <c r="L188" s="279"/>
      <c r="M188" s="279"/>
      <c r="N188" s="279"/>
      <c r="O188" s="279"/>
      <c r="P188" s="279"/>
      <c r="Q188" s="279"/>
      <c r="R188" s="279"/>
      <c r="S188" s="279"/>
      <c r="T188" s="279"/>
      <c r="U188" s="279"/>
      <c r="V188" s="339">
        <f>(V100+V102+V103+V104+V105+V106+V107)/-(V108+V109)</f>
        <v>13.477876106194691</v>
      </c>
      <c r="W188" s="282" t="s">
        <v>120</v>
      </c>
      <c r="X188" s="5"/>
    </row>
    <row r="189" spans="1:24" ht="15.6" x14ac:dyDescent="0.3">
      <c r="A189" s="278"/>
      <c r="B189" s="279" t="s">
        <v>70</v>
      </c>
      <c r="C189" s="279"/>
      <c r="D189" s="279"/>
      <c r="E189" s="279"/>
      <c r="F189" s="279"/>
      <c r="G189" s="279"/>
      <c r="H189" s="279"/>
      <c r="I189" s="279"/>
      <c r="J189" s="279"/>
      <c r="K189" s="279"/>
      <c r="L189" s="279"/>
      <c r="M189" s="279"/>
      <c r="N189" s="279"/>
      <c r="O189" s="279"/>
      <c r="P189" s="279"/>
      <c r="Q189" s="279"/>
      <c r="R189" s="279"/>
      <c r="S189" s="279"/>
      <c r="T189" s="279"/>
      <c r="U189" s="279"/>
      <c r="V189" s="341">
        <v>5.81</v>
      </c>
      <c r="W189" s="282" t="s">
        <v>120</v>
      </c>
      <c r="X189" s="5"/>
    </row>
    <row r="190" spans="1:24" ht="15.6" x14ac:dyDescent="0.3">
      <c r="A190" s="278"/>
      <c r="B190" s="279" t="s">
        <v>204</v>
      </c>
      <c r="C190" s="279"/>
      <c r="D190" s="279"/>
      <c r="E190" s="279"/>
      <c r="F190" s="279"/>
      <c r="G190" s="279"/>
      <c r="H190" s="279"/>
      <c r="I190" s="279"/>
      <c r="J190" s="279"/>
      <c r="K190" s="279"/>
      <c r="L190" s="279"/>
      <c r="M190" s="279"/>
      <c r="N190" s="279"/>
      <c r="O190" s="279"/>
      <c r="P190" s="279"/>
      <c r="Q190" s="279"/>
      <c r="R190" s="279"/>
      <c r="S190" s="279"/>
      <c r="T190" s="279"/>
      <c r="U190" s="279"/>
      <c r="V190" s="339">
        <f>(V100+V102+V103+V104+V105+V106+V107+V108+V109)/-(V110+V111)</f>
        <v>11.19047619047619</v>
      </c>
      <c r="W190" s="282" t="s">
        <v>120</v>
      </c>
      <c r="X190" s="5"/>
    </row>
    <row r="191" spans="1:24" ht="15.6" x14ac:dyDescent="0.3">
      <c r="A191" s="278"/>
      <c r="B191" s="279" t="s">
        <v>205</v>
      </c>
      <c r="C191" s="279"/>
      <c r="D191" s="279"/>
      <c r="E191" s="279"/>
      <c r="F191" s="279"/>
      <c r="G191" s="279"/>
      <c r="H191" s="279"/>
      <c r="I191" s="279"/>
      <c r="J191" s="279"/>
      <c r="K191" s="279"/>
      <c r="L191" s="279"/>
      <c r="M191" s="279"/>
      <c r="N191" s="279"/>
      <c r="O191" s="279"/>
      <c r="P191" s="279"/>
      <c r="Q191" s="279"/>
      <c r="R191" s="279"/>
      <c r="S191" s="279"/>
      <c r="T191" s="279"/>
      <c r="U191" s="279"/>
      <c r="V191" s="341">
        <v>5.49</v>
      </c>
      <c r="W191" s="282" t="s">
        <v>120</v>
      </c>
      <c r="X191" s="5"/>
    </row>
    <row r="192" spans="1:24" ht="15.6" x14ac:dyDescent="0.3">
      <c r="A192" s="278"/>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82"/>
      <c r="X192" s="5"/>
    </row>
    <row r="193" spans="1:24" ht="15.6" x14ac:dyDescent="0.3">
      <c r="A193" s="177"/>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5"/>
    </row>
    <row r="194" spans="1:24" ht="15.6" x14ac:dyDescent="0.3">
      <c r="A194" s="177"/>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5"/>
    </row>
    <row r="195" spans="1:24" ht="18" thickBot="1" x14ac:dyDescent="0.35">
      <c r="A195" s="194"/>
      <c r="B195" s="264" t="str">
        <f>B135</f>
        <v>PM12 INVESTOR REPORT QUARTER ENDING OCTOBER 2012</v>
      </c>
      <c r="C195" s="265"/>
      <c r="D195" s="265"/>
      <c r="E195" s="265"/>
      <c r="F195" s="265"/>
      <c r="G195" s="265"/>
      <c r="H195" s="265"/>
      <c r="I195" s="265"/>
      <c r="J195" s="265"/>
      <c r="K195" s="265"/>
      <c r="L195" s="265"/>
      <c r="M195" s="265"/>
      <c r="N195" s="265"/>
      <c r="O195" s="265"/>
      <c r="P195" s="265"/>
      <c r="Q195" s="265"/>
      <c r="R195" s="265"/>
      <c r="S195" s="265"/>
      <c r="T195" s="265"/>
      <c r="U195" s="265"/>
      <c r="V195" s="265"/>
      <c r="W195" s="266"/>
      <c r="X195" s="5"/>
    </row>
    <row r="196" spans="1:24" ht="15.6" x14ac:dyDescent="0.3">
      <c r="A196" s="235"/>
      <c r="B196" s="392" t="s">
        <v>71</v>
      </c>
      <c r="C196" s="393"/>
      <c r="D196" s="393"/>
      <c r="E196" s="393"/>
      <c r="F196" s="393"/>
      <c r="G196" s="394"/>
      <c r="H196" s="394"/>
      <c r="I196" s="394"/>
      <c r="J196" s="394"/>
      <c r="K196" s="394"/>
      <c r="L196" s="394"/>
      <c r="M196" s="394"/>
      <c r="N196" s="394"/>
      <c r="O196" s="394"/>
      <c r="P196" s="394"/>
      <c r="Q196" s="394"/>
      <c r="R196" s="394"/>
      <c r="S196" s="394"/>
      <c r="T196" s="394">
        <v>41213</v>
      </c>
      <c r="U196" s="236"/>
      <c r="V196" s="236"/>
      <c r="W196" s="236"/>
      <c r="X196" s="5"/>
    </row>
    <row r="197" spans="1:24" ht="15.6" x14ac:dyDescent="0.3">
      <c r="A197" s="214"/>
      <c r="B197" s="215"/>
      <c r="C197" s="216"/>
      <c r="D197" s="216"/>
      <c r="E197" s="216"/>
      <c r="F197" s="216"/>
      <c r="G197" s="217"/>
      <c r="H197" s="217"/>
      <c r="I197" s="217"/>
      <c r="J197" s="217"/>
      <c r="K197" s="217"/>
      <c r="L197" s="217"/>
      <c r="M197" s="217"/>
      <c r="N197" s="217"/>
      <c r="O197" s="217"/>
      <c r="P197" s="217"/>
      <c r="Q197" s="217"/>
      <c r="R197" s="217"/>
      <c r="S197" s="217"/>
      <c r="T197" s="217"/>
      <c r="U197" s="179"/>
      <c r="V197" s="179"/>
      <c r="W197" s="179"/>
      <c r="X197" s="5"/>
    </row>
    <row r="198" spans="1:24" ht="15.6" x14ac:dyDescent="0.3">
      <c r="A198" s="344"/>
      <c r="B198" s="279" t="s">
        <v>72</v>
      </c>
      <c r="C198" s="395"/>
      <c r="D198" s="395"/>
      <c r="E198" s="395"/>
      <c r="F198" s="395"/>
      <c r="G198" s="386"/>
      <c r="H198" s="386"/>
      <c r="I198" s="386"/>
      <c r="J198" s="386"/>
      <c r="K198" s="386"/>
      <c r="L198" s="386"/>
      <c r="M198" s="386"/>
      <c r="N198" s="386"/>
      <c r="O198" s="386"/>
      <c r="P198" s="386"/>
      <c r="Q198" s="386"/>
      <c r="R198" s="386"/>
      <c r="S198" s="386"/>
      <c r="T198" s="313">
        <v>5.2060000000000002E-2</v>
      </c>
      <c r="U198" s="279"/>
      <c r="V198" s="279"/>
      <c r="W198" s="310"/>
      <c r="X198" s="5"/>
    </row>
    <row r="199" spans="1:24" ht="15.6" x14ac:dyDescent="0.3">
      <c r="A199" s="344"/>
      <c r="B199" s="279" t="s">
        <v>156</v>
      </c>
      <c r="C199" s="395"/>
      <c r="D199" s="395"/>
      <c r="E199" s="395"/>
      <c r="F199" s="395"/>
      <c r="G199" s="386"/>
      <c r="H199" s="386"/>
      <c r="I199" s="386"/>
      <c r="J199" s="386"/>
      <c r="K199" s="386"/>
      <c r="L199" s="386"/>
      <c r="M199" s="386"/>
      <c r="N199" s="386"/>
      <c r="O199" s="386"/>
      <c r="P199" s="386"/>
      <c r="Q199" s="386"/>
      <c r="R199" s="386"/>
      <c r="S199" s="386"/>
      <c r="T199" s="313">
        <f>'Oct 06'!T197</f>
        <v>4.8538814772447772E-2</v>
      </c>
      <c r="U199" s="279"/>
      <c r="V199" s="279"/>
      <c r="W199" s="310"/>
      <c r="X199" s="5"/>
    </row>
    <row r="200" spans="1:24" ht="15.6" x14ac:dyDescent="0.3">
      <c r="A200" s="344"/>
      <c r="B200" s="279" t="s">
        <v>73</v>
      </c>
      <c r="C200" s="395"/>
      <c r="D200" s="395"/>
      <c r="E200" s="395"/>
      <c r="F200" s="395"/>
      <c r="G200" s="386"/>
      <c r="H200" s="386"/>
      <c r="I200" s="386"/>
      <c r="J200" s="386"/>
      <c r="K200" s="386"/>
      <c r="L200" s="386"/>
      <c r="M200" s="386"/>
      <c r="N200" s="386"/>
      <c r="O200" s="386"/>
      <c r="P200" s="386"/>
      <c r="Q200" s="386"/>
      <c r="R200" s="386"/>
      <c r="S200" s="386"/>
      <c r="T200" s="313">
        <f>T198-T199</f>
        <v>3.5211852275522301E-3</v>
      </c>
      <c r="U200" s="279"/>
      <c r="V200" s="279"/>
      <c r="W200" s="310"/>
      <c r="X200" s="5"/>
    </row>
    <row r="201" spans="1:24" ht="15.6" x14ac:dyDescent="0.3">
      <c r="A201" s="344"/>
      <c r="B201" s="279" t="s">
        <v>74</v>
      </c>
      <c r="C201" s="395"/>
      <c r="D201" s="395"/>
      <c r="E201" s="395"/>
      <c r="F201" s="395"/>
      <c r="G201" s="386"/>
      <c r="H201" s="386"/>
      <c r="I201" s="386"/>
      <c r="J201" s="386"/>
      <c r="K201" s="386"/>
      <c r="L201" s="386"/>
      <c r="M201" s="386"/>
      <c r="N201" s="386"/>
      <c r="O201" s="386"/>
      <c r="P201" s="386"/>
      <c r="Q201" s="386"/>
      <c r="R201" s="386"/>
      <c r="S201" s="386"/>
      <c r="T201" s="313">
        <v>2.3089999999999999E-2</v>
      </c>
      <c r="U201" s="279"/>
      <c r="V201" s="279"/>
      <c r="W201" s="310"/>
      <c r="X201" s="5"/>
    </row>
    <row r="202" spans="1:24" ht="15.6" x14ac:dyDescent="0.3">
      <c r="A202" s="344"/>
      <c r="B202" s="279" t="s">
        <v>225</v>
      </c>
      <c r="C202" s="395"/>
      <c r="D202" s="395"/>
      <c r="E202" s="395"/>
      <c r="F202" s="395"/>
      <c r="G202" s="386"/>
      <c r="H202" s="386"/>
      <c r="I202" s="386"/>
      <c r="J202" s="386"/>
      <c r="K202" s="386"/>
      <c r="L202" s="386"/>
      <c r="M202" s="386"/>
      <c r="N202" s="386"/>
      <c r="O202" s="386"/>
      <c r="P202" s="386"/>
      <c r="Q202" s="386"/>
      <c r="R202" s="386"/>
      <c r="S202" s="386"/>
      <c r="T202" s="313">
        <f>V43</f>
        <v>1.0509210693775892E-2</v>
      </c>
      <c r="U202" s="279"/>
      <c r="V202" s="279"/>
      <c r="W202" s="310"/>
      <c r="X202" s="5"/>
    </row>
    <row r="203" spans="1:24" ht="15.6" x14ac:dyDescent="0.3">
      <c r="A203" s="344"/>
      <c r="B203" s="279" t="s">
        <v>75</v>
      </c>
      <c r="C203" s="395"/>
      <c r="D203" s="395"/>
      <c r="E203" s="395"/>
      <c r="F203" s="395"/>
      <c r="G203" s="386"/>
      <c r="H203" s="386"/>
      <c r="I203" s="386"/>
      <c r="J203" s="386"/>
      <c r="K203" s="386"/>
      <c r="L203" s="386"/>
      <c r="M203" s="386"/>
      <c r="N203" s="386"/>
      <c r="O203" s="386"/>
      <c r="P203" s="386"/>
      <c r="Q203" s="386"/>
      <c r="R203" s="386"/>
      <c r="S203" s="386"/>
      <c r="T203" s="313">
        <f>T201-T202</f>
        <v>1.2580789306224107E-2</v>
      </c>
      <c r="U203" s="279"/>
      <c r="V203" s="279"/>
      <c r="W203" s="310"/>
      <c r="X203" s="5"/>
    </row>
    <row r="204" spans="1:24" ht="15.6" x14ac:dyDescent="0.3">
      <c r="A204" s="344"/>
      <c r="B204" s="279" t="s">
        <v>271</v>
      </c>
      <c r="C204" s="395"/>
      <c r="D204" s="395"/>
      <c r="E204" s="395"/>
      <c r="F204" s="395"/>
      <c r="G204" s="386"/>
      <c r="H204" s="386"/>
      <c r="I204" s="386"/>
      <c r="J204" s="386"/>
      <c r="K204" s="386"/>
      <c r="L204" s="386"/>
      <c r="M204" s="386"/>
      <c r="N204" s="386"/>
      <c r="O204" s="386"/>
      <c r="P204" s="386"/>
      <c r="Q204" s="386"/>
      <c r="R204" s="386"/>
      <c r="S204" s="386"/>
      <c r="T204" s="313">
        <f>+V100/N71</f>
        <v>7.2360402011277317E-3</v>
      </c>
      <c r="U204" s="279"/>
      <c r="V204" s="279"/>
      <c r="W204" s="310"/>
      <c r="X204" s="5"/>
    </row>
    <row r="205" spans="1:24" ht="15.6" x14ac:dyDescent="0.3">
      <c r="A205" s="344"/>
      <c r="B205" s="279" t="s">
        <v>214</v>
      </c>
      <c r="C205" s="395"/>
      <c r="D205" s="395"/>
      <c r="E205" s="395"/>
      <c r="F205" s="395"/>
      <c r="G205" s="386"/>
      <c r="H205" s="386"/>
      <c r="I205" s="386"/>
      <c r="J205" s="386"/>
      <c r="K205" s="386"/>
      <c r="L205" s="386"/>
      <c r="M205" s="386"/>
      <c r="N205" s="386"/>
      <c r="O205" s="386"/>
      <c r="P205" s="386"/>
      <c r="Q205" s="386"/>
      <c r="R205" s="386"/>
      <c r="S205" s="386"/>
      <c r="T205" s="346">
        <v>50710</v>
      </c>
      <c r="U205" s="279"/>
      <c r="V205" s="279"/>
      <c r="W205" s="310"/>
      <c r="X205" s="5"/>
    </row>
    <row r="206" spans="1:24" ht="15.6" x14ac:dyDescent="0.3">
      <c r="A206" s="344"/>
      <c r="B206" s="279" t="s">
        <v>215</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216</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76</v>
      </c>
      <c r="C208" s="395"/>
      <c r="D208" s="395"/>
      <c r="E208" s="395"/>
      <c r="F208" s="395"/>
      <c r="G208" s="386"/>
      <c r="H208" s="386"/>
      <c r="I208" s="386"/>
      <c r="J208" s="386"/>
      <c r="K208" s="386"/>
      <c r="L208" s="386"/>
      <c r="M208" s="386"/>
      <c r="N208" s="386"/>
      <c r="O208" s="386"/>
      <c r="P208" s="386"/>
      <c r="Q208" s="386"/>
      <c r="R208" s="386"/>
      <c r="S208" s="386"/>
      <c r="T208" s="319">
        <v>21.06</v>
      </c>
      <c r="U208" s="279" t="s">
        <v>115</v>
      </c>
      <c r="V208" s="279"/>
      <c r="W208" s="310"/>
      <c r="X208" s="5"/>
    </row>
    <row r="209" spans="1:24" ht="15.6" x14ac:dyDescent="0.3">
      <c r="A209" s="344"/>
      <c r="B209" s="279" t="s">
        <v>77</v>
      </c>
      <c r="C209" s="395"/>
      <c r="D209" s="395"/>
      <c r="E209" s="395"/>
      <c r="F209" s="395"/>
      <c r="G209" s="386"/>
      <c r="H209" s="386"/>
      <c r="I209" s="386"/>
      <c r="J209" s="386"/>
      <c r="K209" s="386"/>
      <c r="L209" s="386"/>
      <c r="M209" s="386"/>
      <c r="N209" s="386"/>
      <c r="O209" s="386"/>
      <c r="P209" s="386"/>
      <c r="Q209" s="386"/>
      <c r="R209" s="386"/>
      <c r="S209" s="386"/>
      <c r="T209" s="319">
        <v>14.9</v>
      </c>
      <c r="U209" s="279" t="s">
        <v>115</v>
      </c>
      <c r="V209" s="279"/>
      <c r="W209" s="310"/>
      <c r="X209" s="5"/>
    </row>
    <row r="210" spans="1:24" ht="15.6" x14ac:dyDescent="0.3">
      <c r="A210" s="344"/>
      <c r="B210" s="279" t="s">
        <v>78</v>
      </c>
      <c r="C210" s="395"/>
      <c r="D210" s="395"/>
      <c r="E210" s="395"/>
      <c r="F210" s="395"/>
      <c r="G210" s="386"/>
      <c r="H210" s="386"/>
      <c r="I210" s="386"/>
      <c r="J210" s="386"/>
      <c r="K210" s="386"/>
      <c r="L210" s="386"/>
      <c r="M210" s="386"/>
      <c r="N210" s="386"/>
      <c r="O210" s="386"/>
      <c r="P210" s="386"/>
      <c r="Q210" s="386"/>
      <c r="R210" s="386"/>
      <c r="S210" s="386"/>
      <c r="T210" s="313">
        <f>P68/N68</f>
        <v>5.1635129387968557E-3</v>
      </c>
      <c r="U210" s="279"/>
      <c r="V210" s="279"/>
      <c r="W210" s="310"/>
      <c r="X210" s="5"/>
    </row>
    <row r="211" spans="1:24" ht="15.6" x14ac:dyDescent="0.3">
      <c r="A211" s="344"/>
      <c r="B211" s="279" t="s">
        <v>79</v>
      </c>
      <c r="C211" s="395"/>
      <c r="D211" s="395"/>
      <c r="E211" s="395"/>
      <c r="F211" s="395"/>
      <c r="G211" s="386"/>
      <c r="H211" s="386"/>
      <c r="I211" s="386"/>
      <c r="J211" s="386"/>
      <c r="K211" s="386"/>
      <c r="L211" s="386"/>
      <c r="M211" s="386"/>
      <c r="N211" s="386"/>
      <c r="O211" s="386"/>
      <c r="P211" s="386"/>
      <c r="Q211" s="386"/>
      <c r="R211" s="386"/>
      <c r="S211" s="386"/>
      <c r="T211" s="313">
        <v>7.2099999999999997E-2</v>
      </c>
      <c r="U211" s="279"/>
      <c r="V211" s="279"/>
      <c r="W211" s="310"/>
      <c r="X211" s="5"/>
    </row>
    <row r="212" spans="1:24" ht="15.6" x14ac:dyDescent="0.3">
      <c r="A212" s="214"/>
      <c r="B212" s="342"/>
      <c r="C212" s="342"/>
      <c r="D212" s="342"/>
      <c r="E212" s="342"/>
      <c r="F212" s="342"/>
      <c r="G212" s="275"/>
      <c r="H212" s="275"/>
      <c r="I212" s="275"/>
      <c r="J212" s="275"/>
      <c r="K212" s="275"/>
      <c r="L212" s="275"/>
      <c r="M212" s="275"/>
      <c r="N212" s="275"/>
      <c r="O212" s="275"/>
      <c r="P212" s="275"/>
      <c r="Q212" s="275"/>
      <c r="R212" s="275"/>
      <c r="S212" s="275"/>
      <c r="T212" s="338"/>
      <c r="U212" s="275"/>
      <c r="V212" s="343"/>
      <c r="W212" s="275"/>
      <c r="X212" s="5"/>
    </row>
    <row r="213" spans="1:24" ht="15.6" x14ac:dyDescent="0.3">
      <c r="A213" s="241"/>
      <c r="B213" s="388" t="s">
        <v>80</v>
      </c>
      <c r="C213" s="389"/>
      <c r="D213" s="389"/>
      <c r="E213" s="389"/>
      <c r="F213" s="396"/>
      <c r="G213" s="389"/>
      <c r="H213" s="389"/>
      <c r="I213" s="389"/>
      <c r="J213" s="389"/>
      <c r="K213" s="389"/>
      <c r="L213" s="389"/>
      <c r="M213" s="389"/>
      <c r="N213" s="389"/>
      <c r="O213" s="389"/>
      <c r="P213" s="389"/>
      <c r="Q213" s="389"/>
      <c r="R213" s="389"/>
      <c r="S213" s="389" t="s">
        <v>104</v>
      </c>
      <c r="T213" s="396" t="s">
        <v>111</v>
      </c>
      <c r="U213" s="224"/>
      <c r="V213" s="224"/>
      <c r="W213" s="224"/>
      <c r="X213" s="5"/>
    </row>
    <row r="214" spans="1:24" ht="15.6" x14ac:dyDescent="0.3">
      <c r="A214" s="219"/>
      <c r="B214" s="248" t="s">
        <v>81</v>
      </c>
      <c r="C214" s="204"/>
      <c r="D214" s="204"/>
      <c r="E214" s="204"/>
      <c r="F214" s="190"/>
      <c r="G214" s="190"/>
      <c r="H214" s="191"/>
      <c r="I214" s="191"/>
      <c r="J214" s="191"/>
      <c r="K214" s="191"/>
      <c r="L214" s="191"/>
      <c r="M214" s="191"/>
      <c r="N214" s="191"/>
      <c r="O214" s="191"/>
      <c r="P214" s="191"/>
      <c r="Q214" s="191"/>
      <c r="R214" s="191"/>
      <c r="S214" s="262">
        <v>8</v>
      </c>
      <c r="T214" s="263">
        <v>1317</v>
      </c>
      <c r="U214" s="190"/>
      <c r="V214" s="218"/>
      <c r="W214" s="220"/>
      <c r="X214" s="5"/>
    </row>
    <row r="215" spans="1:24" ht="15.6" x14ac:dyDescent="0.3">
      <c r="A215" s="352"/>
      <c r="B215" s="279" t="s">
        <v>150</v>
      </c>
      <c r="C215" s="353"/>
      <c r="D215" s="353"/>
      <c r="E215" s="353"/>
      <c r="F215" s="305"/>
      <c r="G215" s="305"/>
      <c r="H215" s="308"/>
      <c r="I215" s="308"/>
      <c r="J215" s="308"/>
      <c r="K215" s="308"/>
      <c r="L215" s="308"/>
      <c r="M215" s="308"/>
      <c r="N215" s="308"/>
      <c r="O215" s="308"/>
      <c r="P215" s="308"/>
      <c r="Q215" s="308"/>
      <c r="R215" s="308"/>
      <c r="S215" s="354">
        <f>+R267</f>
        <v>148</v>
      </c>
      <c r="T215" s="355">
        <f>+T267</f>
        <v>23909</v>
      </c>
      <c r="U215" s="305"/>
      <c r="V215" s="356"/>
      <c r="W215" s="357"/>
      <c r="X215" s="5"/>
    </row>
    <row r="216" spans="1:24" ht="15.6" x14ac:dyDescent="0.3">
      <c r="A216" s="352"/>
      <c r="B216" s="279" t="s">
        <v>82</v>
      </c>
      <c r="C216" s="353"/>
      <c r="D216" s="353"/>
      <c r="E216" s="353"/>
      <c r="F216" s="305"/>
      <c r="G216" s="305"/>
      <c r="H216" s="308"/>
      <c r="I216" s="308"/>
      <c r="J216" s="308"/>
      <c r="K216" s="308"/>
      <c r="L216" s="308"/>
      <c r="M216" s="308"/>
      <c r="N216" s="308"/>
      <c r="O216" s="308"/>
      <c r="P216" s="308"/>
      <c r="Q216" s="308"/>
      <c r="R216" s="308"/>
      <c r="S216" s="354">
        <f>+R279</f>
        <v>3</v>
      </c>
      <c r="T216" s="355">
        <f>+T279</f>
        <v>512</v>
      </c>
      <c r="U216" s="305"/>
      <c r="V216" s="356"/>
      <c r="W216" s="357"/>
      <c r="X216" s="5"/>
    </row>
    <row r="217" spans="1:24" ht="15.6" x14ac:dyDescent="0.3">
      <c r="A217" s="352"/>
      <c r="B217" s="304" t="s">
        <v>83</v>
      </c>
      <c r="C217" s="353"/>
      <c r="D217" s="353"/>
      <c r="E217" s="353"/>
      <c r="F217" s="305"/>
      <c r="G217" s="305"/>
      <c r="H217" s="305"/>
      <c r="I217" s="305"/>
      <c r="J217" s="305"/>
      <c r="K217" s="305"/>
      <c r="L217" s="305"/>
      <c r="M217" s="305"/>
      <c r="N217" s="305"/>
      <c r="O217" s="305"/>
      <c r="P217" s="305"/>
      <c r="Q217" s="305"/>
      <c r="R217" s="305"/>
      <c r="S217" s="279"/>
      <c r="T217" s="355">
        <v>0</v>
      </c>
      <c r="U217" s="305"/>
      <c r="V217" s="356"/>
      <c r="W217" s="357"/>
      <c r="X217" s="5"/>
    </row>
    <row r="218" spans="1:24" ht="15.6" x14ac:dyDescent="0.3">
      <c r="A218" s="352"/>
      <c r="B218" s="304" t="s">
        <v>84</v>
      </c>
      <c r="C218" s="353"/>
      <c r="D218" s="353"/>
      <c r="E218" s="353"/>
      <c r="F218" s="305"/>
      <c r="G218" s="305"/>
      <c r="H218" s="305"/>
      <c r="I218" s="305"/>
      <c r="J218" s="305"/>
      <c r="K218" s="305"/>
      <c r="L218" s="305"/>
      <c r="M218" s="305"/>
      <c r="N218" s="305"/>
      <c r="O218" s="305"/>
      <c r="P218" s="305"/>
      <c r="Q218" s="305"/>
      <c r="R218" s="305"/>
      <c r="S218" s="279"/>
      <c r="T218" s="358" t="s">
        <v>112</v>
      </c>
      <c r="U218" s="305"/>
      <c r="V218" s="356"/>
      <c r="W218" s="357"/>
      <c r="X218" s="5"/>
    </row>
    <row r="219" spans="1:24" ht="15.6" x14ac:dyDescent="0.3">
      <c r="A219" s="359"/>
      <c r="B219" s="304" t="s">
        <v>85</v>
      </c>
      <c r="C219" s="360"/>
      <c r="D219" s="360"/>
      <c r="E219" s="360"/>
      <c r="F219" s="360"/>
      <c r="G219" s="305"/>
      <c r="H219" s="305"/>
      <c r="I219" s="305"/>
      <c r="J219" s="305"/>
      <c r="K219" s="305"/>
      <c r="L219" s="305"/>
      <c r="M219" s="305"/>
      <c r="N219" s="305"/>
      <c r="O219" s="305"/>
      <c r="P219" s="305"/>
      <c r="Q219" s="305"/>
      <c r="R219" s="305"/>
      <c r="S219" s="279"/>
      <c r="T219" s="355"/>
      <c r="U219" s="305"/>
      <c r="V219" s="356"/>
      <c r="W219" s="361"/>
      <c r="X219" s="5"/>
    </row>
    <row r="220" spans="1:24" ht="15.6" x14ac:dyDescent="0.3">
      <c r="A220" s="359"/>
      <c r="B220" s="279" t="s">
        <v>86</v>
      </c>
      <c r="C220" s="360"/>
      <c r="D220" s="360"/>
      <c r="E220" s="360"/>
      <c r="F220" s="360"/>
      <c r="G220" s="305"/>
      <c r="H220" s="305"/>
      <c r="I220" s="305"/>
      <c r="J220" s="305"/>
      <c r="K220" s="305"/>
      <c r="L220" s="305"/>
      <c r="M220" s="305"/>
      <c r="N220" s="305"/>
      <c r="O220" s="305"/>
      <c r="P220" s="305"/>
      <c r="Q220" s="305"/>
      <c r="R220" s="305"/>
      <c r="S220" s="287"/>
      <c r="T220" s="355">
        <f>+V164</f>
        <v>4</v>
      </c>
      <c r="U220" s="305"/>
      <c r="V220" s="356"/>
      <c r="W220" s="361"/>
      <c r="X220" s="5"/>
    </row>
    <row r="221" spans="1:24" ht="15.6" x14ac:dyDescent="0.3">
      <c r="A221" s="352"/>
      <c r="B221" s="279" t="s">
        <v>87</v>
      </c>
      <c r="C221" s="353"/>
      <c r="D221" s="353"/>
      <c r="E221" s="353"/>
      <c r="F221" s="353"/>
      <c r="G221" s="305"/>
      <c r="H221" s="305"/>
      <c r="I221" s="305"/>
      <c r="J221" s="305"/>
      <c r="K221" s="305"/>
      <c r="L221" s="305"/>
      <c r="M221" s="305"/>
      <c r="N221" s="305"/>
      <c r="O221" s="305"/>
      <c r="P221" s="305"/>
      <c r="Q221" s="305"/>
      <c r="R221" s="305"/>
      <c r="S221" s="287"/>
      <c r="T221" s="355">
        <f>'July 12'!T221+'Oct 12'!T220</f>
        <v>3917</v>
      </c>
      <c r="U221" s="305"/>
      <c r="V221" s="356"/>
      <c r="W221" s="361"/>
      <c r="X221" s="5"/>
    </row>
    <row r="222" spans="1:24" ht="15.6" x14ac:dyDescent="0.3">
      <c r="A222" s="359"/>
      <c r="B222" s="304" t="s">
        <v>292</v>
      </c>
      <c r="C222" s="360"/>
      <c r="D222" s="360"/>
      <c r="E222" s="360"/>
      <c r="F222" s="360"/>
      <c r="G222" s="305"/>
      <c r="H222" s="305"/>
      <c r="I222" s="305"/>
      <c r="J222" s="305"/>
      <c r="K222" s="305"/>
      <c r="L222" s="305"/>
      <c r="M222" s="305"/>
      <c r="N222" s="305"/>
      <c r="O222" s="305"/>
      <c r="P222" s="305"/>
      <c r="Q222" s="305"/>
      <c r="R222" s="305"/>
      <c r="S222" s="287"/>
      <c r="T222" s="355"/>
      <c r="U222" s="305"/>
      <c r="V222" s="356"/>
      <c r="W222" s="361"/>
      <c r="X222" s="5"/>
    </row>
    <row r="223" spans="1:24" ht="15.6" x14ac:dyDescent="0.3">
      <c r="A223" s="359"/>
      <c r="B223" s="279" t="s">
        <v>290</v>
      </c>
      <c r="C223" s="360"/>
      <c r="D223" s="360"/>
      <c r="E223" s="360"/>
      <c r="F223" s="360"/>
      <c r="G223" s="305"/>
      <c r="H223" s="305"/>
      <c r="I223" s="305"/>
      <c r="J223" s="305"/>
      <c r="K223" s="305"/>
      <c r="L223" s="305"/>
      <c r="M223" s="305"/>
      <c r="N223" s="305"/>
      <c r="O223" s="305"/>
      <c r="P223" s="305"/>
      <c r="Q223" s="305"/>
      <c r="R223" s="305"/>
      <c r="S223" s="287">
        <v>0</v>
      </c>
      <c r="T223" s="355">
        <v>0</v>
      </c>
      <c r="U223" s="305"/>
      <c r="V223" s="356"/>
      <c r="W223" s="361"/>
      <c r="X223" s="5"/>
    </row>
    <row r="224" spans="1:24" ht="15.6" x14ac:dyDescent="0.3">
      <c r="A224" s="352"/>
      <c r="B224" s="279" t="s">
        <v>88</v>
      </c>
      <c r="C224" s="362"/>
      <c r="D224" s="362"/>
      <c r="E224" s="362"/>
      <c r="F224" s="363"/>
      <c r="G224" s="305"/>
      <c r="H224" s="305"/>
      <c r="I224" s="305"/>
      <c r="J224" s="305"/>
      <c r="K224" s="305"/>
      <c r="L224" s="305"/>
      <c r="M224" s="305"/>
      <c r="N224" s="305"/>
      <c r="O224" s="305"/>
      <c r="P224" s="305"/>
      <c r="Q224" s="305"/>
      <c r="R224" s="305"/>
      <c r="S224" s="279"/>
      <c r="T224" s="358">
        <v>0</v>
      </c>
      <c r="U224" s="305"/>
      <c r="V224" s="356"/>
      <c r="W224" s="361"/>
      <c r="X224" s="5"/>
    </row>
    <row r="225" spans="1:25" ht="15.6" x14ac:dyDescent="0.3">
      <c r="A225" s="352"/>
      <c r="B225" s="279" t="s">
        <v>89</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304" t="s">
        <v>223</v>
      </c>
      <c r="C226" s="362"/>
      <c r="D226" s="362"/>
      <c r="E226" s="362"/>
      <c r="F226" s="363"/>
      <c r="G226" s="305"/>
      <c r="H226" s="305"/>
      <c r="I226" s="305"/>
      <c r="J226" s="305"/>
      <c r="K226" s="305"/>
      <c r="L226" s="305"/>
      <c r="M226" s="305"/>
      <c r="N226" s="305"/>
      <c r="O226" s="305"/>
      <c r="P226" s="305"/>
      <c r="Q226" s="305"/>
      <c r="R226" s="305"/>
      <c r="S226" s="279"/>
      <c r="T226" s="364"/>
      <c r="U226" s="305"/>
      <c r="V226" s="356"/>
      <c r="W226" s="361"/>
      <c r="X226" s="5"/>
    </row>
    <row r="227" spans="1:25" ht="15.6" x14ac:dyDescent="0.3">
      <c r="A227" s="352"/>
      <c r="B227" s="279" t="s">
        <v>290</v>
      </c>
      <c r="C227" s="362"/>
      <c r="D227" s="362"/>
      <c r="E227" s="362"/>
      <c r="F227" s="363"/>
      <c r="G227" s="305"/>
      <c r="H227" s="305"/>
      <c r="I227" s="305"/>
      <c r="J227" s="305"/>
      <c r="K227" s="305"/>
      <c r="L227" s="305"/>
      <c r="M227" s="305"/>
      <c r="N227" s="305"/>
      <c r="O227" s="305"/>
      <c r="P227" s="305"/>
      <c r="Q227" s="305"/>
      <c r="R227" s="305"/>
      <c r="S227" s="287">
        <v>4</v>
      </c>
      <c r="T227" s="355">
        <v>483</v>
      </c>
      <c r="U227" s="305"/>
      <c r="V227" s="356"/>
      <c r="W227" s="361"/>
      <c r="X227" s="5"/>
    </row>
    <row r="228" spans="1:25" ht="15.6" x14ac:dyDescent="0.3">
      <c r="A228" s="352"/>
      <c r="B228" s="279" t="s">
        <v>224</v>
      </c>
      <c r="C228" s="362"/>
      <c r="D228" s="362"/>
      <c r="E228" s="362"/>
      <c r="F228" s="363"/>
      <c r="G228" s="305"/>
      <c r="H228" s="305"/>
      <c r="I228" s="305"/>
      <c r="J228" s="305"/>
      <c r="K228" s="305"/>
      <c r="L228" s="305"/>
      <c r="M228" s="305"/>
      <c r="N228" s="305"/>
      <c r="O228" s="305"/>
      <c r="P228" s="305"/>
      <c r="Q228" s="305"/>
      <c r="R228" s="305"/>
      <c r="S228" s="279"/>
      <c r="T228" s="358">
        <v>3.93</v>
      </c>
      <c r="U228" s="305"/>
      <c r="V228" s="356"/>
      <c r="W228" s="361"/>
      <c r="X228" s="5"/>
    </row>
    <row r="229" spans="1:25" ht="15.6" x14ac:dyDescent="0.3">
      <c r="A229" s="352"/>
      <c r="B229" s="360"/>
      <c r="C229" s="362"/>
      <c r="D229" s="362"/>
      <c r="E229" s="362"/>
      <c r="F229" s="363"/>
      <c r="G229" s="305"/>
      <c r="H229" s="305"/>
      <c r="I229" s="305"/>
      <c r="J229" s="305"/>
      <c r="K229" s="305"/>
      <c r="L229" s="305"/>
      <c r="M229" s="305"/>
      <c r="N229" s="305"/>
      <c r="O229" s="305"/>
      <c r="P229" s="305"/>
      <c r="Q229" s="305"/>
      <c r="R229" s="305"/>
      <c r="S229" s="279"/>
      <c r="T229" s="364"/>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305"/>
      <c r="T230" s="365"/>
      <c r="U230" s="305"/>
      <c r="V230" s="356"/>
      <c r="W230" s="361"/>
      <c r="X230" s="5"/>
    </row>
    <row r="231" spans="1:25" ht="17.399999999999999" x14ac:dyDescent="0.3">
      <c r="A231" s="352"/>
      <c r="B231" s="366" t="s">
        <v>174</v>
      </c>
      <c r="C231" s="362"/>
      <c r="D231" s="362"/>
      <c r="E231" s="362"/>
      <c r="F231" s="363"/>
      <c r="G231" s="305"/>
      <c r="H231" s="305"/>
      <c r="I231" s="305"/>
      <c r="J231" s="305"/>
      <c r="K231" s="305"/>
      <c r="L231" s="305"/>
      <c r="M231" s="305"/>
      <c r="N231" s="305"/>
      <c r="O231" s="305"/>
      <c r="P231" s="367" t="s">
        <v>173</v>
      </c>
      <c r="Q231" s="305"/>
      <c r="R231" s="305"/>
      <c r="S231" s="305"/>
      <c r="T231" s="365"/>
      <c r="U231" s="305"/>
      <c r="V231" s="356"/>
      <c r="W231" s="361"/>
      <c r="X231" s="5"/>
    </row>
    <row r="232" spans="1:25" ht="15.6" x14ac:dyDescent="0.3">
      <c r="A232" s="347"/>
      <c r="B232" s="342"/>
      <c r="C232" s="348"/>
      <c r="D232" s="348"/>
      <c r="E232" s="348"/>
      <c r="F232" s="349"/>
      <c r="G232" s="275"/>
      <c r="H232" s="275"/>
      <c r="I232" s="275"/>
      <c r="J232" s="275"/>
      <c r="K232" s="275"/>
      <c r="L232" s="275"/>
      <c r="M232" s="275"/>
      <c r="N232" s="275"/>
      <c r="O232" s="275"/>
      <c r="P232" s="275"/>
      <c r="Q232" s="275"/>
      <c r="R232" s="275"/>
      <c r="S232" s="275"/>
      <c r="T232" s="350"/>
      <c r="U232" s="275"/>
      <c r="V232" s="343"/>
      <c r="W232" s="351"/>
      <c r="X232" s="5"/>
    </row>
    <row r="233" spans="1:25" ht="15.6" x14ac:dyDescent="0.3">
      <c r="A233" s="223"/>
      <c r="B233" s="388" t="s">
        <v>304</v>
      </c>
      <c r="C233" s="389"/>
      <c r="D233" s="389"/>
      <c r="E233" s="389"/>
      <c r="F233" s="396"/>
      <c r="G233" s="389"/>
      <c r="H233" s="389"/>
      <c r="I233" s="389"/>
      <c r="J233" s="389"/>
      <c r="K233" s="389"/>
      <c r="L233" s="389"/>
      <c r="M233" s="389"/>
      <c r="N233" s="389"/>
      <c r="O233" s="389"/>
      <c r="P233" s="389"/>
      <c r="Q233" s="389"/>
      <c r="R233" s="396" t="s">
        <v>104</v>
      </c>
      <c r="S233" s="389" t="s">
        <v>105</v>
      </c>
      <c r="T233" s="396" t="s">
        <v>113</v>
      </c>
      <c r="U233" s="389" t="s">
        <v>105</v>
      </c>
      <c r="V233" s="224"/>
      <c r="W233" s="388"/>
      <c r="X233" s="5"/>
    </row>
    <row r="234" spans="1:25" ht="15.6" x14ac:dyDescent="0.3">
      <c r="A234" s="189"/>
      <c r="B234" s="247" t="s">
        <v>90</v>
      </c>
      <c r="C234" s="261"/>
      <c r="D234" s="261"/>
      <c r="E234" s="261"/>
      <c r="F234" s="248"/>
      <c r="G234" s="261"/>
      <c r="H234" s="261"/>
      <c r="I234" s="261"/>
      <c r="J234" s="261"/>
      <c r="K234" s="261"/>
      <c r="L234" s="261"/>
      <c r="M234" s="261"/>
      <c r="N234" s="261"/>
      <c r="O234" s="261"/>
      <c r="P234" s="261"/>
      <c r="Q234" s="261"/>
      <c r="R234" s="329">
        <f t="shared" ref="R234:R241" si="1">+R246+R258+R270</f>
        <v>7222</v>
      </c>
      <c r="S234" s="372">
        <f t="shared" ref="S234:S241" si="2">R234/$R$243</f>
        <v>0.98755640639956244</v>
      </c>
      <c r="T234" s="330">
        <f t="shared" ref="T234:T241" si="3">+T246+T258+T270</f>
        <v>961601</v>
      </c>
      <c r="U234" s="372">
        <f t="shared" ref="U234:U241" si="4">T234/$T$243</f>
        <v>0.98335980234652143</v>
      </c>
      <c r="V234" s="218"/>
      <c r="W234" s="221"/>
      <c r="X234" s="5"/>
    </row>
    <row r="235" spans="1:25" ht="15.6" x14ac:dyDescent="0.3">
      <c r="A235" s="278"/>
      <c r="B235" s="329" t="s">
        <v>91</v>
      </c>
      <c r="C235" s="371"/>
      <c r="D235" s="371"/>
      <c r="E235" s="371"/>
      <c r="F235" s="279"/>
      <c r="G235" s="372"/>
      <c r="H235" s="371"/>
      <c r="I235" s="371"/>
      <c r="J235" s="371"/>
      <c r="K235" s="371"/>
      <c r="L235" s="371"/>
      <c r="M235" s="371"/>
      <c r="N235" s="371"/>
      <c r="O235" s="371"/>
      <c r="P235" s="371"/>
      <c r="Q235" s="371"/>
      <c r="R235" s="329">
        <f t="shared" si="1"/>
        <v>49</v>
      </c>
      <c r="S235" s="372">
        <f t="shared" si="2"/>
        <v>6.7003965540817726E-3</v>
      </c>
      <c r="T235" s="330">
        <f t="shared" si="3"/>
        <v>10398</v>
      </c>
      <c r="U235" s="372">
        <f t="shared" si="4"/>
        <v>1.0633282645087859E-2</v>
      </c>
      <c r="V235" s="356"/>
      <c r="W235" s="361"/>
      <c r="X235" s="5"/>
      <c r="Y235" s="109"/>
    </row>
    <row r="236" spans="1:25" ht="15.6" x14ac:dyDescent="0.3">
      <c r="A236" s="278"/>
      <c r="B236" s="329" t="s">
        <v>92</v>
      </c>
      <c r="C236" s="371"/>
      <c r="D236" s="371"/>
      <c r="E236" s="371"/>
      <c r="F236" s="279"/>
      <c r="G236" s="372"/>
      <c r="H236" s="371"/>
      <c r="I236" s="371"/>
      <c r="J236" s="371"/>
      <c r="K236" s="371"/>
      <c r="L236" s="371"/>
      <c r="M236" s="371"/>
      <c r="N236" s="371"/>
      <c r="O236" s="371"/>
      <c r="P236" s="371"/>
      <c r="Q236" s="371"/>
      <c r="R236" s="329">
        <f t="shared" si="1"/>
        <v>9</v>
      </c>
      <c r="S236" s="372">
        <f t="shared" si="2"/>
        <v>1.2306850813619582E-3</v>
      </c>
      <c r="T236" s="330">
        <f t="shared" si="3"/>
        <v>995</v>
      </c>
      <c r="U236" s="372">
        <f t="shared" si="4"/>
        <v>1.0175145443222177E-3</v>
      </c>
      <c r="V236" s="356"/>
      <c r="W236" s="361"/>
      <c r="X236" s="5"/>
    </row>
    <row r="237" spans="1:25" ht="15.6" x14ac:dyDescent="0.3">
      <c r="A237" s="278"/>
      <c r="B237" s="329" t="s">
        <v>161</v>
      </c>
      <c r="C237" s="371"/>
      <c r="D237" s="371"/>
      <c r="E237" s="371"/>
      <c r="F237" s="279"/>
      <c r="G237" s="372"/>
      <c r="H237" s="371"/>
      <c r="I237" s="371"/>
      <c r="J237" s="371"/>
      <c r="K237" s="371"/>
      <c r="L237" s="371"/>
      <c r="M237" s="371"/>
      <c r="N237" s="371"/>
      <c r="O237" s="371"/>
      <c r="P237" s="371"/>
      <c r="Q237" s="371"/>
      <c r="R237" s="329">
        <f t="shared" si="1"/>
        <v>5</v>
      </c>
      <c r="S237" s="372">
        <f t="shared" si="2"/>
        <v>6.8371393408997677E-4</v>
      </c>
      <c r="T237" s="330">
        <f t="shared" si="3"/>
        <v>871</v>
      </c>
      <c r="U237" s="372">
        <f t="shared" si="4"/>
        <v>8.9070871166296644E-4</v>
      </c>
      <c r="V237" s="356"/>
      <c r="W237" s="361"/>
      <c r="X237" s="5"/>
      <c r="Y237" s="109"/>
    </row>
    <row r="238" spans="1:25" ht="15.6" x14ac:dyDescent="0.3">
      <c r="A238" s="278"/>
      <c r="B238" s="329" t="s">
        <v>162</v>
      </c>
      <c r="C238" s="371"/>
      <c r="D238" s="371"/>
      <c r="E238" s="371"/>
      <c r="F238" s="279"/>
      <c r="G238" s="372"/>
      <c r="H238" s="371"/>
      <c r="I238" s="371"/>
      <c r="J238" s="371"/>
      <c r="K238" s="371"/>
      <c r="L238" s="371"/>
      <c r="M238" s="371"/>
      <c r="N238" s="371"/>
      <c r="O238" s="371"/>
      <c r="P238" s="371"/>
      <c r="Q238" s="371"/>
      <c r="R238" s="329">
        <f t="shared" si="1"/>
        <v>3</v>
      </c>
      <c r="S238" s="372">
        <f t="shared" si="2"/>
        <v>4.1022836045398605E-4</v>
      </c>
      <c r="T238" s="330">
        <f t="shared" si="3"/>
        <v>417</v>
      </c>
      <c r="U238" s="372">
        <f t="shared" si="4"/>
        <v>4.2643574370086914E-4</v>
      </c>
      <c r="V238" s="356"/>
      <c r="W238" s="361"/>
      <c r="X238" s="5"/>
    </row>
    <row r="239" spans="1:25" ht="15.6" x14ac:dyDescent="0.3">
      <c r="A239" s="278"/>
      <c r="B239" s="329" t="s">
        <v>163</v>
      </c>
      <c r="C239" s="371"/>
      <c r="D239" s="371"/>
      <c r="E239" s="371"/>
      <c r="F239" s="279"/>
      <c r="G239" s="372"/>
      <c r="H239" s="371"/>
      <c r="I239" s="371"/>
      <c r="J239" s="371"/>
      <c r="K239" s="371"/>
      <c r="L239" s="371"/>
      <c r="M239" s="371"/>
      <c r="N239" s="371"/>
      <c r="O239" s="371"/>
      <c r="P239" s="371"/>
      <c r="Q239" s="371"/>
      <c r="R239" s="329">
        <f t="shared" si="1"/>
        <v>1</v>
      </c>
      <c r="S239" s="372">
        <f t="shared" si="2"/>
        <v>1.3674278681799536E-4</v>
      </c>
      <c r="T239" s="330">
        <f t="shared" si="3"/>
        <v>255</v>
      </c>
      <c r="U239" s="372">
        <f t="shared" si="4"/>
        <v>2.6077005909765381E-4</v>
      </c>
      <c r="V239" s="356"/>
      <c r="W239" s="361"/>
      <c r="X239" s="5"/>
      <c r="Y239" s="109"/>
    </row>
    <row r="240" spans="1:25" ht="15.6" x14ac:dyDescent="0.3">
      <c r="A240" s="278"/>
      <c r="B240" s="329" t="s">
        <v>164</v>
      </c>
      <c r="C240" s="371"/>
      <c r="D240" s="371"/>
      <c r="E240" s="371"/>
      <c r="F240" s="279"/>
      <c r="G240" s="372"/>
      <c r="H240" s="371"/>
      <c r="I240" s="371"/>
      <c r="J240" s="371"/>
      <c r="K240" s="371"/>
      <c r="L240" s="371"/>
      <c r="M240" s="371"/>
      <c r="N240" s="371"/>
      <c r="O240" s="371"/>
      <c r="P240" s="371"/>
      <c r="Q240" s="371"/>
      <c r="R240" s="329">
        <f t="shared" si="1"/>
        <v>6</v>
      </c>
      <c r="S240" s="372">
        <f t="shared" si="2"/>
        <v>8.2045672090797211E-4</v>
      </c>
      <c r="T240" s="330">
        <f t="shared" si="3"/>
        <v>859</v>
      </c>
      <c r="U240" s="372">
        <f t="shared" si="4"/>
        <v>8.7843717947013573E-4</v>
      </c>
      <c r="V240" s="356"/>
      <c r="W240" s="361"/>
      <c r="X240" s="5"/>
    </row>
    <row r="241" spans="1:25" ht="15.6" x14ac:dyDescent="0.3">
      <c r="A241" s="278"/>
      <c r="B241" s="329" t="s">
        <v>165</v>
      </c>
      <c r="C241" s="371"/>
      <c r="D241" s="371"/>
      <c r="E241" s="371"/>
      <c r="F241" s="279"/>
      <c r="G241" s="372"/>
      <c r="H241" s="371"/>
      <c r="I241" s="371"/>
      <c r="J241" s="371"/>
      <c r="K241" s="371"/>
      <c r="L241" s="371"/>
      <c r="M241" s="371"/>
      <c r="N241" s="371"/>
      <c r="O241" s="371"/>
      <c r="P241" s="371"/>
      <c r="Q241" s="371"/>
      <c r="R241" s="329">
        <f t="shared" si="1"/>
        <v>18</v>
      </c>
      <c r="S241" s="372">
        <f t="shared" si="2"/>
        <v>2.4613701627239164E-3</v>
      </c>
      <c r="T241" s="330">
        <f t="shared" si="3"/>
        <v>2477</v>
      </c>
      <c r="U241" s="372">
        <f t="shared" si="4"/>
        <v>2.5330487701368171E-3</v>
      </c>
      <c r="V241" s="356"/>
      <c r="W241" s="361"/>
      <c r="X241" s="5"/>
      <c r="Y241" s="109"/>
    </row>
    <row r="242" spans="1:25" ht="15.6" x14ac:dyDescent="0.3">
      <c r="A242" s="278"/>
      <c r="B242" s="329"/>
      <c r="C242" s="371"/>
      <c r="D242" s="371"/>
      <c r="E242" s="371"/>
      <c r="F242" s="279"/>
      <c r="G242" s="372"/>
      <c r="H242" s="371"/>
      <c r="I242" s="371"/>
      <c r="J242" s="371"/>
      <c r="K242" s="371"/>
      <c r="L242" s="371"/>
      <c r="M242" s="371"/>
      <c r="N242" s="371"/>
      <c r="O242" s="371"/>
      <c r="P242" s="371"/>
      <c r="Q242" s="371"/>
      <c r="R242" s="329"/>
      <c r="S242" s="372"/>
      <c r="T242" s="330"/>
      <c r="U242" s="372"/>
      <c r="V242" s="356"/>
      <c r="W242" s="361"/>
      <c r="X242" s="5"/>
    </row>
    <row r="243" spans="1:25" ht="15.6" x14ac:dyDescent="0.3">
      <c r="A243" s="278"/>
      <c r="B243" s="279" t="s">
        <v>119</v>
      </c>
      <c r="C243" s="279"/>
      <c r="D243" s="279"/>
      <c r="E243" s="279"/>
      <c r="F243" s="279"/>
      <c r="G243" s="279"/>
      <c r="H243" s="373"/>
      <c r="I243" s="373"/>
      <c r="J243" s="373"/>
      <c r="K243" s="373"/>
      <c r="L243" s="373"/>
      <c r="M243" s="373"/>
      <c r="N243" s="373"/>
      <c r="O243" s="373"/>
      <c r="P243" s="373"/>
      <c r="Q243" s="373"/>
      <c r="R243" s="329">
        <f>SUM(R234:R242)</f>
        <v>7313</v>
      </c>
      <c r="S243" s="372">
        <f>SUM(S234:S242)</f>
        <v>1</v>
      </c>
      <c r="T243" s="330">
        <f>SUM(T234:T242)</f>
        <v>977873</v>
      </c>
      <c r="U243" s="372">
        <f>SUM(U234:U242)</f>
        <v>0.99999999999999989</v>
      </c>
      <c r="V243" s="305"/>
      <c r="W243" s="310"/>
      <c r="X243" s="5"/>
    </row>
    <row r="244" spans="1:25" ht="15.6" x14ac:dyDescent="0.3">
      <c r="A244" s="347"/>
      <c r="B244" s="342"/>
      <c r="C244" s="348"/>
      <c r="D244" s="348"/>
      <c r="E244" s="348"/>
      <c r="F244" s="349"/>
      <c r="G244" s="275"/>
      <c r="H244" s="275"/>
      <c r="I244" s="275"/>
      <c r="J244" s="275"/>
      <c r="K244" s="275"/>
      <c r="L244" s="275"/>
      <c r="M244" s="275"/>
      <c r="N244" s="275"/>
      <c r="O244" s="275"/>
      <c r="P244" s="275"/>
      <c r="Q244" s="275"/>
      <c r="R244" s="275"/>
      <c r="S244" s="275"/>
      <c r="T244" s="350"/>
      <c r="U244" s="275"/>
      <c r="V244" s="343"/>
      <c r="W244" s="351"/>
      <c r="X244" s="5"/>
    </row>
    <row r="245" spans="1:25" ht="15.6" x14ac:dyDescent="0.3">
      <c r="A245" s="223"/>
      <c r="B245" s="388" t="s">
        <v>167</v>
      </c>
      <c r="C245" s="389"/>
      <c r="D245" s="389"/>
      <c r="E245" s="389"/>
      <c r="F245" s="396"/>
      <c r="G245" s="389"/>
      <c r="H245" s="389"/>
      <c r="I245" s="389"/>
      <c r="J245" s="389"/>
      <c r="K245" s="389"/>
      <c r="L245" s="389"/>
      <c r="M245" s="389"/>
      <c r="N245" s="389"/>
      <c r="O245" s="389"/>
      <c r="P245" s="389"/>
      <c r="Q245" s="389"/>
      <c r="R245" s="396" t="s">
        <v>104</v>
      </c>
      <c r="S245" s="389" t="s">
        <v>105</v>
      </c>
      <c r="T245" s="396" t="s">
        <v>113</v>
      </c>
      <c r="U245" s="389" t="s">
        <v>105</v>
      </c>
      <c r="V245" s="224"/>
      <c r="W245" s="388"/>
      <c r="X245" s="5"/>
    </row>
    <row r="246" spans="1:25" ht="15.6" x14ac:dyDescent="0.3">
      <c r="A246" s="189"/>
      <c r="B246" s="247" t="s">
        <v>90</v>
      </c>
      <c r="C246" s="261"/>
      <c r="D246" s="261"/>
      <c r="E246" s="261"/>
      <c r="F246" s="248"/>
      <c r="G246" s="261"/>
      <c r="H246" s="261"/>
      <c r="I246" s="261"/>
      <c r="J246" s="261"/>
      <c r="K246" s="261"/>
      <c r="L246" s="261"/>
      <c r="M246" s="261"/>
      <c r="N246" s="261"/>
      <c r="O246" s="261"/>
      <c r="P246" s="261"/>
      <c r="Q246" s="261"/>
      <c r="R246" s="247">
        <v>7108</v>
      </c>
      <c r="S246" s="250">
        <f t="shared" ref="S246:S253" si="5">R246/$R$255</f>
        <v>0.99246020664618817</v>
      </c>
      <c r="T246" s="251">
        <v>942353</v>
      </c>
      <c r="U246" s="250">
        <f t="shared" ref="U246:U253" si="6">T246/$T$255</f>
        <v>0.98835914130968316</v>
      </c>
      <c r="V246" s="218"/>
      <c r="W246" s="221"/>
      <c r="X246" s="5"/>
    </row>
    <row r="247" spans="1:25" ht="15.6" x14ac:dyDescent="0.3">
      <c r="A247" s="278"/>
      <c r="B247" s="329" t="s">
        <v>91</v>
      </c>
      <c r="C247" s="371"/>
      <c r="D247" s="371"/>
      <c r="E247" s="371"/>
      <c r="F247" s="279"/>
      <c r="G247" s="372"/>
      <c r="H247" s="371"/>
      <c r="I247" s="371"/>
      <c r="J247" s="371"/>
      <c r="K247" s="371"/>
      <c r="L247" s="371"/>
      <c r="M247" s="371"/>
      <c r="N247" s="371"/>
      <c r="O247" s="371"/>
      <c r="P247" s="371"/>
      <c r="Q247" s="371"/>
      <c r="R247" s="329">
        <v>44</v>
      </c>
      <c r="S247" s="372">
        <f t="shared" si="5"/>
        <v>6.1435353253281207E-3</v>
      </c>
      <c r="T247" s="330">
        <v>9805</v>
      </c>
      <c r="U247" s="372">
        <f t="shared" si="6"/>
        <v>1.0283684967885117E-2</v>
      </c>
      <c r="V247" s="356"/>
      <c r="W247" s="361"/>
      <c r="X247" s="5"/>
      <c r="Y247" s="109"/>
    </row>
    <row r="248" spans="1:25" ht="15.6" x14ac:dyDescent="0.3">
      <c r="A248" s="278"/>
      <c r="B248" s="329" t="s">
        <v>92</v>
      </c>
      <c r="C248" s="371"/>
      <c r="D248" s="371"/>
      <c r="E248" s="371"/>
      <c r="F248" s="279"/>
      <c r="G248" s="372"/>
      <c r="H248" s="371"/>
      <c r="I248" s="371"/>
      <c r="J248" s="371"/>
      <c r="K248" s="371"/>
      <c r="L248" s="371"/>
      <c r="M248" s="371"/>
      <c r="N248" s="371"/>
      <c r="O248" s="371"/>
      <c r="P248" s="371"/>
      <c r="Q248" s="371"/>
      <c r="R248" s="329">
        <v>5</v>
      </c>
      <c r="S248" s="372">
        <f t="shared" si="5"/>
        <v>6.9812901424183191E-4</v>
      </c>
      <c r="T248" s="330">
        <v>349</v>
      </c>
      <c r="U248" s="372">
        <f t="shared" si="6"/>
        <v>3.6603835326791493E-4</v>
      </c>
      <c r="V248" s="356"/>
      <c r="W248" s="361"/>
      <c r="X248" s="5"/>
    </row>
    <row r="249" spans="1:25" ht="15.6" x14ac:dyDescent="0.3">
      <c r="A249" s="278"/>
      <c r="B249" s="329" t="s">
        <v>161</v>
      </c>
      <c r="C249" s="371"/>
      <c r="D249" s="371"/>
      <c r="E249" s="371"/>
      <c r="F249" s="279"/>
      <c r="G249" s="372"/>
      <c r="H249" s="371"/>
      <c r="I249" s="371"/>
      <c r="J249" s="371"/>
      <c r="K249" s="371"/>
      <c r="L249" s="371"/>
      <c r="M249" s="371"/>
      <c r="N249" s="371"/>
      <c r="O249" s="371"/>
      <c r="P249" s="371"/>
      <c r="Q249" s="371"/>
      <c r="R249" s="329">
        <v>3</v>
      </c>
      <c r="S249" s="372">
        <f t="shared" si="5"/>
        <v>4.1887740854509913E-4</v>
      </c>
      <c r="T249" s="330">
        <v>654</v>
      </c>
      <c r="U249" s="372">
        <f t="shared" si="6"/>
        <v>6.8592860469116437E-4</v>
      </c>
      <c r="V249" s="356"/>
      <c r="W249" s="361"/>
      <c r="X249" s="5"/>
      <c r="Y249" s="109"/>
    </row>
    <row r="250" spans="1:25" ht="15.6" x14ac:dyDescent="0.3">
      <c r="A250" s="278"/>
      <c r="B250" s="329" t="s">
        <v>162</v>
      </c>
      <c r="C250" s="371"/>
      <c r="D250" s="371"/>
      <c r="E250" s="371"/>
      <c r="F250" s="279"/>
      <c r="G250" s="372"/>
      <c r="H250" s="371"/>
      <c r="I250" s="371"/>
      <c r="J250" s="371"/>
      <c r="K250" s="371"/>
      <c r="L250" s="371"/>
      <c r="M250" s="371"/>
      <c r="N250" s="371"/>
      <c r="O250" s="371"/>
      <c r="P250" s="371"/>
      <c r="Q250" s="371"/>
      <c r="R250" s="329">
        <v>1</v>
      </c>
      <c r="S250" s="372">
        <f t="shared" si="5"/>
        <v>1.3962580284836637E-4</v>
      </c>
      <c r="T250" s="330">
        <v>127</v>
      </c>
      <c r="U250" s="372">
        <f t="shared" si="6"/>
        <v>1.3320020305164813E-4</v>
      </c>
      <c r="V250" s="356"/>
      <c r="W250" s="361"/>
      <c r="X250" s="5"/>
    </row>
    <row r="251" spans="1:25" ht="15.6" x14ac:dyDescent="0.3">
      <c r="A251" s="278"/>
      <c r="B251" s="329" t="s">
        <v>163</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c r="Y251" s="109"/>
    </row>
    <row r="252" spans="1:25" ht="15.6" x14ac:dyDescent="0.3">
      <c r="A252" s="278"/>
      <c r="B252" s="329" t="s">
        <v>164</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row>
    <row r="253" spans="1:25" ht="15.6" x14ac:dyDescent="0.3">
      <c r="A253" s="278"/>
      <c r="B253" s="329" t="s">
        <v>165</v>
      </c>
      <c r="C253" s="371"/>
      <c r="D253" s="371"/>
      <c r="E253" s="371"/>
      <c r="F253" s="279"/>
      <c r="G253" s="372"/>
      <c r="H253" s="371"/>
      <c r="I253" s="371"/>
      <c r="J253" s="371"/>
      <c r="K253" s="371"/>
      <c r="L253" s="371"/>
      <c r="M253" s="371"/>
      <c r="N253" s="371"/>
      <c r="O253" s="371"/>
      <c r="P253" s="371"/>
      <c r="Q253" s="371"/>
      <c r="R253" s="329">
        <v>1</v>
      </c>
      <c r="S253" s="372">
        <f t="shared" si="5"/>
        <v>1.3962580284836637E-4</v>
      </c>
      <c r="T253" s="330">
        <v>164</v>
      </c>
      <c r="U253" s="372">
        <f t="shared" si="6"/>
        <v>1.7200656142102593E-4</v>
      </c>
      <c r="V253" s="356"/>
      <c r="W253" s="361"/>
      <c r="X253" s="5"/>
      <c r="Y253" s="109"/>
    </row>
    <row r="254" spans="1:25" ht="15.6" x14ac:dyDescent="0.3">
      <c r="A254" s="278"/>
      <c r="B254" s="329"/>
      <c r="C254" s="371"/>
      <c r="D254" s="371"/>
      <c r="E254" s="371"/>
      <c r="F254" s="279"/>
      <c r="G254" s="372"/>
      <c r="H254" s="371"/>
      <c r="I254" s="371"/>
      <c r="J254" s="371"/>
      <c r="K254" s="371"/>
      <c r="L254" s="371"/>
      <c r="M254" s="371"/>
      <c r="N254" s="371"/>
      <c r="O254" s="371"/>
      <c r="P254" s="371"/>
      <c r="Q254" s="371"/>
      <c r="R254" s="329"/>
      <c r="S254" s="372"/>
      <c r="T254" s="330"/>
      <c r="U254" s="372"/>
      <c r="V254" s="356"/>
      <c r="W254" s="361"/>
      <c r="X254" s="5"/>
    </row>
    <row r="255" spans="1:25" ht="15.6" x14ac:dyDescent="0.3">
      <c r="A255" s="278"/>
      <c r="B255" s="279" t="s">
        <v>119</v>
      </c>
      <c r="C255" s="279"/>
      <c r="D255" s="279"/>
      <c r="E255" s="279"/>
      <c r="F255" s="279"/>
      <c r="G255" s="279"/>
      <c r="H255" s="373"/>
      <c r="I255" s="373"/>
      <c r="J255" s="373"/>
      <c r="K255" s="373"/>
      <c r="L255" s="373"/>
      <c r="M255" s="373"/>
      <c r="N255" s="373"/>
      <c r="O255" s="373"/>
      <c r="P255" s="373"/>
      <c r="Q255" s="373"/>
      <c r="R255" s="329">
        <f>SUM(R246:R254)</f>
        <v>7162</v>
      </c>
      <c r="S255" s="372">
        <f>SUM(S246:S254)</f>
        <v>0.99999999999999978</v>
      </c>
      <c r="T255" s="330">
        <f>SUM(T246:T254)</f>
        <v>953452</v>
      </c>
      <c r="U255" s="372">
        <f>SUM(U246:U254)</f>
        <v>1</v>
      </c>
      <c r="V255" s="305"/>
      <c r="W255" s="310"/>
      <c r="X255" s="5"/>
    </row>
    <row r="256" spans="1:25" ht="15.6" x14ac:dyDescent="0.3">
      <c r="A256" s="177"/>
      <c r="B256" s="275"/>
      <c r="C256" s="275"/>
      <c r="D256" s="275"/>
      <c r="E256" s="275"/>
      <c r="F256" s="275"/>
      <c r="G256" s="275"/>
      <c r="H256" s="368"/>
      <c r="I256" s="368"/>
      <c r="J256" s="368"/>
      <c r="K256" s="368"/>
      <c r="L256" s="368"/>
      <c r="M256" s="368"/>
      <c r="N256" s="368"/>
      <c r="O256" s="368"/>
      <c r="P256" s="368"/>
      <c r="Q256" s="368"/>
      <c r="R256" s="327"/>
      <c r="S256" s="369"/>
      <c r="T256" s="370"/>
      <c r="U256" s="369"/>
      <c r="V256" s="275"/>
      <c r="W256" s="275"/>
      <c r="X256" s="5"/>
    </row>
    <row r="257" spans="1:24" ht="15.6" x14ac:dyDescent="0.3">
      <c r="A257" s="243"/>
      <c r="B257" s="388" t="s">
        <v>283</v>
      </c>
      <c r="C257" s="389"/>
      <c r="D257" s="389"/>
      <c r="E257" s="389"/>
      <c r="F257" s="396"/>
      <c r="G257" s="389"/>
      <c r="H257" s="389"/>
      <c r="I257" s="389"/>
      <c r="J257" s="389"/>
      <c r="K257" s="389"/>
      <c r="L257" s="389"/>
      <c r="M257" s="389"/>
      <c r="N257" s="389"/>
      <c r="O257" s="389"/>
      <c r="P257" s="389"/>
      <c r="Q257" s="389"/>
      <c r="R257" s="396" t="s">
        <v>104</v>
      </c>
      <c r="S257" s="389" t="s">
        <v>105</v>
      </c>
      <c r="T257" s="396" t="s">
        <v>113</v>
      </c>
      <c r="U257" s="389" t="s">
        <v>105</v>
      </c>
      <c r="V257" s="244"/>
      <c r="W257" s="245"/>
      <c r="X257" s="5"/>
    </row>
    <row r="258" spans="1:24" ht="15.6" x14ac:dyDescent="0.3">
      <c r="A258" s="189"/>
      <c r="B258" s="247" t="s">
        <v>90</v>
      </c>
      <c r="C258" s="261"/>
      <c r="D258" s="261"/>
      <c r="E258" s="261"/>
      <c r="F258" s="248"/>
      <c r="G258" s="261"/>
      <c r="H258" s="261"/>
      <c r="I258" s="261"/>
      <c r="J258" s="261"/>
      <c r="K258" s="261"/>
      <c r="L258" s="261"/>
      <c r="M258" s="261"/>
      <c r="N258" s="261"/>
      <c r="O258" s="261"/>
      <c r="P258" s="261"/>
      <c r="Q258" s="261"/>
      <c r="R258" s="247">
        <v>114</v>
      </c>
      <c r="S258" s="250">
        <f t="shared" ref="S258:S265" si="7">R258/$R$267</f>
        <v>0.77027027027027029</v>
      </c>
      <c r="T258" s="251">
        <v>19248</v>
      </c>
      <c r="U258" s="250">
        <f t="shared" ref="U258:U265" si="8">T258/$T$267</f>
        <v>0.80505249069388096</v>
      </c>
      <c r="V258" s="190"/>
      <c r="W258" s="190"/>
      <c r="X258" s="5"/>
    </row>
    <row r="259" spans="1:24" ht="15.6" x14ac:dyDescent="0.3">
      <c r="A259" s="278"/>
      <c r="B259" s="329" t="s">
        <v>91</v>
      </c>
      <c r="C259" s="371"/>
      <c r="D259" s="371"/>
      <c r="E259" s="371"/>
      <c r="F259" s="279"/>
      <c r="G259" s="372"/>
      <c r="H259" s="371"/>
      <c r="I259" s="371"/>
      <c r="J259" s="371"/>
      <c r="K259" s="371"/>
      <c r="L259" s="371"/>
      <c r="M259" s="371"/>
      <c r="N259" s="371"/>
      <c r="O259" s="371"/>
      <c r="P259" s="371"/>
      <c r="Q259" s="371"/>
      <c r="R259" s="329">
        <v>5</v>
      </c>
      <c r="S259" s="372">
        <f t="shared" si="7"/>
        <v>3.3783783783783786E-2</v>
      </c>
      <c r="T259" s="330">
        <v>593</v>
      </c>
      <c r="U259" s="372">
        <f t="shared" si="8"/>
        <v>2.4802375674432223E-2</v>
      </c>
      <c r="V259" s="305"/>
      <c r="W259" s="310"/>
      <c r="X259" s="5"/>
    </row>
    <row r="260" spans="1:24" ht="15.6" x14ac:dyDescent="0.3">
      <c r="A260" s="278"/>
      <c r="B260" s="329" t="s">
        <v>92</v>
      </c>
      <c r="C260" s="371"/>
      <c r="D260" s="371"/>
      <c r="E260" s="371"/>
      <c r="F260" s="279"/>
      <c r="G260" s="372"/>
      <c r="H260" s="371"/>
      <c r="I260" s="371"/>
      <c r="J260" s="371"/>
      <c r="K260" s="371"/>
      <c r="L260" s="371"/>
      <c r="M260" s="371"/>
      <c r="N260" s="371"/>
      <c r="O260" s="371"/>
      <c r="P260" s="371"/>
      <c r="Q260" s="371"/>
      <c r="R260" s="329">
        <v>4</v>
      </c>
      <c r="S260" s="372">
        <f t="shared" si="7"/>
        <v>2.7027027027027029E-2</v>
      </c>
      <c r="T260" s="330">
        <v>646</v>
      </c>
      <c r="U260" s="372">
        <f t="shared" si="8"/>
        <v>2.7019114141118409E-2</v>
      </c>
      <c r="V260" s="305"/>
      <c r="W260" s="310"/>
      <c r="X260" s="5"/>
    </row>
    <row r="261" spans="1:24" ht="15.6" x14ac:dyDescent="0.3">
      <c r="A261" s="278"/>
      <c r="B261" s="329" t="s">
        <v>161</v>
      </c>
      <c r="C261" s="371"/>
      <c r="D261" s="371"/>
      <c r="E261" s="371"/>
      <c r="F261" s="279"/>
      <c r="G261" s="372"/>
      <c r="H261" s="371"/>
      <c r="I261" s="371"/>
      <c r="J261" s="371"/>
      <c r="K261" s="371"/>
      <c r="L261" s="371"/>
      <c r="M261" s="371"/>
      <c r="N261" s="371"/>
      <c r="O261" s="371"/>
      <c r="P261" s="371"/>
      <c r="Q261" s="371"/>
      <c r="R261" s="329">
        <v>2</v>
      </c>
      <c r="S261" s="372">
        <f t="shared" si="7"/>
        <v>1.3513513513513514E-2</v>
      </c>
      <c r="T261" s="330">
        <v>217</v>
      </c>
      <c r="U261" s="372">
        <f t="shared" si="8"/>
        <v>9.0760801371868333E-3</v>
      </c>
      <c r="V261" s="305"/>
      <c r="W261" s="310"/>
      <c r="X261" s="5"/>
    </row>
    <row r="262" spans="1:24" ht="15.6" x14ac:dyDescent="0.3">
      <c r="A262" s="278"/>
      <c r="B262" s="329" t="s">
        <v>162</v>
      </c>
      <c r="C262" s="371"/>
      <c r="D262" s="371"/>
      <c r="E262" s="371"/>
      <c r="F262" s="279"/>
      <c r="G262" s="372"/>
      <c r="H262" s="371"/>
      <c r="I262" s="371"/>
      <c r="J262" s="371"/>
      <c r="K262" s="371"/>
      <c r="L262" s="371"/>
      <c r="M262" s="371"/>
      <c r="N262" s="371"/>
      <c r="O262" s="371"/>
      <c r="P262" s="371"/>
      <c r="Q262" s="371"/>
      <c r="R262" s="329">
        <v>2</v>
      </c>
      <c r="S262" s="372">
        <f t="shared" si="7"/>
        <v>1.3513513513513514E-2</v>
      </c>
      <c r="T262" s="330">
        <v>290</v>
      </c>
      <c r="U262" s="372">
        <f t="shared" si="8"/>
        <v>1.212932368564139E-2</v>
      </c>
      <c r="V262" s="305"/>
      <c r="W262" s="310"/>
      <c r="X262" s="5"/>
    </row>
    <row r="263" spans="1:24" ht="15.6" x14ac:dyDescent="0.3">
      <c r="A263" s="278"/>
      <c r="B263" s="329" t="s">
        <v>163</v>
      </c>
      <c r="C263" s="371"/>
      <c r="D263" s="371"/>
      <c r="E263" s="371"/>
      <c r="F263" s="279"/>
      <c r="G263" s="372"/>
      <c r="H263" s="371"/>
      <c r="I263" s="371"/>
      <c r="J263" s="371"/>
      <c r="K263" s="371"/>
      <c r="L263" s="371"/>
      <c r="M263" s="371"/>
      <c r="N263" s="371"/>
      <c r="O263" s="371"/>
      <c r="P263" s="371"/>
      <c r="Q263" s="371"/>
      <c r="R263" s="329">
        <v>1</v>
      </c>
      <c r="S263" s="372">
        <f t="shared" si="7"/>
        <v>6.7567567567567571E-3</v>
      </c>
      <c r="T263" s="330">
        <v>255</v>
      </c>
      <c r="U263" s="372">
        <f t="shared" si="8"/>
        <v>1.0665439792546741E-2</v>
      </c>
      <c r="V263" s="305"/>
      <c r="W263" s="310"/>
      <c r="X263" s="5"/>
    </row>
    <row r="264" spans="1:24" ht="15.6" x14ac:dyDescent="0.3">
      <c r="A264" s="278"/>
      <c r="B264" s="329" t="s">
        <v>164</v>
      </c>
      <c r="C264" s="371"/>
      <c r="D264" s="371"/>
      <c r="E264" s="371"/>
      <c r="F264" s="279"/>
      <c r="G264" s="372"/>
      <c r="H264" s="371"/>
      <c r="I264" s="371"/>
      <c r="J264" s="371"/>
      <c r="K264" s="371"/>
      <c r="L264" s="371"/>
      <c r="M264" s="371"/>
      <c r="N264" s="371"/>
      <c r="O264" s="371"/>
      <c r="P264" s="371"/>
      <c r="Q264" s="371"/>
      <c r="R264" s="329">
        <v>6</v>
      </c>
      <c r="S264" s="372">
        <f t="shared" si="7"/>
        <v>4.0540540540540543E-2</v>
      </c>
      <c r="T264" s="330">
        <v>859</v>
      </c>
      <c r="U264" s="372">
        <f t="shared" si="8"/>
        <v>3.5927893261951567E-2</v>
      </c>
      <c r="V264" s="305"/>
      <c r="W264" s="310"/>
      <c r="X264" s="5"/>
    </row>
    <row r="265" spans="1:24" ht="15.6" x14ac:dyDescent="0.3">
      <c r="A265" s="278"/>
      <c r="B265" s="329" t="s">
        <v>165</v>
      </c>
      <c r="C265" s="371"/>
      <c r="D265" s="371"/>
      <c r="E265" s="371"/>
      <c r="F265" s="279"/>
      <c r="G265" s="372"/>
      <c r="H265" s="371"/>
      <c r="I265" s="371"/>
      <c r="J265" s="371"/>
      <c r="K265" s="371"/>
      <c r="L265" s="371"/>
      <c r="M265" s="371"/>
      <c r="N265" s="371"/>
      <c r="O265" s="371"/>
      <c r="P265" s="371"/>
      <c r="Q265" s="371"/>
      <c r="R265" s="329">
        <v>14</v>
      </c>
      <c r="S265" s="372">
        <f t="shared" si="7"/>
        <v>9.45945945945946E-2</v>
      </c>
      <c r="T265" s="330">
        <v>1801</v>
      </c>
      <c r="U265" s="372">
        <f t="shared" si="8"/>
        <v>7.5327282613241869E-2</v>
      </c>
      <c r="V265" s="305"/>
      <c r="W265" s="310"/>
      <c r="X265" s="5"/>
    </row>
    <row r="266" spans="1:24" ht="15.6" x14ac:dyDescent="0.3">
      <c r="A266" s="278"/>
      <c r="B266" s="329"/>
      <c r="C266" s="371"/>
      <c r="D266" s="371"/>
      <c r="E266" s="371"/>
      <c r="F266" s="279"/>
      <c r="G266" s="372"/>
      <c r="H266" s="371"/>
      <c r="I266" s="371"/>
      <c r="J266" s="371"/>
      <c r="K266" s="371"/>
      <c r="L266" s="371"/>
      <c r="M266" s="371"/>
      <c r="N266" s="371"/>
      <c r="O266" s="371"/>
      <c r="P266" s="371"/>
      <c r="Q266" s="371"/>
      <c r="R266" s="329"/>
      <c r="S266" s="372"/>
      <c r="T266" s="330"/>
      <c r="U266" s="372"/>
      <c r="V266" s="305"/>
      <c r="W266" s="310"/>
      <c r="X266" s="5"/>
    </row>
    <row r="267" spans="1:24" ht="15.6" x14ac:dyDescent="0.3">
      <c r="A267" s="278"/>
      <c r="B267" s="279" t="s">
        <v>119</v>
      </c>
      <c r="C267" s="279"/>
      <c r="D267" s="279"/>
      <c r="E267" s="279"/>
      <c r="F267" s="279"/>
      <c r="G267" s="279"/>
      <c r="H267" s="373"/>
      <c r="I267" s="373"/>
      <c r="J267" s="373"/>
      <c r="K267" s="373"/>
      <c r="L267" s="373"/>
      <c r="M267" s="373"/>
      <c r="N267" s="373"/>
      <c r="O267" s="373"/>
      <c r="P267" s="373"/>
      <c r="Q267" s="373"/>
      <c r="R267" s="329">
        <f>SUM(R258:R266)</f>
        <v>148</v>
      </c>
      <c r="S267" s="372">
        <f>SUM(S258:S266)</f>
        <v>1</v>
      </c>
      <c r="T267" s="330">
        <f>SUM(T258:T266)</f>
        <v>23909</v>
      </c>
      <c r="U267" s="372">
        <f>SUM(U258:U266)</f>
        <v>1</v>
      </c>
      <c r="V267" s="305"/>
      <c r="W267" s="310"/>
      <c r="X267" s="5"/>
    </row>
    <row r="268" spans="1:24" ht="15.6" x14ac:dyDescent="0.3">
      <c r="A268" s="177"/>
      <c r="B268" s="275"/>
      <c r="C268" s="275"/>
      <c r="D268" s="275"/>
      <c r="E268" s="275"/>
      <c r="F268" s="275"/>
      <c r="G268" s="275"/>
      <c r="H268" s="368"/>
      <c r="I268" s="368"/>
      <c r="J268" s="368"/>
      <c r="K268" s="368"/>
      <c r="L268" s="368"/>
      <c r="M268" s="368"/>
      <c r="N268" s="368"/>
      <c r="O268" s="368"/>
      <c r="P268" s="368"/>
      <c r="Q268" s="368"/>
      <c r="R268" s="327"/>
      <c r="S268" s="369"/>
      <c r="T268" s="370"/>
      <c r="U268" s="369"/>
      <c r="V268" s="275"/>
      <c r="W268" s="275"/>
      <c r="X268" s="5"/>
    </row>
    <row r="269" spans="1:24" ht="15.6" x14ac:dyDescent="0.3">
      <c r="A269" s="243"/>
      <c r="B269" s="388" t="s">
        <v>169</v>
      </c>
      <c r="C269" s="244"/>
      <c r="D269" s="244"/>
      <c r="E269" s="244"/>
      <c r="F269" s="244"/>
      <c r="G269" s="244"/>
      <c r="H269" s="246"/>
      <c r="I269" s="246"/>
      <c r="J269" s="246"/>
      <c r="K269" s="246"/>
      <c r="L269" s="246"/>
      <c r="M269" s="246"/>
      <c r="N269" s="246"/>
      <c r="O269" s="246"/>
      <c r="P269" s="246"/>
      <c r="Q269" s="246"/>
      <c r="R269" s="396" t="s">
        <v>104</v>
      </c>
      <c r="S269" s="389" t="s">
        <v>105</v>
      </c>
      <c r="T269" s="396" t="s">
        <v>113</v>
      </c>
      <c r="U269" s="389" t="s">
        <v>105</v>
      </c>
      <c r="V269" s="244"/>
      <c r="W269" s="245"/>
      <c r="X269" s="5"/>
    </row>
    <row r="270" spans="1:24" ht="15.6" x14ac:dyDescent="0.3">
      <c r="A270" s="189"/>
      <c r="B270" s="247" t="s">
        <v>90</v>
      </c>
      <c r="C270" s="248"/>
      <c r="D270" s="248"/>
      <c r="E270" s="248"/>
      <c r="F270" s="248"/>
      <c r="G270" s="248"/>
      <c r="H270" s="249"/>
      <c r="I270" s="249"/>
      <c r="J270" s="249"/>
      <c r="K270" s="249"/>
      <c r="L270" s="249"/>
      <c r="M270" s="249"/>
      <c r="N270" s="249"/>
      <c r="O270" s="249"/>
      <c r="P270" s="249"/>
      <c r="Q270" s="249"/>
      <c r="R270" s="247">
        <v>0</v>
      </c>
      <c r="S270" s="250">
        <v>0</v>
      </c>
      <c r="T270" s="251">
        <v>0</v>
      </c>
      <c r="U270" s="250">
        <v>0</v>
      </c>
      <c r="V270" s="248"/>
      <c r="W270" s="190"/>
      <c r="X270" s="5"/>
    </row>
    <row r="271" spans="1:24" ht="15.6" x14ac:dyDescent="0.3">
      <c r="A271" s="278"/>
      <c r="B271" s="329" t="s">
        <v>91</v>
      </c>
      <c r="C271" s="279"/>
      <c r="D271" s="279"/>
      <c r="E271" s="279"/>
      <c r="F271" s="279"/>
      <c r="G271" s="279"/>
      <c r="H271" s="373"/>
      <c r="I271" s="373"/>
      <c r="J271" s="373"/>
      <c r="K271" s="373"/>
      <c r="L271" s="373"/>
      <c r="M271" s="373"/>
      <c r="N271" s="373"/>
      <c r="O271" s="373"/>
      <c r="P271" s="373"/>
      <c r="Q271" s="373"/>
      <c r="R271" s="329">
        <v>0</v>
      </c>
      <c r="S271" s="372">
        <v>0</v>
      </c>
      <c r="T271" s="330">
        <v>0</v>
      </c>
      <c r="U271" s="372">
        <v>0</v>
      </c>
      <c r="V271" s="279"/>
      <c r="W271" s="310"/>
      <c r="X271" s="5"/>
    </row>
    <row r="272" spans="1:24" ht="15.6" x14ac:dyDescent="0.3">
      <c r="A272" s="278"/>
      <c r="B272" s="329" t="s">
        <v>92</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161</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162</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163</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164</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165</v>
      </c>
      <c r="C277" s="279"/>
      <c r="D277" s="279"/>
      <c r="E277" s="279"/>
      <c r="F277" s="279"/>
      <c r="G277" s="279"/>
      <c r="H277" s="373"/>
      <c r="I277" s="373"/>
      <c r="J277" s="373"/>
      <c r="K277" s="373"/>
      <c r="L277" s="373"/>
      <c r="M277" s="373"/>
      <c r="N277" s="373"/>
      <c r="O277" s="373"/>
      <c r="P277" s="373"/>
      <c r="Q277" s="373"/>
      <c r="R277" s="329">
        <v>3</v>
      </c>
      <c r="S277" s="372">
        <f>+R277/R279</f>
        <v>1</v>
      </c>
      <c r="T277" s="330">
        <v>512</v>
      </c>
      <c r="U277" s="372">
        <f>+T277/T279</f>
        <v>1</v>
      </c>
      <c r="V277" s="279"/>
      <c r="W277" s="310"/>
      <c r="X277" s="5"/>
    </row>
    <row r="278" spans="1:24" ht="15.6" x14ac:dyDescent="0.3">
      <c r="A278" s="278"/>
      <c r="B278" s="329"/>
      <c r="C278" s="279"/>
      <c r="D278" s="279"/>
      <c r="E278" s="279"/>
      <c r="F278" s="279"/>
      <c r="G278" s="279"/>
      <c r="H278" s="373"/>
      <c r="I278" s="373"/>
      <c r="J278" s="373"/>
      <c r="K278" s="373"/>
      <c r="L278" s="373"/>
      <c r="M278" s="373"/>
      <c r="N278" s="373"/>
      <c r="O278" s="373"/>
      <c r="P278" s="373"/>
      <c r="Q278" s="373"/>
      <c r="R278" s="329"/>
      <c r="S278" s="372"/>
      <c r="T278" s="330"/>
      <c r="U278" s="372"/>
      <c r="V278" s="279"/>
      <c r="W278" s="310"/>
      <c r="X278" s="5"/>
    </row>
    <row r="279" spans="1:24" ht="15.6" x14ac:dyDescent="0.3">
      <c r="A279" s="278"/>
      <c r="B279" s="279" t="s">
        <v>119</v>
      </c>
      <c r="C279" s="279"/>
      <c r="D279" s="279"/>
      <c r="E279" s="279"/>
      <c r="F279" s="279"/>
      <c r="G279" s="279"/>
      <c r="H279" s="373"/>
      <c r="I279" s="373"/>
      <c r="J279" s="373"/>
      <c r="K279" s="373"/>
      <c r="L279" s="373"/>
      <c r="M279" s="373"/>
      <c r="N279" s="373"/>
      <c r="O279" s="373"/>
      <c r="P279" s="373"/>
      <c r="Q279" s="373"/>
      <c r="R279" s="329">
        <f>SUM(R270:R277)</f>
        <v>3</v>
      </c>
      <c r="S279" s="372">
        <f>SUM(S270:S278)</f>
        <v>1</v>
      </c>
      <c r="T279" s="330">
        <f>SUM(T270:T277)</f>
        <v>512</v>
      </c>
      <c r="U279" s="372">
        <f>SUM(U270:U278)</f>
        <v>1</v>
      </c>
      <c r="V279" s="279"/>
      <c r="W279" s="310"/>
      <c r="X279" s="5"/>
    </row>
    <row r="280" spans="1:24" ht="15.6" x14ac:dyDescent="0.3">
      <c r="A280" s="278"/>
      <c r="B280" s="279"/>
      <c r="C280" s="279"/>
      <c r="D280" s="279"/>
      <c r="E280" s="279"/>
      <c r="F280" s="279"/>
      <c r="G280" s="279"/>
      <c r="H280" s="373"/>
      <c r="I280" s="373"/>
      <c r="J280" s="373"/>
      <c r="K280" s="373"/>
      <c r="L280" s="373"/>
      <c r="M280" s="373"/>
      <c r="N280" s="373"/>
      <c r="O280" s="373"/>
      <c r="P280" s="373"/>
      <c r="Q280" s="373"/>
      <c r="R280" s="329"/>
      <c r="S280" s="372"/>
      <c r="T280" s="330"/>
      <c r="U280" s="372"/>
      <c r="V280" s="279"/>
      <c r="W280" s="310"/>
      <c r="X280" s="5"/>
    </row>
    <row r="281" spans="1:24" ht="15.6" x14ac:dyDescent="0.3">
      <c r="A281" s="278"/>
      <c r="B281" s="288" t="s">
        <v>170</v>
      </c>
      <c r="C281" s="279"/>
      <c r="D281" s="279"/>
      <c r="E281" s="279"/>
      <c r="F281" s="279"/>
      <c r="G281" s="279"/>
      <c r="H281" s="373"/>
      <c r="I281" s="373"/>
      <c r="J281" s="373"/>
      <c r="K281" s="373"/>
      <c r="L281" s="373"/>
      <c r="M281" s="373"/>
      <c r="N281" s="373"/>
      <c r="O281" s="373"/>
      <c r="P281" s="373"/>
      <c r="Q281" s="373"/>
      <c r="R281" s="376">
        <f>R279+R267+R255</f>
        <v>7313</v>
      </c>
      <c r="S281" s="372"/>
      <c r="T281" s="397">
        <f>+T279+T267+T255</f>
        <v>977873</v>
      </c>
      <c r="U281" s="372"/>
      <c r="V281" s="279"/>
      <c r="W281" s="310"/>
      <c r="X281" s="5"/>
    </row>
    <row r="282" spans="1:24" ht="15.6" x14ac:dyDescent="0.3">
      <c r="A282" s="177"/>
      <c r="B282" s="340"/>
      <c r="C282" s="340"/>
      <c r="D282" s="340"/>
      <c r="E282" s="340"/>
      <c r="F282" s="340"/>
      <c r="G282" s="340"/>
      <c r="H282" s="374"/>
      <c r="I282" s="374"/>
      <c r="J282" s="374"/>
      <c r="K282" s="374"/>
      <c r="L282" s="374"/>
      <c r="M282" s="374"/>
      <c r="N282" s="374"/>
      <c r="O282" s="374"/>
      <c r="P282" s="374"/>
      <c r="Q282" s="374"/>
      <c r="R282" s="374"/>
      <c r="S282" s="374"/>
      <c r="T282" s="375"/>
      <c r="U282" s="374"/>
      <c r="V282" s="340"/>
      <c r="W282" s="275"/>
      <c r="X282" s="5"/>
    </row>
    <row r="283" spans="1:24" ht="15.6" x14ac:dyDescent="0.3">
      <c r="A283" s="177"/>
      <c r="B283" s="252"/>
      <c r="C283" s="252"/>
      <c r="D283" s="252"/>
      <c r="E283" s="252"/>
      <c r="F283" s="252"/>
      <c r="G283" s="252"/>
      <c r="H283" s="253"/>
      <c r="I283" s="253"/>
      <c r="J283" s="253"/>
      <c r="K283" s="253"/>
      <c r="L283" s="253"/>
      <c r="M283" s="253"/>
      <c r="N283" s="253"/>
      <c r="O283" s="253"/>
      <c r="P283" s="253"/>
      <c r="Q283" s="253"/>
      <c r="R283" s="253"/>
      <c r="S283" s="253"/>
      <c r="T283" s="254"/>
      <c r="U283" s="253"/>
      <c r="V283" s="252"/>
      <c r="W283" s="179"/>
      <c r="X283" s="5"/>
    </row>
    <row r="284" spans="1:24" ht="15.6" x14ac:dyDescent="0.3">
      <c r="A284" s="222"/>
      <c r="B284" s="378" t="s">
        <v>93</v>
      </c>
      <c r="C284" s="252"/>
      <c r="D284" s="252"/>
      <c r="E284" s="252"/>
      <c r="F284" s="381" t="s">
        <v>99</v>
      </c>
      <c r="G284" s="252"/>
      <c r="H284" s="378" t="s">
        <v>101</v>
      </c>
      <c r="I284" s="257"/>
      <c r="J284" s="257"/>
      <c r="K284" s="257"/>
      <c r="L284" s="257"/>
      <c r="M284" s="257"/>
      <c r="N284" s="257"/>
      <c r="O284" s="257"/>
      <c r="P284" s="257"/>
      <c r="Q284" s="257"/>
      <c r="R284" s="257"/>
      <c r="S284" s="257"/>
      <c r="T284" s="257"/>
      <c r="U284" s="257"/>
      <c r="V284" s="257"/>
      <c r="W284" s="187"/>
      <c r="X284" s="5"/>
    </row>
    <row r="285" spans="1:24" ht="15.6" x14ac:dyDescent="0.3">
      <c r="A285" s="222"/>
      <c r="B285" s="257"/>
      <c r="C285" s="252"/>
      <c r="D285" s="252"/>
      <c r="E285" s="252"/>
      <c r="F285" s="252"/>
      <c r="G285" s="252"/>
      <c r="H285" s="252"/>
      <c r="I285" s="257"/>
      <c r="J285" s="257"/>
      <c r="K285" s="257"/>
      <c r="L285" s="257"/>
      <c r="M285" s="257"/>
      <c r="N285" s="257"/>
      <c r="O285" s="257"/>
      <c r="P285" s="257"/>
      <c r="Q285" s="257"/>
      <c r="R285" s="257"/>
      <c r="S285" s="257"/>
      <c r="T285" s="257"/>
      <c r="U285" s="257"/>
      <c r="V285" s="257"/>
      <c r="W285" s="187"/>
      <c r="X285" s="5"/>
    </row>
    <row r="286" spans="1:24" ht="15.6" x14ac:dyDescent="0.3">
      <c r="A286" s="222"/>
      <c r="B286" s="378" t="s">
        <v>94</v>
      </c>
      <c r="C286" s="378"/>
      <c r="D286" s="378"/>
      <c r="E286" s="378"/>
      <c r="F286" s="398" t="s">
        <v>153</v>
      </c>
      <c r="G286" s="378"/>
      <c r="H286" s="378" t="s">
        <v>157</v>
      </c>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277</v>
      </c>
      <c r="C287" s="378"/>
      <c r="D287" s="378"/>
      <c r="E287" s="378"/>
      <c r="F287" s="398" t="s">
        <v>278</v>
      </c>
      <c r="G287" s="378"/>
      <c r="H287" s="378" t="s">
        <v>279</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95</v>
      </c>
      <c r="C288" s="378"/>
      <c r="D288" s="378"/>
      <c r="E288" s="378"/>
      <c r="F288" s="398" t="s">
        <v>152</v>
      </c>
      <c r="G288" s="378"/>
      <c r="H288" s="378" t="s">
        <v>158</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c r="C289" s="378"/>
      <c r="D289" s="378"/>
      <c r="E289" s="378"/>
      <c r="F289" s="378"/>
      <c r="G289" s="259"/>
      <c r="H289" s="257"/>
      <c r="I289" s="257"/>
      <c r="J289" s="257"/>
      <c r="K289" s="257"/>
      <c r="L289" s="257"/>
      <c r="M289" s="257"/>
      <c r="N289" s="257"/>
      <c r="O289" s="257"/>
      <c r="P289" s="257"/>
      <c r="Q289" s="257"/>
      <c r="R289" s="257"/>
      <c r="S289" s="257"/>
      <c r="T289" s="257"/>
      <c r="U289" s="257"/>
      <c r="V289" s="257"/>
      <c r="W289" s="187"/>
      <c r="X289" s="5"/>
    </row>
    <row r="290" spans="1:24" ht="18" thickBot="1" x14ac:dyDescent="0.35">
      <c r="A290" s="222"/>
      <c r="B290" s="260" t="str">
        <f>B195</f>
        <v>PM12 INVESTOR REPORT QUARTER ENDING OCTOBER 2012</v>
      </c>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x14ac:dyDescent="0.2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row>
  </sheetData>
  <hyperlinks>
    <hyperlink ref="P231" r:id="rId1" xr:uid="{00000000-0004-0000-1800-000000000000}"/>
    <hyperlink ref="I9" r:id="rId2" xr:uid="{00000000-0004-0000-18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195" max="14" man="1"/>
  </rowBreak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2D2926"/>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0.64700000000000002</v>
      </c>
      <c r="T16" s="381" t="s">
        <v>145</v>
      </c>
      <c r="U16" s="380">
        <v>0.35299999999999998</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41327</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316</v>
      </c>
      <c r="E27" s="285"/>
      <c r="F27" s="285" t="s">
        <v>317</v>
      </c>
      <c r="G27" s="285"/>
      <c r="H27" s="285" t="s">
        <v>317</v>
      </c>
      <c r="I27" s="285"/>
      <c r="J27" s="285" t="s">
        <v>317</v>
      </c>
      <c r="K27" s="285"/>
      <c r="L27" s="285" t="s">
        <v>149</v>
      </c>
      <c r="M27" s="285"/>
      <c r="N27" s="285" t="s">
        <v>149</v>
      </c>
      <c r="O27" s="285"/>
      <c r="P27" s="285" t="s">
        <v>318</v>
      </c>
      <c r="Q27" s="285"/>
      <c r="R27" s="285" t="s">
        <v>318</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896475.60000000009</v>
      </c>
      <c r="E32" s="289"/>
      <c r="F32" s="290">
        <f>F31*F38</f>
        <v>86659.453000000009</v>
      </c>
      <c r="G32" s="290"/>
      <c r="H32" s="295">
        <f>H31*H38</f>
        <v>146424.59300000002</v>
      </c>
      <c r="I32" s="295"/>
      <c r="J32" s="294">
        <f>J31*J38</f>
        <v>185869.27439999999</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888300.29999999993</v>
      </c>
      <c r="E33" s="301"/>
      <c r="F33" s="303">
        <f>F37*F31</f>
        <v>85869.173999999999</v>
      </c>
      <c r="G33" s="303"/>
      <c r="H33" s="384">
        <f>H31*H37</f>
        <v>145089.29399999999</v>
      </c>
      <c r="I33" s="384"/>
      <c r="J33" s="383">
        <f>J37*J31</f>
        <v>184174.2622</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487214.7661368</v>
      </c>
      <c r="E35" s="289"/>
      <c r="F35" s="290">
        <f>F34*F38</f>
        <v>86659.453000000009</v>
      </c>
      <c r="G35" s="290"/>
      <c r="H35" s="290">
        <f>H34*H38</f>
        <v>100982.76645240001</v>
      </c>
      <c r="I35" s="290"/>
      <c r="J35" s="290">
        <f>J34*J38</f>
        <v>101016.06590880001</v>
      </c>
      <c r="K35" s="290"/>
      <c r="L35" s="290">
        <f>+L34</f>
        <v>25000</v>
      </c>
      <c r="M35" s="290"/>
      <c r="N35" s="290">
        <f>+N34</f>
        <v>86897</v>
      </c>
      <c r="O35" s="290"/>
      <c r="P35" s="290">
        <f>+P34</f>
        <v>17000</v>
      </c>
      <c r="Q35" s="290"/>
      <c r="R35" s="290">
        <f>+R34</f>
        <v>73103</v>
      </c>
      <c r="S35" s="290"/>
      <c r="T35" s="290"/>
      <c r="U35" s="291"/>
      <c r="V35" s="290">
        <f>SUM(C35:R35)</f>
        <v>977873.05149800004</v>
      </c>
      <c r="W35" s="292"/>
      <c r="X35" s="5"/>
    </row>
    <row r="36" spans="1:24" ht="15.6" x14ac:dyDescent="0.3">
      <c r="A36" s="283"/>
      <c r="B36" s="288" t="s">
        <v>295</v>
      </c>
      <c r="C36" s="301"/>
      <c r="D36" s="303">
        <f>D34*D37</f>
        <v>482771.67044339998</v>
      </c>
      <c r="E36" s="301"/>
      <c r="F36" s="303">
        <f>F34*F37</f>
        <v>85869.173999999999</v>
      </c>
      <c r="G36" s="303"/>
      <c r="H36" s="303">
        <f>H34*H37</f>
        <v>100061.8679592</v>
      </c>
      <c r="I36" s="303"/>
      <c r="J36" s="303">
        <f>J34*J37</f>
        <v>100094.86220439999</v>
      </c>
      <c r="K36" s="303"/>
      <c r="L36" s="303">
        <f>+L34</f>
        <v>25000</v>
      </c>
      <c r="M36" s="303"/>
      <c r="N36" s="303">
        <f>+N34</f>
        <v>86897</v>
      </c>
      <c r="O36" s="303"/>
      <c r="P36" s="303">
        <f>+P34</f>
        <v>17000</v>
      </c>
      <c r="Q36" s="303"/>
      <c r="R36" s="303">
        <f>+R34</f>
        <v>73103</v>
      </c>
      <c r="S36" s="302"/>
      <c r="T36" s="302"/>
      <c r="U36" s="291"/>
      <c r="V36" s="303">
        <f>SUM(C36:R36)-1</f>
        <v>970796.57460699987</v>
      </c>
      <c r="W36" s="292"/>
      <c r="X36" s="5"/>
    </row>
    <row r="37" spans="1:24" ht="15.6" x14ac:dyDescent="0.3">
      <c r="A37" s="278"/>
      <c r="B37" s="304" t="s">
        <v>135</v>
      </c>
      <c r="C37" s="305"/>
      <c r="D37" s="306">
        <v>0.59220019999999995</v>
      </c>
      <c r="E37" s="307"/>
      <c r="F37" s="306">
        <v>0.59220119999999998</v>
      </c>
      <c r="G37" s="306"/>
      <c r="H37" s="306">
        <v>0.59220119999999998</v>
      </c>
      <c r="I37" s="306"/>
      <c r="J37" s="306">
        <v>0.59220019999999995</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0.59765040000000003</v>
      </c>
      <c r="E38" s="307"/>
      <c r="F38" s="306">
        <v>0.59765140000000005</v>
      </c>
      <c r="G38" s="306"/>
      <c r="H38" s="306">
        <v>0.59765140000000005</v>
      </c>
      <c r="I38" s="306"/>
      <c r="J38" s="306">
        <v>0.59765040000000003</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4.457E-3</v>
      </c>
      <c r="E40" s="279"/>
      <c r="F40" s="314">
        <v>7.6312999999999997E-3</v>
      </c>
      <c r="G40" s="313"/>
      <c r="H40" s="314">
        <v>4.3200000000000001E-3</v>
      </c>
      <c r="I40" s="314"/>
      <c r="J40" s="314">
        <v>5.3E-3</v>
      </c>
      <c r="K40" s="313"/>
      <c r="L40" s="314">
        <v>1.00313E-2</v>
      </c>
      <c r="M40" s="313"/>
      <c r="N40" s="314">
        <v>6.7200000000000003E-3</v>
      </c>
      <c r="O40" s="313"/>
      <c r="P40" s="314">
        <v>1.4431299999999999E-2</v>
      </c>
      <c r="Q40" s="313"/>
      <c r="R40" s="314">
        <v>1.112E-2</v>
      </c>
      <c r="S40" s="313"/>
      <c r="T40" s="314"/>
      <c r="U40" s="281"/>
      <c r="V40" s="287"/>
      <c r="W40" s="282"/>
      <c r="X40" s="5"/>
    </row>
    <row r="41" spans="1:24" ht="15.6" x14ac:dyDescent="0.3">
      <c r="A41" s="278"/>
      <c r="B41" s="279" t="s">
        <v>13</v>
      </c>
      <c r="C41" s="279"/>
      <c r="D41" s="314">
        <v>4.5399999999999998E-3</v>
      </c>
      <c r="E41" s="279"/>
      <c r="F41" s="314">
        <v>9.4438000000000005E-3</v>
      </c>
      <c r="G41" s="313"/>
      <c r="H41" s="314">
        <v>5.8900000000000003E-3</v>
      </c>
      <c r="I41" s="314"/>
      <c r="J41" s="314">
        <v>6.5449999999999996E-3</v>
      </c>
      <c r="K41" s="313"/>
      <c r="L41" s="314">
        <v>1.18438E-2</v>
      </c>
      <c r="M41" s="313"/>
      <c r="N41" s="314">
        <v>8.2900000000000005E-3</v>
      </c>
      <c r="O41" s="313"/>
      <c r="P41" s="314">
        <v>1.6243799999999999E-2</v>
      </c>
      <c r="Q41" s="313"/>
      <c r="R41" s="314">
        <v>1.269E-2</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7.8455999999999994E-3</v>
      </c>
      <c r="E43" s="314"/>
      <c r="F43" s="314">
        <f>+F40</f>
        <v>7.6312999999999997E-3</v>
      </c>
      <c r="G43" s="314"/>
      <c r="H43" s="314">
        <v>7.5532999999999998E-3</v>
      </c>
      <c r="I43" s="314"/>
      <c r="J43" s="314">
        <v>7.7952999999999998E-3</v>
      </c>
      <c r="K43" s="314"/>
      <c r="L43" s="314">
        <f>+L40</f>
        <v>1.00313E-2</v>
      </c>
      <c r="M43" s="314"/>
      <c r="N43" s="314">
        <v>1.0233300000000001E-2</v>
      </c>
      <c r="O43" s="314"/>
      <c r="P43" s="314">
        <f>+P40</f>
        <v>1.4431299999999999E-2</v>
      </c>
      <c r="Q43" s="313"/>
      <c r="R43" s="314">
        <v>1.49033E-2</v>
      </c>
      <c r="S43" s="287"/>
      <c r="T43" s="287"/>
      <c r="U43" s="281"/>
      <c r="V43" s="313">
        <f>SUMPRODUCT(D43:R43,D35:R35)/V35</f>
        <v>8.7013889157400125E-3</v>
      </c>
      <c r="W43" s="282"/>
      <c r="X43" s="5"/>
    </row>
    <row r="44" spans="1:24" ht="15.6" x14ac:dyDescent="0.3">
      <c r="A44" s="278"/>
      <c r="B44" s="279" t="s">
        <v>298</v>
      </c>
      <c r="C44" s="315"/>
      <c r="D44" s="314">
        <v>9.6580999999999993E-3</v>
      </c>
      <c r="E44" s="314"/>
      <c r="F44" s="314">
        <f>+F41</f>
        <v>9.4438000000000005E-3</v>
      </c>
      <c r="G44" s="314"/>
      <c r="H44" s="314">
        <v>9.3658000000000005E-3</v>
      </c>
      <c r="I44" s="314"/>
      <c r="J44" s="314">
        <v>9.6077999999999997E-3</v>
      </c>
      <c r="K44" s="314"/>
      <c r="L44" s="314">
        <f>+L41</f>
        <v>1.18438E-2</v>
      </c>
      <c r="M44" s="314"/>
      <c r="N44" s="314">
        <v>1.2045800000000001E-2</v>
      </c>
      <c r="O44" s="314"/>
      <c r="P44" s="314">
        <f>+P41</f>
        <v>1.6243799999999999E-2</v>
      </c>
      <c r="Q44" s="313"/>
      <c r="R44" s="314">
        <v>1.6715799999999999E-2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0.26274796730889788</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41320</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92</v>
      </c>
      <c r="S57" s="279"/>
      <c r="T57" s="325">
        <v>41136</v>
      </c>
      <c r="U57" s="326"/>
      <c r="V57" s="325">
        <v>41227</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41228</v>
      </c>
      <c r="U58" s="326"/>
      <c r="V58" s="325">
        <v>41319</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41306</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320</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977873</v>
      </c>
      <c r="O68" s="329"/>
      <c r="P68" s="329">
        <f>7076+45+23</f>
        <v>7144</v>
      </c>
      <c r="Q68" s="329"/>
      <c r="R68" s="329">
        <f>45+23</f>
        <v>68</v>
      </c>
      <c r="S68" s="329"/>
      <c r="T68" s="329">
        <v>0</v>
      </c>
      <c r="U68" s="329"/>
      <c r="V68" s="330">
        <f>+N68-P68+R68-T68</f>
        <v>970797</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977873</v>
      </c>
      <c r="O71" s="329"/>
      <c r="P71" s="329">
        <f>SUM(P68:P70)</f>
        <v>7144</v>
      </c>
      <c r="Q71" s="329"/>
      <c r="R71" s="329">
        <f>SUM(R68:R70)</f>
        <v>68</v>
      </c>
      <c r="S71" s="329"/>
      <c r="T71" s="329">
        <f>SUM(T68:T70)</f>
        <v>0</v>
      </c>
      <c r="U71" s="329"/>
      <c r="V71" s="329">
        <f>SUM(V68:V70)</f>
        <v>970797</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977873</v>
      </c>
      <c r="O84" s="329"/>
      <c r="P84" s="329"/>
      <c r="Q84" s="329"/>
      <c r="R84" s="329"/>
      <c r="S84" s="329"/>
      <c r="T84" s="329"/>
      <c r="U84" s="329"/>
      <c r="V84" s="329">
        <f>SUM(V71:V83)</f>
        <v>970797</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41305</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7144-425</f>
        <v>6719</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4234+2522-812-437</f>
        <v>5507</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67+78</f>
        <v>145</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14</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515</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6719</v>
      </c>
      <c r="U96" s="279"/>
      <c r="V96" s="329">
        <f>SUM(V88:V95)</f>
        <v>6181</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205</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6719</v>
      </c>
      <c r="U100" s="279"/>
      <c r="V100" s="329">
        <f>V96+V98+V97+V99</f>
        <v>6386</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-373-235-12</f>
        <v>-620</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-50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-1521+167</f>
        <v>-1354</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-167</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-224</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-63</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-274</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-62</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425</v>
      </c>
      <c r="U114" s="279"/>
      <c r="V114" s="330">
        <v>-425</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-372</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-2765</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-23</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-45</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-4443</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-790</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-921</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-922</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-7144</v>
      </c>
      <c r="U132" s="329"/>
      <c r="V132" s="329">
        <f>SUM(V101:V129)</f>
        <v>-6386</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JANUARY 2013</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425</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425</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-425</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v>0</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970797</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970797</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+'Oct 12'!S181</f>
        <v>49108</v>
      </c>
      <c r="T180" s="330">
        <f>+'Oct 12'!T181</f>
        <v>6362</v>
      </c>
      <c r="U180" s="279"/>
      <c r="V180" s="330">
        <f>S180+T180</f>
        <v>55470</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v>45</v>
      </c>
      <c r="T181" s="329">
        <v>0</v>
      </c>
      <c r="U181" s="279"/>
      <c r="V181" s="330">
        <f>S181+T181</f>
        <v>45</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49153</v>
      </c>
      <c r="T182" s="330">
        <f>T181+T180</f>
        <v>6362</v>
      </c>
      <c r="U182" s="279"/>
      <c r="V182" s="330">
        <f>S182+T182</f>
        <v>55515</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184517.80000000002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3.7567389875082182</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1.65</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14.609756097560975</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5.93</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11.625</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5.59</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JANUARY 2013</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41305</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2.248E-2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8.7013889157400125E-3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1.3778611084259988E-2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6.5305003819514391E-3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14.66</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7.3056521654652493E-3</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7.0499999999999993E-2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5</v>
      </c>
      <c r="T215" s="263">
        <v>824</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137</v>
      </c>
      <c r="T216" s="355">
        <f>+T268</f>
        <v>22485</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3</v>
      </c>
      <c r="T217" s="355">
        <f>+T280</f>
        <v>512</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425</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'Oct 12'!T221+'Jan 13'!T221</f>
        <v>4342</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0</v>
      </c>
      <c r="T224" s="355">
        <v>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0</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9</v>
      </c>
      <c r="T228" s="355">
        <v>997</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12.69</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7193</v>
      </c>
      <c r="S235" s="372">
        <f t="shared" ref="S235:S242" si="2">R235/$R$244</f>
        <v>0.98995320671621245</v>
      </c>
      <c r="T235" s="330">
        <f t="shared" ref="T235:T242" si="3">+T247+T259+T271</f>
        <v>955471</v>
      </c>
      <c r="U235" s="372">
        <f t="shared" ref="U235:U242" si="4">T235/$T$244</f>
        <v>0.98421297140390829</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41</v>
      </c>
      <c r="S236" s="372">
        <f t="shared" si="2"/>
        <v>5.6427195155518851E-3</v>
      </c>
      <c r="T236" s="330">
        <f t="shared" si="3"/>
        <v>10653</v>
      </c>
      <c r="U236" s="372">
        <f t="shared" si="4"/>
        <v>1.0973457890784582E-2</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8</v>
      </c>
      <c r="S237" s="372">
        <f t="shared" si="2"/>
        <v>1.1010184420589045E-3</v>
      </c>
      <c r="T237" s="330">
        <f t="shared" si="3"/>
        <v>759</v>
      </c>
      <c r="U237" s="372">
        <f t="shared" si="4"/>
        <v>7.8183183507983642E-4</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1</v>
      </c>
      <c r="S238" s="372">
        <f t="shared" si="2"/>
        <v>1.3762730525736306E-4</v>
      </c>
      <c r="T238" s="330">
        <f t="shared" si="3"/>
        <v>99</v>
      </c>
      <c r="U238" s="372">
        <f t="shared" si="4"/>
        <v>1.0197806544519606E-4</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1</v>
      </c>
      <c r="S239" s="372">
        <f t="shared" si="2"/>
        <v>1.3762730525736306E-4</v>
      </c>
      <c r="T239" s="330">
        <f t="shared" si="3"/>
        <v>221</v>
      </c>
      <c r="U239" s="372">
        <f t="shared" si="4"/>
        <v>2.2764800468069019E-4</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3</v>
      </c>
      <c r="S240" s="372">
        <f t="shared" si="2"/>
        <v>4.1288191577208916E-4</v>
      </c>
      <c r="T240" s="330">
        <f t="shared" si="3"/>
        <v>677</v>
      </c>
      <c r="U240" s="372">
        <f t="shared" si="4"/>
        <v>6.9736515461007813E-4</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6</v>
      </c>
      <c r="S241" s="372">
        <f t="shared" si="2"/>
        <v>8.2576383154417832E-4</v>
      </c>
      <c r="T241" s="330">
        <f t="shared" si="3"/>
        <v>981</v>
      </c>
      <c r="U241" s="372">
        <f t="shared" si="4"/>
        <v>1.01050992122967E-3</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13</v>
      </c>
      <c r="S242" s="372">
        <f t="shared" si="2"/>
        <v>1.7891549683457198E-3</v>
      </c>
      <c r="T242" s="330">
        <f t="shared" si="3"/>
        <v>1936</v>
      </c>
      <c r="U242" s="372">
        <f t="shared" si="4"/>
        <v>1.9942377242616119E-3</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7266</v>
      </c>
      <c r="S244" s="372">
        <f>SUM(S235:S243)</f>
        <v>0.99999999999999989</v>
      </c>
      <c r="T244" s="330">
        <f>SUM(T235:T243)</f>
        <v>970797</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7084</v>
      </c>
      <c r="S247" s="250">
        <f t="shared" ref="S247:S254" si="5">R247/$R$256</f>
        <v>0.9941060903732809</v>
      </c>
      <c r="T247" s="251">
        <v>936938</v>
      </c>
      <c r="U247" s="250">
        <f t="shared" ref="U247:U254" si="6">T247/$T$256</f>
        <v>0.98853977632411905</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32</v>
      </c>
      <c r="S248" s="372">
        <f t="shared" si="5"/>
        <v>4.4905978108335676E-3</v>
      </c>
      <c r="T248" s="330">
        <v>9532</v>
      </c>
      <c r="U248" s="372">
        <f t="shared" si="6"/>
        <v>1.0056974045157206E-2</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6</v>
      </c>
      <c r="S249" s="372">
        <f t="shared" si="5"/>
        <v>8.4198708953129382E-4</v>
      </c>
      <c r="T249" s="330">
        <v>512</v>
      </c>
      <c r="U249" s="372">
        <f t="shared" si="6"/>
        <v>5.4019835408313985E-4</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1</v>
      </c>
      <c r="S252" s="372">
        <f t="shared" si="5"/>
        <v>1.4033118158854899E-4</v>
      </c>
      <c r="T252" s="330">
        <v>356</v>
      </c>
      <c r="U252" s="372">
        <f t="shared" si="6"/>
        <v>3.7560666807343323E-4</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2</v>
      </c>
      <c r="S253" s="372">
        <f t="shared" si="5"/>
        <v>2.8066236317709798E-4</v>
      </c>
      <c r="T253" s="330">
        <v>298</v>
      </c>
      <c r="U253" s="372">
        <f t="shared" si="6"/>
        <v>3.1441232327495251E-4</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1</v>
      </c>
      <c r="S254" s="372">
        <f t="shared" si="5"/>
        <v>1.4033118158854899E-4</v>
      </c>
      <c r="T254" s="330">
        <v>164</v>
      </c>
      <c r="U254" s="372">
        <f t="shared" si="6"/>
        <v>1.7303228529225574E-4</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7126</v>
      </c>
      <c r="S256" s="372">
        <f>SUM(S247:S255)</f>
        <v>1</v>
      </c>
      <c r="T256" s="330">
        <f>SUM(T247:T255)</f>
        <v>947800</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109</v>
      </c>
      <c r="S259" s="250">
        <f t="shared" ref="S259:S266" si="7">R259/$R$268</f>
        <v>0.79562043795620441</v>
      </c>
      <c r="T259" s="251">
        <v>18533</v>
      </c>
      <c r="U259" s="250">
        <f t="shared" ref="U259:U266" si="8">T259/$T$268</f>
        <v>0.8242383811429842</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9</v>
      </c>
      <c r="S260" s="372">
        <f t="shared" si="7"/>
        <v>6.569343065693431E-2</v>
      </c>
      <c r="T260" s="330">
        <v>1121</v>
      </c>
      <c r="U260" s="372">
        <f t="shared" si="8"/>
        <v>4.9855459195018902E-2</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2</v>
      </c>
      <c r="S261" s="372">
        <f t="shared" si="7"/>
        <v>1.4598540145985401E-2</v>
      </c>
      <c r="T261" s="330">
        <v>247</v>
      </c>
      <c r="U261" s="372">
        <f t="shared" si="8"/>
        <v>1.0985101178563488E-2</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1</v>
      </c>
      <c r="S262" s="372">
        <f t="shared" si="7"/>
        <v>7.2992700729927005E-3</v>
      </c>
      <c r="T262" s="330">
        <v>99</v>
      </c>
      <c r="U262" s="372">
        <f t="shared" si="8"/>
        <v>4.4029352901934623E-3</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1</v>
      </c>
      <c r="S263" s="372">
        <f t="shared" si="7"/>
        <v>7.2992700729927005E-3</v>
      </c>
      <c r="T263" s="330">
        <v>221</v>
      </c>
      <c r="U263" s="372">
        <f t="shared" si="8"/>
        <v>9.828774738714699E-3</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2</v>
      </c>
      <c r="S264" s="372">
        <f t="shared" si="7"/>
        <v>1.4598540145985401E-2</v>
      </c>
      <c r="T264" s="330">
        <v>321</v>
      </c>
      <c r="U264" s="372">
        <f t="shared" si="8"/>
        <v>1.42761841227485E-2</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4</v>
      </c>
      <c r="S265" s="372">
        <f t="shared" si="7"/>
        <v>2.9197080291970802E-2</v>
      </c>
      <c r="T265" s="330">
        <v>683</v>
      </c>
      <c r="U265" s="372">
        <f t="shared" si="8"/>
        <v>3.0375806092950857E-2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9</v>
      </c>
      <c r="S266" s="372">
        <f t="shared" si="7"/>
        <v>6.569343065693431E-2</v>
      </c>
      <c r="T266" s="330">
        <v>1260</v>
      </c>
      <c r="U266" s="372">
        <f t="shared" si="8"/>
        <v>5.6037358238825885E-2</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137</v>
      </c>
      <c r="S268" s="372">
        <f>SUM(S259:S267)</f>
        <v>1</v>
      </c>
      <c r="T268" s="330">
        <f>SUM(T259:T267)</f>
        <v>22485</v>
      </c>
      <c r="U268" s="372">
        <f>SUM(U259:U267)</f>
        <v>0.99999999999999978</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3</v>
      </c>
      <c r="S278" s="372">
        <f>+R278/R280</f>
        <v>1</v>
      </c>
      <c r="T278" s="330">
        <v>512</v>
      </c>
      <c r="U278" s="372">
        <f>+T278/T280</f>
        <v>1</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3</v>
      </c>
      <c r="S280" s="372">
        <f>SUM(S271:S279)</f>
        <v>1</v>
      </c>
      <c r="T280" s="330">
        <f>SUM(T271:T278)</f>
        <v>512</v>
      </c>
      <c r="U280" s="372">
        <f>SUM(U271:U279)</f>
        <v>1</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7266</v>
      </c>
      <c r="S282" s="372"/>
      <c r="T282" s="397">
        <f>+T280+T268+T256</f>
        <v>970797</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94</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277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95</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JANUARY 2013</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1900-000000000000}"/>
    <hyperlink ref="I9" r:id="rId2" xr:uid="{00000000-0004-0000-19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89CB31"/>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0.64770000000000005</v>
      </c>
      <c r="T16" s="381" t="s">
        <v>145</v>
      </c>
      <c r="U16" s="380">
        <v>0.3523</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41416</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316</v>
      </c>
      <c r="E27" s="285"/>
      <c r="F27" s="285" t="s">
        <v>317</v>
      </c>
      <c r="G27" s="285"/>
      <c r="H27" s="285" t="s">
        <v>317</v>
      </c>
      <c r="I27" s="285"/>
      <c r="J27" s="285" t="s">
        <v>317</v>
      </c>
      <c r="K27" s="285"/>
      <c r="L27" s="285" t="s">
        <v>149</v>
      </c>
      <c r="M27" s="285"/>
      <c r="N27" s="285" t="s">
        <v>149</v>
      </c>
      <c r="O27" s="285"/>
      <c r="P27" s="285" t="s">
        <v>318</v>
      </c>
      <c r="Q27" s="285"/>
      <c r="R27" s="285" t="s">
        <v>318</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888300.29999999993</v>
      </c>
      <c r="E32" s="289"/>
      <c r="F32" s="290">
        <f>F31*F38</f>
        <v>85869.173999999999</v>
      </c>
      <c r="G32" s="290"/>
      <c r="H32" s="295">
        <f>H31*H38</f>
        <v>145089.29399999999</v>
      </c>
      <c r="I32" s="295"/>
      <c r="J32" s="294">
        <f>J31*J38</f>
        <v>184174.2622</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881011.8</v>
      </c>
      <c r="E33" s="301"/>
      <c r="F33" s="303">
        <f>F37*F31</f>
        <v>85164.619000000006</v>
      </c>
      <c r="G33" s="303"/>
      <c r="H33" s="384">
        <f>H31*H37</f>
        <v>143898.83900000001</v>
      </c>
      <c r="I33" s="384"/>
      <c r="J33" s="383">
        <f>J37*J31</f>
        <v>182663.11319999999</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482771.67044339998</v>
      </c>
      <c r="E35" s="289"/>
      <c r="F35" s="290">
        <f>F34*F38</f>
        <v>85869.173999999999</v>
      </c>
      <c r="G35" s="290"/>
      <c r="H35" s="290">
        <f>H34*H38</f>
        <v>100061.8679592</v>
      </c>
      <c r="I35" s="290"/>
      <c r="J35" s="290">
        <f>J34*J38</f>
        <v>100094.86220439999</v>
      </c>
      <c r="K35" s="290"/>
      <c r="L35" s="290">
        <f>+L34</f>
        <v>25000</v>
      </c>
      <c r="M35" s="290"/>
      <c r="N35" s="290">
        <f>+N34</f>
        <v>86897</v>
      </c>
      <c r="O35" s="290"/>
      <c r="P35" s="290">
        <f>+P34</f>
        <v>17000</v>
      </c>
      <c r="Q35" s="290"/>
      <c r="R35" s="290">
        <f>+R34</f>
        <v>73103</v>
      </c>
      <c r="S35" s="290"/>
      <c r="T35" s="290"/>
      <c r="U35" s="291"/>
      <c r="V35" s="290">
        <f>SUM(C35:R35)-1</f>
        <v>970796.57460699987</v>
      </c>
      <c r="W35" s="292"/>
      <c r="X35" s="5"/>
    </row>
    <row r="36" spans="1:24" ht="15.6" x14ac:dyDescent="0.3">
      <c r="A36" s="283"/>
      <c r="B36" s="288" t="s">
        <v>295</v>
      </c>
      <c r="C36" s="301"/>
      <c r="D36" s="303">
        <f>D34*D37</f>
        <v>478810.53104040003</v>
      </c>
      <c r="E36" s="301"/>
      <c r="F36" s="303">
        <f>F34*F37</f>
        <v>85164.619000000006</v>
      </c>
      <c r="G36" s="303"/>
      <c r="H36" s="303">
        <f>H34*H37</f>
        <v>99240.8621652</v>
      </c>
      <c r="I36" s="303"/>
      <c r="J36" s="303">
        <f>J34*J37</f>
        <v>99273.584306400007</v>
      </c>
      <c r="K36" s="303"/>
      <c r="L36" s="303">
        <f>+L34</f>
        <v>25000</v>
      </c>
      <c r="M36" s="303"/>
      <c r="N36" s="303">
        <f>+N34</f>
        <v>86897</v>
      </c>
      <c r="O36" s="303"/>
      <c r="P36" s="303">
        <f>+P34</f>
        <v>17000</v>
      </c>
      <c r="Q36" s="303"/>
      <c r="R36" s="303">
        <f>+R34</f>
        <v>73103</v>
      </c>
      <c r="S36" s="302"/>
      <c r="T36" s="302"/>
      <c r="U36" s="291"/>
      <c r="V36" s="303">
        <f>SUM(C36:R36)-1</f>
        <v>964488.59651200008</v>
      </c>
      <c r="W36" s="292"/>
      <c r="X36" s="5"/>
    </row>
    <row r="37" spans="1:24" ht="15.6" x14ac:dyDescent="0.3">
      <c r="A37" s="278"/>
      <c r="B37" s="304" t="s">
        <v>135</v>
      </c>
      <c r="C37" s="305"/>
      <c r="D37" s="306">
        <v>0.58734120000000001</v>
      </c>
      <c r="E37" s="307"/>
      <c r="F37" s="306">
        <v>0.58734220000000004</v>
      </c>
      <c r="G37" s="306"/>
      <c r="H37" s="306">
        <v>0.58734220000000004</v>
      </c>
      <c r="I37" s="306"/>
      <c r="J37" s="306">
        <v>0.58734120000000001</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0.59220019999999995</v>
      </c>
      <c r="E38" s="307"/>
      <c r="F38" s="306">
        <v>0.59220119999999998</v>
      </c>
      <c r="G38" s="306"/>
      <c r="H38" s="306">
        <v>0.59220119999999998</v>
      </c>
      <c r="I38" s="306"/>
      <c r="J38" s="306">
        <v>0.59220019999999995</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4.3870000000000003E-3</v>
      </c>
      <c r="E40" s="279"/>
      <c r="F40" s="314">
        <v>7.4999999999999997E-3</v>
      </c>
      <c r="G40" s="313"/>
      <c r="H40" s="314">
        <v>4.6600000000000001E-3</v>
      </c>
      <c r="I40" s="314"/>
      <c r="J40" s="314">
        <v>5.1009999999999996E-3</v>
      </c>
      <c r="K40" s="313"/>
      <c r="L40" s="314">
        <v>9.9000000000000008E-3</v>
      </c>
      <c r="M40" s="313"/>
      <c r="N40" s="314">
        <v>7.0600000000000003E-3</v>
      </c>
      <c r="O40" s="313"/>
      <c r="P40" s="314">
        <v>1.43E-2</v>
      </c>
      <c r="Q40" s="313"/>
      <c r="R40" s="314">
        <v>1.146E-2</v>
      </c>
      <c r="S40" s="313"/>
      <c r="T40" s="314"/>
      <c r="U40" s="281"/>
      <c r="V40" s="287"/>
      <c r="W40" s="282"/>
      <c r="X40" s="5"/>
    </row>
    <row r="41" spans="1:24" ht="15.6" x14ac:dyDescent="0.3">
      <c r="A41" s="278"/>
      <c r="B41" s="279" t="s">
        <v>13</v>
      </c>
      <c r="C41" s="279"/>
      <c r="D41" s="314">
        <v>4.457E-3</v>
      </c>
      <c r="E41" s="279"/>
      <c r="F41" s="314">
        <v>7.6312999999999997E-3</v>
      </c>
      <c r="G41" s="313"/>
      <c r="H41" s="314">
        <v>4.3200000000000001E-3</v>
      </c>
      <c r="I41" s="314"/>
      <c r="J41" s="314">
        <v>5.3E-3</v>
      </c>
      <c r="K41" s="313"/>
      <c r="L41" s="314">
        <v>1.00313E-2</v>
      </c>
      <c r="M41" s="313"/>
      <c r="N41" s="314">
        <v>6.7200000000000003E-3</v>
      </c>
      <c r="O41" s="313"/>
      <c r="P41" s="314">
        <v>1.4431299999999999E-2</v>
      </c>
      <c r="Q41" s="313"/>
      <c r="R41" s="314">
        <v>1.112E-2</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7.7143000000000003E-3</v>
      </c>
      <c r="E43" s="314"/>
      <c r="F43" s="314">
        <f>+F40</f>
        <v>7.4999999999999997E-3</v>
      </c>
      <c r="G43" s="314"/>
      <c r="H43" s="314">
        <v>7.4219999999999998E-3</v>
      </c>
      <c r="I43" s="314"/>
      <c r="J43" s="314">
        <v>7.6639999999999998E-3</v>
      </c>
      <c r="K43" s="314"/>
      <c r="L43" s="314">
        <f>+L40</f>
        <v>9.9000000000000008E-3</v>
      </c>
      <c r="M43" s="314"/>
      <c r="N43" s="314">
        <v>1.0102E-2</v>
      </c>
      <c r="O43" s="314"/>
      <c r="P43" s="314">
        <f>+P40</f>
        <v>1.43E-2</v>
      </c>
      <c r="Q43" s="313"/>
      <c r="R43" s="314">
        <v>1.4772E-2</v>
      </c>
      <c r="S43" s="287"/>
      <c r="T43" s="287"/>
      <c r="U43" s="281"/>
      <c r="V43" s="313">
        <f>SUMPRODUCT(D43:R43,D35:R35)/V35</f>
        <v>8.5768344656550963E-3</v>
      </c>
      <c r="W43" s="282"/>
      <c r="X43" s="5"/>
    </row>
    <row r="44" spans="1:24" ht="15.6" x14ac:dyDescent="0.3">
      <c r="A44" s="278"/>
      <c r="B44" s="279" t="s">
        <v>298</v>
      </c>
      <c r="C44" s="315"/>
      <c r="D44" s="314">
        <v>7.8455999999999994E-3</v>
      </c>
      <c r="E44" s="314"/>
      <c r="F44" s="314">
        <f>+F41</f>
        <v>7.6312999999999997E-3</v>
      </c>
      <c r="G44" s="314"/>
      <c r="H44" s="314">
        <v>7.5532999999999998E-3</v>
      </c>
      <c r="I44" s="314"/>
      <c r="J44" s="314">
        <v>7.7952999999999998E-3</v>
      </c>
      <c r="K44" s="314"/>
      <c r="L44" s="314">
        <f>+L41</f>
        <v>1.00313E-2</v>
      </c>
      <c r="M44" s="314"/>
      <c r="N44" s="314">
        <v>1.0233300000000001E-2</v>
      </c>
      <c r="O44" s="314"/>
      <c r="P44" s="314">
        <f>+P41</f>
        <v>1.4431299999999999E-2</v>
      </c>
      <c r="Q44" s="313"/>
      <c r="R44" s="314">
        <v>1.49033E-2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0.26492164735630058</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41409</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92</v>
      </c>
      <c r="S57" s="279"/>
      <c r="T57" s="325">
        <v>41228</v>
      </c>
      <c r="U57" s="326"/>
      <c r="V57" s="325">
        <v>41319</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89</v>
      </c>
      <c r="S58" s="279"/>
      <c r="T58" s="325">
        <v>41320</v>
      </c>
      <c r="U58" s="326"/>
      <c r="V58" s="325">
        <v>41408</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41395</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324</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970797</v>
      </c>
      <c r="O68" s="329"/>
      <c r="P68" s="329">
        <f>6308+21</f>
        <v>6329</v>
      </c>
      <c r="Q68" s="329"/>
      <c r="R68" s="329">
        <v>21</v>
      </c>
      <c r="S68" s="329"/>
      <c r="T68" s="329">
        <v>0</v>
      </c>
      <c r="U68" s="329"/>
      <c r="V68" s="330">
        <f>+N68-P68+R68-T68</f>
        <v>964489</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970797</v>
      </c>
      <c r="O71" s="329"/>
      <c r="P71" s="329">
        <f>SUM(P68:P70)</f>
        <v>6329</v>
      </c>
      <c r="Q71" s="329"/>
      <c r="R71" s="329">
        <f>SUM(R68:R70)</f>
        <v>21</v>
      </c>
      <c r="S71" s="329"/>
      <c r="T71" s="329">
        <f>SUM(T68:T70)</f>
        <v>0</v>
      </c>
      <c r="U71" s="329"/>
      <c r="V71" s="329">
        <f>SUM(V68:V70)</f>
        <v>964489</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970797</v>
      </c>
      <c r="O84" s="329"/>
      <c r="P84" s="329"/>
      <c r="Q84" s="329"/>
      <c r="R84" s="329"/>
      <c r="S84" s="329"/>
      <c r="T84" s="329"/>
      <c r="U84" s="329"/>
      <c r="V84" s="329">
        <f>SUM(V71:V83)</f>
        <v>964489</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41394</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6329-361</f>
        <v>5968</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4356+2309-895-294</f>
        <v>5476</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41+53</f>
        <v>94</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36</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548</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5968</v>
      </c>
      <c r="U96" s="279"/>
      <c r="V96" s="329">
        <f>SUM(V88:V95)</f>
        <v>6154</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-1</v>
      </c>
      <c r="U97" s="279"/>
      <c r="V97" s="329">
        <v>1</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-8</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5967</v>
      </c>
      <c r="U100" s="279"/>
      <c r="V100" s="329">
        <f>V96+V98+V97+V99</f>
        <v>6147</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-358-207-12</f>
        <v>-577</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-49</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-1433+157</f>
        <v>-1276</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-157</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-214</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-60</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-263</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-59</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361</v>
      </c>
      <c r="U114" s="279"/>
      <c r="V114" s="330">
        <v>-361</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-358</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-2763</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-20</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-3961</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-705</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-821</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-821</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-6328</v>
      </c>
      <c r="U132" s="329"/>
      <c r="V132" s="329">
        <f>SUM(V101:V129)</f>
        <v>-6147</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APRIL 2013</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361</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361</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-361</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f>-V99</f>
        <v>8</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964489</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964489</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+'Jan 13'!S182</f>
        <v>49153</v>
      </c>
      <c r="T180" s="330">
        <f>+'Jan 13'!T182</f>
        <v>6362</v>
      </c>
      <c r="U180" s="279"/>
      <c r="V180" s="330">
        <f>S180+T180</f>
        <v>55515</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v>20</v>
      </c>
      <c r="T181" s="329">
        <v>0</v>
      </c>
      <c r="U181" s="279"/>
      <c r="V181" s="330">
        <f>S181+T181</f>
        <v>20</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49173</v>
      </c>
      <c r="T182" s="330">
        <f>T181+T180</f>
        <v>6362</v>
      </c>
      <c r="U182" s="279"/>
      <c r="V182" s="330">
        <f>S182+T182</f>
        <v>55535</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184497.80000000002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3.8513607815771111</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1.67</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14.912408759124087</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6.04</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11.838509316770187</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5.69</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APRIL 2013</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41394</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2.239E-2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8.5768344656550963E-3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1.3813165534344904E-2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6.3319107908244463E-3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14.42</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6.5193856182085442E-3</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6.8900000000000003E-2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3</v>
      </c>
      <c r="T215" s="263">
        <v>494</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128</v>
      </c>
      <c r="T216" s="355">
        <f>+T268</f>
        <v>21298</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2</v>
      </c>
      <c r="T217" s="355">
        <f>+T280</f>
        <v>214</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361</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'Jan 13'!T222+'April 13'!T221</f>
        <v>4703</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1</v>
      </c>
      <c r="T224" s="355">
        <v>298</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25.55</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4.2699999999999996</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7</v>
      </c>
      <c r="T228" s="355">
        <v>1041</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3.68</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7173</v>
      </c>
      <c r="S235" s="372">
        <f t="shared" ref="S235:S242" si="2">R235/$R$244</f>
        <v>0.99376558603491272</v>
      </c>
      <c r="T235" s="330">
        <f t="shared" ref="T235:T242" si="3">+T247+T259+T271</f>
        <v>953264</v>
      </c>
      <c r="U235" s="372">
        <f t="shared" ref="U235:U242" si="4">T235/$T$244</f>
        <v>0.98836171278262375</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22</v>
      </c>
      <c r="S236" s="372">
        <f t="shared" si="2"/>
        <v>3.0479357162648932E-3</v>
      </c>
      <c r="T236" s="330">
        <f t="shared" si="3"/>
        <v>7103</v>
      </c>
      <c r="U236" s="372">
        <f t="shared" si="4"/>
        <v>7.3645215238328276E-3</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2</v>
      </c>
      <c r="S237" s="372">
        <f t="shared" si="2"/>
        <v>2.7708506511499033E-4</v>
      </c>
      <c r="T237" s="330">
        <f t="shared" si="3"/>
        <v>774</v>
      </c>
      <c r="U237" s="372">
        <f t="shared" si="4"/>
        <v>8.0249748830727981E-4</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2</v>
      </c>
      <c r="S238" s="372">
        <f t="shared" si="2"/>
        <v>2.7708506511499033E-4</v>
      </c>
      <c r="T238" s="330">
        <f t="shared" si="3"/>
        <v>246</v>
      </c>
      <c r="U238" s="372">
        <f t="shared" si="4"/>
        <v>2.5505734124494939E-4</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1</v>
      </c>
      <c r="S239" s="372">
        <f t="shared" si="2"/>
        <v>1.3854253255749516E-4</v>
      </c>
      <c r="T239" s="330">
        <f t="shared" si="3"/>
        <v>221</v>
      </c>
      <c r="U239" s="372">
        <f t="shared" si="4"/>
        <v>2.2913687973631633E-4</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7</v>
      </c>
      <c r="S241" s="372">
        <f t="shared" si="2"/>
        <v>9.6979772790246606E-4</v>
      </c>
      <c r="T241" s="330">
        <f t="shared" si="3"/>
        <v>1317</v>
      </c>
      <c r="U241" s="372">
        <f t="shared" si="4"/>
        <v>1.3654899122747901E-3</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11</v>
      </c>
      <c r="S242" s="372">
        <f t="shared" si="2"/>
        <v>1.5239678581324466E-3</v>
      </c>
      <c r="T242" s="330">
        <f t="shared" si="3"/>
        <v>1564</v>
      </c>
      <c r="U242" s="372">
        <f t="shared" si="4"/>
        <v>1.6215840719800848E-3</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7218</v>
      </c>
      <c r="S244" s="372">
        <f>SUM(S235:S243)</f>
        <v>1.0000000000000002</v>
      </c>
      <c r="T244" s="330">
        <f>SUM(T235:T243)</f>
        <v>964489</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7061</v>
      </c>
      <c r="S247" s="250">
        <f t="shared" ref="S247:S254" si="5">R247/$R$256</f>
        <v>0.99619074492099324</v>
      </c>
      <c r="T247" s="251">
        <v>934462</v>
      </c>
      <c r="U247" s="250">
        <f t="shared" ref="U247:U254" si="6">T247/$T$256</f>
        <v>0.99097008728738878</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19</v>
      </c>
      <c r="S248" s="372">
        <f t="shared" si="5"/>
        <v>2.68058690744921E-3</v>
      </c>
      <c r="T248" s="330">
        <v>6680</v>
      </c>
      <c r="U248" s="372">
        <f t="shared" si="6"/>
        <v>7.0839479647965961E-3</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2</v>
      </c>
      <c r="S249" s="372">
        <f t="shared" si="5"/>
        <v>2.821670428893905E-4</v>
      </c>
      <c r="T249" s="330">
        <v>774</v>
      </c>
      <c r="U249" s="372">
        <f t="shared" si="6"/>
        <v>8.2080474921445595E-4</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1</v>
      </c>
      <c r="S250" s="372">
        <f t="shared" si="5"/>
        <v>1.4108352144469525E-4</v>
      </c>
      <c r="T250" s="330">
        <v>128</v>
      </c>
      <c r="U250" s="372">
        <f t="shared" si="6"/>
        <v>1.3574032028352759E-4</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3</v>
      </c>
      <c r="S253" s="372">
        <f t="shared" si="5"/>
        <v>4.2325056433408577E-4</v>
      </c>
      <c r="T253" s="330">
        <v>653</v>
      </c>
      <c r="U253" s="372">
        <f t="shared" si="6"/>
        <v>6.924877276964337E-4</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2</v>
      </c>
      <c r="S254" s="372">
        <f t="shared" si="5"/>
        <v>2.821670428893905E-4</v>
      </c>
      <c r="T254" s="330">
        <v>280</v>
      </c>
      <c r="U254" s="372">
        <f t="shared" si="6"/>
        <v>2.9693195062021661E-4</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7088</v>
      </c>
      <c r="S256" s="372">
        <f>SUM(S247:S255)</f>
        <v>1</v>
      </c>
      <c r="T256" s="330">
        <f>SUM(T247:T255)</f>
        <v>942977</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112</v>
      </c>
      <c r="S259" s="250">
        <f t="shared" ref="S259:S266" si="7">R259/$R$268</f>
        <v>0.875</v>
      </c>
      <c r="T259" s="251">
        <v>18802</v>
      </c>
      <c r="U259" s="250">
        <f t="shared" ref="U259:U266" si="8">T259/$T$268</f>
        <v>0.88280589726734904</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3</v>
      </c>
      <c r="S260" s="372">
        <f t="shared" si="7"/>
        <v>2.34375E-2</v>
      </c>
      <c r="T260" s="330">
        <v>423</v>
      </c>
      <c r="U260" s="372">
        <f t="shared" si="8"/>
        <v>1.9861019814067047E-2</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0</v>
      </c>
      <c r="S261" s="372">
        <f t="shared" si="7"/>
        <v>0</v>
      </c>
      <c r="T261" s="330">
        <v>0</v>
      </c>
      <c r="U261" s="372">
        <f t="shared" si="8"/>
        <v>0</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1</v>
      </c>
      <c r="S262" s="372">
        <f t="shared" si="7"/>
        <v>7.8125E-3</v>
      </c>
      <c r="T262" s="330">
        <v>118</v>
      </c>
      <c r="U262" s="372">
        <f t="shared" si="8"/>
        <v>5.5404263311109028E-3</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1</v>
      </c>
      <c r="S263" s="372">
        <f t="shared" si="7"/>
        <v>7.8125E-3</v>
      </c>
      <c r="T263" s="330">
        <v>221</v>
      </c>
      <c r="U263" s="372">
        <f t="shared" si="8"/>
        <v>1.0376561179453471E-2</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4</v>
      </c>
      <c r="S265" s="372">
        <f t="shared" si="7"/>
        <v>3.125E-2</v>
      </c>
      <c r="T265" s="330">
        <v>664</v>
      </c>
      <c r="U265" s="372">
        <f t="shared" si="8"/>
        <v>3.1176636303878298E-2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7</v>
      </c>
      <c r="S266" s="372">
        <f t="shared" si="7"/>
        <v>5.46875E-2</v>
      </c>
      <c r="T266" s="330">
        <v>1070</v>
      </c>
      <c r="U266" s="372">
        <f t="shared" si="8"/>
        <v>5.0239459104141231E-2</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128</v>
      </c>
      <c r="S268" s="372">
        <f>SUM(S259:S267)</f>
        <v>1</v>
      </c>
      <c r="T268" s="330">
        <f>SUM(T259:T267)</f>
        <v>21298</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2</v>
      </c>
      <c r="S278" s="372">
        <f>+R278/R280</f>
        <v>1</v>
      </c>
      <c r="T278" s="330">
        <v>214</v>
      </c>
      <c r="U278" s="372">
        <f>+T278/T280</f>
        <v>1</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2</v>
      </c>
      <c r="S280" s="372">
        <f>SUM(S271:S279)</f>
        <v>1</v>
      </c>
      <c r="T280" s="330">
        <f>SUM(T271:T278)</f>
        <v>214</v>
      </c>
      <c r="U280" s="372">
        <f>SUM(U271:U279)</f>
        <v>1</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7218</v>
      </c>
      <c r="S282" s="372"/>
      <c r="T282" s="397">
        <f>+T280+T268+T256</f>
        <v>964489</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94</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277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95</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APRIL 2013</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1A00-000000000000}"/>
    <hyperlink ref="I9" r:id="rId2" xr:uid="{00000000-0004-0000-1A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2D2926"/>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0.64829999999999999</v>
      </c>
      <c r="T16" s="381" t="s">
        <v>145</v>
      </c>
      <c r="U16" s="380">
        <v>0.35170000000000001</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41508</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316</v>
      </c>
      <c r="E27" s="285"/>
      <c r="F27" s="285" t="s">
        <v>317</v>
      </c>
      <c r="G27" s="285"/>
      <c r="H27" s="285" t="s">
        <v>317</v>
      </c>
      <c r="I27" s="285"/>
      <c r="J27" s="285" t="s">
        <v>317</v>
      </c>
      <c r="K27" s="285"/>
      <c r="L27" s="285" t="s">
        <v>149</v>
      </c>
      <c r="M27" s="285"/>
      <c r="N27" s="285" t="s">
        <v>149</v>
      </c>
      <c r="O27" s="285"/>
      <c r="P27" s="285" t="s">
        <v>318</v>
      </c>
      <c r="Q27" s="285"/>
      <c r="R27" s="285" t="s">
        <v>318</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881011.8</v>
      </c>
      <c r="E32" s="289"/>
      <c r="F32" s="290">
        <f>F31*F38</f>
        <v>85164.619000000006</v>
      </c>
      <c r="G32" s="290"/>
      <c r="H32" s="295">
        <f>H31*H38</f>
        <v>143898.83900000001</v>
      </c>
      <c r="I32" s="295"/>
      <c r="J32" s="294">
        <f>J31*J38</f>
        <v>182663.11319999999</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872770.8</v>
      </c>
      <c r="E33" s="301"/>
      <c r="F33" s="303">
        <f>F37*F31</f>
        <v>84367.989000000001</v>
      </c>
      <c r="G33" s="303"/>
      <c r="H33" s="384">
        <f>H31*H37</f>
        <v>142552.80900000001</v>
      </c>
      <c r="I33" s="384"/>
      <c r="J33" s="383">
        <f>J37*J31</f>
        <v>180954.4792</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478810.53104040003</v>
      </c>
      <c r="E35" s="289"/>
      <c r="F35" s="290">
        <f>F34*F38</f>
        <v>85164.619000000006</v>
      </c>
      <c r="G35" s="290"/>
      <c r="H35" s="290">
        <f>H34*H38</f>
        <v>99240.8621652</v>
      </c>
      <c r="I35" s="290"/>
      <c r="J35" s="290">
        <f>J34*J38</f>
        <v>99273.584306400007</v>
      </c>
      <c r="K35" s="290"/>
      <c r="L35" s="290">
        <f>+L34</f>
        <v>25000</v>
      </c>
      <c r="M35" s="290"/>
      <c r="N35" s="290">
        <f>+N34</f>
        <v>86897</v>
      </c>
      <c r="O35" s="290"/>
      <c r="P35" s="290">
        <f>+P34</f>
        <v>17000</v>
      </c>
      <c r="Q35" s="290"/>
      <c r="R35" s="290">
        <f>+R34</f>
        <v>73103</v>
      </c>
      <c r="S35" s="290"/>
      <c r="T35" s="290"/>
      <c r="U35" s="291"/>
      <c r="V35" s="290">
        <f>SUM(C35:R35)-1</f>
        <v>964488.59651200008</v>
      </c>
      <c r="W35" s="292"/>
      <c r="X35" s="5"/>
    </row>
    <row r="36" spans="1:24" ht="15.6" x14ac:dyDescent="0.3">
      <c r="A36" s="283"/>
      <c r="B36" s="288" t="s">
        <v>295</v>
      </c>
      <c r="C36" s="301"/>
      <c r="D36" s="303">
        <f>D34*D37</f>
        <v>474331.72884240001</v>
      </c>
      <c r="E36" s="301"/>
      <c r="F36" s="303">
        <f>F34*F37</f>
        <v>84367.989000000001</v>
      </c>
      <c r="G36" s="303"/>
      <c r="H36" s="303">
        <f>H34*H37</f>
        <v>98312.562961200005</v>
      </c>
      <c r="I36" s="303"/>
      <c r="J36" s="303">
        <f>J34*J37</f>
        <v>98344.977438400005</v>
      </c>
      <c r="K36" s="303"/>
      <c r="L36" s="303">
        <f>+L34</f>
        <v>25000</v>
      </c>
      <c r="M36" s="303"/>
      <c r="N36" s="303">
        <f>+N34</f>
        <v>86897</v>
      </c>
      <c r="O36" s="303"/>
      <c r="P36" s="303">
        <f>+P34</f>
        <v>17000</v>
      </c>
      <c r="Q36" s="303"/>
      <c r="R36" s="303">
        <f>+R34</f>
        <v>73103</v>
      </c>
      <c r="S36" s="302"/>
      <c r="T36" s="302"/>
      <c r="U36" s="291"/>
      <c r="V36" s="303">
        <f>SUM(C36:R36)</f>
        <v>957357.25824200013</v>
      </c>
      <c r="W36" s="292"/>
      <c r="X36" s="5"/>
    </row>
    <row r="37" spans="1:24" ht="15.6" x14ac:dyDescent="0.3">
      <c r="A37" s="278"/>
      <c r="B37" s="304" t="s">
        <v>135</v>
      </c>
      <c r="C37" s="305"/>
      <c r="D37" s="306">
        <v>0.58184720000000001</v>
      </c>
      <c r="E37" s="307"/>
      <c r="F37" s="306">
        <v>0.58184820000000004</v>
      </c>
      <c r="G37" s="306"/>
      <c r="H37" s="306">
        <v>0.58184820000000004</v>
      </c>
      <c r="I37" s="306"/>
      <c r="J37" s="306">
        <v>0.58184720000000001</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0.58734120000000001</v>
      </c>
      <c r="E38" s="307"/>
      <c r="F38" s="306">
        <v>0.58734220000000004</v>
      </c>
      <c r="G38" s="306"/>
      <c r="H38" s="306">
        <v>0.58734220000000004</v>
      </c>
      <c r="I38" s="306"/>
      <c r="J38" s="306">
        <v>0.58734120000000001</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4.3103000000000004E-3</v>
      </c>
      <c r="E40" s="279"/>
      <c r="F40" s="314">
        <v>7.4562999999999999E-3</v>
      </c>
      <c r="G40" s="313"/>
      <c r="H40" s="314">
        <v>4.4299999999999999E-3</v>
      </c>
      <c r="I40" s="314"/>
      <c r="J40" s="314">
        <v>4.9509999999999997E-3</v>
      </c>
      <c r="K40" s="313"/>
      <c r="L40" s="314">
        <v>9.8563000000000001E-3</v>
      </c>
      <c r="M40" s="313"/>
      <c r="N40" s="314">
        <v>6.8300000000000001E-3</v>
      </c>
      <c r="O40" s="313"/>
      <c r="P40" s="314">
        <v>1.42563E-2</v>
      </c>
      <c r="Q40" s="313"/>
      <c r="R40" s="314">
        <v>1.123E-2</v>
      </c>
      <c r="S40" s="313"/>
      <c r="T40" s="314"/>
      <c r="U40" s="281"/>
      <c r="V40" s="287"/>
      <c r="W40" s="282"/>
      <c r="X40" s="5"/>
    </row>
    <row r="41" spans="1:24" ht="15.6" x14ac:dyDescent="0.3">
      <c r="A41" s="278"/>
      <c r="B41" s="279" t="s">
        <v>13</v>
      </c>
      <c r="C41" s="279"/>
      <c r="D41" s="314">
        <v>4.3870000000000003E-3</v>
      </c>
      <c r="E41" s="279"/>
      <c r="F41" s="314">
        <v>7.4999999999999997E-3</v>
      </c>
      <c r="G41" s="313"/>
      <c r="H41" s="314">
        <v>4.6600000000000001E-3</v>
      </c>
      <c r="I41" s="314"/>
      <c r="J41" s="314">
        <v>5.1009999999999996E-3</v>
      </c>
      <c r="K41" s="313"/>
      <c r="L41" s="314">
        <v>9.9000000000000008E-3</v>
      </c>
      <c r="M41" s="313"/>
      <c r="N41" s="314">
        <v>7.0600000000000003E-3</v>
      </c>
      <c r="O41" s="313"/>
      <c r="P41" s="314">
        <v>1.43E-2</v>
      </c>
      <c r="Q41" s="313"/>
      <c r="R41" s="314">
        <v>1.146E-2</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7.6705999999999996E-3</v>
      </c>
      <c r="E43" s="314"/>
      <c r="F43" s="314">
        <f>+F40</f>
        <v>7.4562999999999999E-3</v>
      </c>
      <c r="G43" s="314"/>
      <c r="H43" s="314">
        <v>7.3783E-3</v>
      </c>
      <c r="I43" s="314"/>
      <c r="J43" s="314">
        <v>7.6203E-3</v>
      </c>
      <c r="K43" s="314"/>
      <c r="L43" s="314">
        <f>+L40</f>
        <v>9.8563000000000001E-3</v>
      </c>
      <c r="M43" s="314"/>
      <c r="N43" s="314">
        <v>1.0058299999999999E-2</v>
      </c>
      <c r="O43" s="314"/>
      <c r="P43" s="314">
        <f>+P40</f>
        <v>1.42563E-2</v>
      </c>
      <c r="Q43" s="313"/>
      <c r="R43" s="314">
        <v>1.47283E-2</v>
      </c>
      <c r="S43" s="287"/>
      <c r="T43" s="287"/>
      <c r="U43" s="281"/>
      <c r="V43" s="313">
        <f>SUMPRODUCT(D43:R43,D35:R35)/V35</f>
        <v>8.5392237872345626E-3</v>
      </c>
      <c r="W43" s="282"/>
      <c r="X43" s="5"/>
    </row>
    <row r="44" spans="1:24" ht="15.6" x14ac:dyDescent="0.3">
      <c r="A44" s="278"/>
      <c r="B44" s="279" t="s">
        <v>298</v>
      </c>
      <c r="C44" s="315"/>
      <c r="D44" s="314">
        <v>7.7143000000000003E-3</v>
      </c>
      <c r="E44" s="314"/>
      <c r="F44" s="314">
        <f>+F41</f>
        <v>7.4999999999999997E-3</v>
      </c>
      <c r="G44" s="314"/>
      <c r="H44" s="314">
        <v>7.4219999999999998E-3</v>
      </c>
      <c r="I44" s="314"/>
      <c r="J44" s="314">
        <v>7.6639999999999998E-3</v>
      </c>
      <c r="K44" s="314"/>
      <c r="L44" s="314">
        <f>+L41</f>
        <v>9.9000000000000008E-3</v>
      </c>
      <c r="M44" s="314"/>
      <c r="N44" s="314">
        <v>1.0102E-2</v>
      </c>
      <c r="O44" s="314"/>
      <c r="P44" s="314">
        <f>+P41</f>
        <v>1.43E-2</v>
      </c>
      <c r="Q44" s="313"/>
      <c r="R44" s="314">
        <v>1.4772E-2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0.26742312699838194</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41501</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89</v>
      </c>
      <c r="S57" s="279"/>
      <c r="T57" s="325">
        <v>41320</v>
      </c>
      <c r="U57" s="326"/>
      <c r="V57" s="325">
        <v>41408</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41409</v>
      </c>
      <c r="U58" s="326"/>
      <c r="V58" s="325">
        <v>41500</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41487</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325</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964489</v>
      </c>
      <c r="O68" s="329"/>
      <c r="P68" s="329">
        <f>7132+152+37</f>
        <v>7321</v>
      </c>
      <c r="Q68" s="329"/>
      <c r="R68" s="329">
        <f>37+152</f>
        <v>189</v>
      </c>
      <c r="S68" s="329"/>
      <c r="T68" s="329">
        <v>0</v>
      </c>
      <c r="U68" s="329"/>
      <c r="V68" s="330">
        <f>+N68-P68+R68-T68</f>
        <v>957357</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964489</v>
      </c>
      <c r="O71" s="329"/>
      <c r="P71" s="329">
        <f>SUM(P68:P70)</f>
        <v>7321</v>
      </c>
      <c r="Q71" s="329"/>
      <c r="R71" s="329">
        <f>SUM(R68:R70)</f>
        <v>189</v>
      </c>
      <c r="S71" s="329"/>
      <c r="T71" s="329">
        <f>SUM(T68:T70)</f>
        <v>0</v>
      </c>
      <c r="U71" s="329"/>
      <c r="V71" s="329">
        <f>SUM(V68:V70)</f>
        <v>957357</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964489</v>
      </c>
      <c r="O84" s="329"/>
      <c r="P84" s="329"/>
      <c r="Q84" s="329"/>
      <c r="R84" s="329"/>
      <c r="S84" s="329"/>
      <c r="T84" s="329"/>
      <c r="U84" s="329"/>
      <c r="V84" s="329">
        <f>SUM(V71:V83)</f>
        <v>957357</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41486</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7321-199</f>
        <v>7122</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4313+2441-820-431</f>
        <v>5503</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24+72</f>
        <v>96</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37</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582</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7122</v>
      </c>
      <c r="U96" s="279"/>
      <c r="V96" s="329">
        <f>SUM(V88:V95)</f>
        <v>6218</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-1</v>
      </c>
      <c r="U97" s="279"/>
      <c r="V97" s="329">
        <v>1</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58</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7121</v>
      </c>
      <c r="U100" s="279"/>
      <c r="V100" s="329">
        <f>V96+V98+V97+V99</f>
        <v>6277</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-368-172-12</f>
        <v>-552</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-50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-1462+160</f>
        <v>-1302</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-160</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-220</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-62</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-271</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-61</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199</v>
      </c>
      <c r="U114" s="279"/>
      <c r="V114" s="330">
        <v>-199</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-368</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-3022</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-1</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-187</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-4479</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-797</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-928</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-928</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-7320</v>
      </c>
      <c r="U132" s="329"/>
      <c r="V132" s="329">
        <f>SUM(V101:V129)</f>
        <v>-6277</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JULY 2013</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199</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199</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-199</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v>0</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957357</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957357</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+'April 13'!S182</f>
        <v>49173</v>
      </c>
      <c r="T180" s="330">
        <f>+'April 13'!T182</f>
        <v>6362</v>
      </c>
      <c r="U180" s="279"/>
      <c r="V180" s="330">
        <f>S180+T180</f>
        <v>55535</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35+152</f>
        <v>187</v>
      </c>
      <c r="T181" s="329">
        <v>0</v>
      </c>
      <c r="U181" s="279"/>
      <c r="V181" s="330">
        <f>S181+T181</f>
        <v>187</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49360</v>
      </c>
      <c r="T182" s="330">
        <f>T181+T180</f>
        <v>6362</v>
      </c>
      <c r="U182" s="279"/>
      <c r="V182" s="330">
        <f>S182+T182</f>
        <v>55722</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184310.80000000002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3.8803009575923393</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1.69</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14.932624113475176</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6.15</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11.83433734939759</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5.79</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JULY 2013</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41486</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2.2270000000000002E-2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8.5392237872345626E-3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1.3730776212765439E-2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6.5081094755875908E-3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14.21</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7.5905479481881083E-3</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6.7500000000000004E-2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3</v>
      </c>
      <c r="T215" s="263">
        <v>494</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141</v>
      </c>
      <c r="T216" s="355">
        <f>+T268</f>
        <v>22271</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1</v>
      </c>
      <c r="T217" s="355">
        <f>+T280</f>
        <v>116</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199</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'April 13'!T222+'July 13'!T221</f>
        <v>4902</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2</v>
      </c>
      <c r="T224" s="355">
        <v>214</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26.04</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10.61</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3</v>
      </c>
      <c r="T228" s="355">
        <v>304</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0.41</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7123</v>
      </c>
      <c r="S235" s="372">
        <f t="shared" ref="S235:S242" si="2">R235/$R$244</f>
        <v>0.99483240223463687</v>
      </c>
      <c r="T235" s="330">
        <f t="shared" ref="T235:T242" si="3">+T247+T259+T271</f>
        <v>951904</v>
      </c>
      <c r="U235" s="372">
        <f t="shared" ref="U235:U242" si="4">T235/$T$244</f>
        <v>0.99430411016997844</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3</v>
      </c>
      <c r="S236" s="372">
        <f t="shared" si="2"/>
        <v>4.1899441340782122E-4</v>
      </c>
      <c r="T236" s="330">
        <f t="shared" si="3"/>
        <v>430</v>
      </c>
      <c r="U236" s="372">
        <f t="shared" si="4"/>
        <v>4.4915324168518119E-4</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5</v>
      </c>
      <c r="S237" s="372">
        <f t="shared" si="2"/>
        <v>6.9832402234636874E-4</v>
      </c>
      <c r="T237" s="330">
        <f t="shared" si="3"/>
        <v>925</v>
      </c>
      <c r="U237" s="372">
        <f t="shared" si="4"/>
        <v>9.6620174083440139E-4</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13</v>
      </c>
      <c r="S238" s="372">
        <f t="shared" si="2"/>
        <v>1.8156424581005587E-3</v>
      </c>
      <c r="T238" s="330">
        <f t="shared" si="3"/>
        <v>1432</v>
      </c>
      <c r="U238" s="372">
        <f t="shared" si="4"/>
        <v>1.4957847490539057E-3</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0</v>
      </c>
      <c r="S239" s="372">
        <f t="shared" si="2"/>
        <v>0</v>
      </c>
      <c r="T239" s="330">
        <f t="shared" si="3"/>
        <v>0</v>
      </c>
      <c r="U239" s="372">
        <f t="shared" si="4"/>
        <v>0</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3</v>
      </c>
      <c r="S241" s="372">
        <f t="shared" si="2"/>
        <v>4.1899441340782122E-4</v>
      </c>
      <c r="T241" s="330">
        <f t="shared" si="3"/>
        <v>409</v>
      </c>
      <c r="U241" s="372">
        <f t="shared" si="4"/>
        <v>4.2721785081218397E-4</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13</v>
      </c>
      <c r="S242" s="372">
        <f t="shared" si="2"/>
        <v>1.8156424581005587E-3</v>
      </c>
      <c r="T242" s="330">
        <f t="shared" si="3"/>
        <v>2257</v>
      </c>
      <c r="U242" s="372">
        <f t="shared" si="4"/>
        <v>2.3575322476359394E-3</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7160</v>
      </c>
      <c r="S244" s="372">
        <f>SUM(S235:S243)</f>
        <v>1</v>
      </c>
      <c r="T244" s="330">
        <f>SUM(T235:T243)</f>
        <v>957357</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7011</v>
      </c>
      <c r="S247" s="250">
        <f t="shared" ref="S247:S254" si="5">R247/$R$256</f>
        <v>0.99900256483328587</v>
      </c>
      <c r="T247" s="251">
        <v>933126</v>
      </c>
      <c r="U247" s="250">
        <f t="shared" ref="U247:U254" si="6">T247/$T$256</f>
        <v>0.9980277442056964</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2</v>
      </c>
      <c r="S248" s="372">
        <f t="shared" si="5"/>
        <v>2.8498147620404675E-4</v>
      </c>
      <c r="T248" s="330">
        <v>346</v>
      </c>
      <c r="U248" s="372">
        <f t="shared" si="6"/>
        <v>3.7006534969036438E-4</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1</v>
      </c>
      <c r="S250" s="372">
        <f t="shared" si="5"/>
        <v>1.4249073810202338E-4</v>
      </c>
      <c r="T250" s="330">
        <v>681</v>
      </c>
      <c r="U250" s="372">
        <f t="shared" si="6"/>
        <v>7.2836561600906984E-4</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4</v>
      </c>
      <c r="S254" s="372">
        <f t="shared" si="5"/>
        <v>5.699629524080935E-4</v>
      </c>
      <c r="T254" s="330">
        <v>817</v>
      </c>
      <c r="U254" s="372">
        <f t="shared" si="6"/>
        <v>8.7382482860412633E-4</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7018</v>
      </c>
      <c r="S256" s="372">
        <f>SUM(S247:S255)</f>
        <v>1</v>
      </c>
      <c r="T256" s="330">
        <f>SUM(T247:T255)</f>
        <v>934970</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112</v>
      </c>
      <c r="S259" s="250">
        <f t="shared" ref="S259:S266" si="7">R259/$R$268</f>
        <v>0.79432624113475181</v>
      </c>
      <c r="T259" s="251">
        <v>18778</v>
      </c>
      <c r="U259" s="250">
        <f t="shared" ref="U259:U266" si="8">T259/$T$268</f>
        <v>0.8431592654124197</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1</v>
      </c>
      <c r="S260" s="372">
        <f t="shared" si="7"/>
        <v>7.0921985815602835E-3</v>
      </c>
      <c r="T260" s="330">
        <v>84</v>
      </c>
      <c r="U260" s="372">
        <f t="shared" si="8"/>
        <v>3.7717210722464189E-3</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5</v>
      </c>
      <c r="S261" s="372">
        <f t="shared" si="7"/>
        <v>3.5460992907801421E-2</v>
      </c>
      <c r="T261" s="330">
        <v>925</v>
      </c>
      <c r="U261" s="372">
        <f t="shared" si="8"/>
        <v>4.1533833236046876E-2</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12</v>
      </c>
      <c r="S262" s="372">
        <f t="shared" si="7"/>
        <v>8.5106382978723402E-2</v>
      </c>
      <c r="T262" s="330">
        <v>751</v>
      </c>
      <c r="U262" s="372">
        <f t="shared" si="8"/>
        <v>3.372098244353644E-2</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0</v>
      </c>
      <c r="S263" s="372">
        <f t="shared" si="7"/>
        <v>0</v>
      </c>
      <c r="T263" s="330">
        <v>0</v>
      </c>
      <c r="U263" s="372">
        <f t="shared" si="8"/>
        <v>0</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3</v>
      </c>
      <c r="S265" s="372">
        <f t="shared" si="7"/>
        <v>2.1276595744680851E-2</v>
      </c>
      <c r="T265" s="330">
        <v>409</v>
      </c>
      <c r="U265" s="372">
        <f t="shared" si="8"/>
        <v>1.8364689506533159E-2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8</v>
      </c>
      <c r="S266" s="372">
        <f t="shared" si="7"/>
        <v>5.6737588652482268E-2</v>
      </c>
      <c r="T266" s="330">
        <v>1324</v>
      </c>
      <c r="U266" s="372">
        <f t="shared" si="8"/>
        <v>5.9449508329217367E-2</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141</v>
      </c>
      <c r="S268" s="372">
        <f>SUM(S259:S267)</f>
        <v>1.0000000000000002</v>
      </c>
      <c r="T268" s="330">
        <f>SUM(T259:T267)</f>
        <v>22271</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1</v>
      </c>
      <c r="S278" s="372">
        <f>+R278/R280</f>
        <v>1</v>
      </c>
      <c r="T278" s="330">
        <v>116</v>
      </c>
      <c r="U278" s="372">
        <f>+T278/T280</f>
        <v>1</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1</v>
      </c>
      <c r="S280" s="372">
        <f>SUM(S271:S279)</f>
        <v>1</v>
      </c>
      <c r="T280" s="330">
        <f>SUM(T271:T278)</f>
        <v>116</v>
      </c>
      <c r="U280" s="372">
        <f>SUM(U271:U279)</f>
        <v>1</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7160</v>
      </c>
      <c r="S282" s="372"/>
      <c r="T282" s="397">
        <f>+T280+T268+T256</f>
        <v>957357</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JULY 2013</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1B00-000000000000}"/>
    <hyperlink ref="I9" r:id="rId2" xr:uid="{00000000-0004-0000-1B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89CB31"/>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0.64970000000000006</v>
      </c>
      <c r="T16" s="381" t="s">
        <v>145</v>
      </c>
      <c r="U16" s="380">
        <v>0.3503</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41599</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316</v>
      </c>
      <c r="E27" s="285"/>
      <c r="F27" s="285" t="s">
        <v>317</v>
      </c>
      <c r="G27" s="285"/>
      <c r="H27" s="285" t="s">
        <v>317</v>
      </c>
      <c r="I27" s="285"/>
      <c r="J27" s="285" t="s">
        <v>317</v>
      </c>
      <c r="K27" s="285"/>
      <c r="L27" s="285" t="s">
        <v>149</v>
      </c>
      <c r="M27" s="285"/>
      <c r="N27" s="285" t="s">
        <v>149</v>
      </c>
      <c r="O27" s="285"/>
      <c r="P27" s="285" t="s">
        <v>318</v>
      </c>
      <c r="Q27" s="285"/>
      <c r="R27" s="285" t="s">
        <v>318</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872770.8</v>
      </c>
      <c r="E32" s="289"/>
      <c r="F32" s="290">
        <f>F31*F38</f>
        <v>84367.989000000001</v>
      </c>
      <c r="G32" s="290"/>
      <c r="H32" s="295">
        <f>H31*H38</f>
        <v>142552.80900000001</v>
      </c>
      <c r="I32" s="295"/>
      <c r="J32" s="294">
        <f>J31*J38</f>
        <v>180954.4792</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865188.29999999993</v>
      </c>
      <c r="E33" s="301"/>
      <c r="F33" s="303">
        <f>F37*F31</f>
        <v>83635.013999999996</v>
      </c>
      <c r="G33" s="303"/>
      <c r="H33" s="384">
        <f>H31*H37</f>
        <v>141314.334</v>
      </c>
      <c r="I33" s="384"/>
      <c r="J33" s="383">
        <f>J37*J31</f>
        <v>179382.37419999999</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474331.72884240001</v>
      </c>
      <c r="E35" s="289"/>
      <c r="F35" s="290">
        <f>F34*F38</f>
        <v>84367.989000000001</v>
      </c>
      <c r="G35" s="290"/>
      <c r="H35" s="290">
        <f>H34*H38</f>
        <v>98312.562961200005</v>
      </c>
      <c r="I35" s="290"/>
      <c r="J35" s="290">
        <f>J34*J38</f>
        <v>98344.977438400005</v>
      </c>
      <c r="K35" s="290"/>
      <c r="L35" s="290">
        <f>+L34</f>
        <v>25000</v>
      </c>
      <c r="M35" s="290"/>
      <c r="N35" s="290">
        <f>+N34</f>
        <v>86897</v>
      </c>
      <c r="O35" s="290"/>
      <c r="P35" s="290">
        <f>+P34</f>
        <v>17000</v>
      </c>
      <c r="Q35" s="290"/>
      <c r="R35" s="290">
        <f>+R34</f>
        <v>73103</v>
      </c>
      <c r="S35" s="290"/>
      <c r="T35" s="290"/>
      <c r="U35" s="291"/>
      <c r="V35" s="290">
        <f>SUM(C35:R35)</f>
        <v>957357.25824200013</v>
      </c>
      <c r="W35" s="292"/>
      <c r="X35" s="5"/>
    </row>
    <row r="36" spans="1:24" ht="15.6" x14ac:dyDescent="0.3">
      <c r="A36" s="283"/>
      <c r="B36" s="288" t="s">
        <v>295</v>
      </c>
      <c r="C36" s="301"/>
      <c r="D36" s="303">
        <f>D34*D37</f>
        <v>470210.80690739996</v>
      </c>
      <c r="E36" s="301"/>
      <c r="F36" s="303">
        <f>F34*F37</f>
        <v>83635.013999999996</v>
      </c>
      <c r="G36" s="303"/>
      <c r="H36" s="303">
        <f>H34*H37</f>
        <v>97458.439831199998</v>
      </c>
      <c r="I36" s="303"/>
      <c r="J36" s="303">
        <f>J34*J37</f>
        <v>97490.571228399989</v>
      </c>
      <c r="K36" s="303"/>
      <c r="L36" s="303">
        <f>+L34</f>
        <v>25000</v>
      </c>
      <c r="M36" s="303"/>
      <c r="N36" s="303">
        <f>+N34</f>
        <v>86897</v>
      </c>
      <c r="O36" s="303"/>
      <c r="P36" s="303">
        <f>+P34</f>
        <v>17000</v>
      </c>
      <c r="Q36" s="303"/>
      <c r="R36" s="303">
        <f>+R34</f>
        <v>73103</v>
      </c>
      <c r="S36" s="302"/>
      <c r="T36" s="302"/>
      <c r="U36" s="291"/>
      <c r="V36" s="303">
        <f>SUM(C36:R36)</f>
        <v>950794.83196700003</v>
      </c>
      <c r="W36" s="292"/>
      <c r="X36" s="5"/>
    </row>
    <row r="37" spans="1:24" ht="15.6" x14ac:dyDescent="0.3">
      <c r="A37" s="278"/>
      <c r="B37" s="304" t="s">
        <v>135</v>
      </c>
      <c r="C37" s="305"/>
      <c r="D37" s="306">
        <v>0.57679219999999998</v>
      </c>
      <c r="E37" s="307"/>
      <c r="F37" s="306">
        <v>0.57679320000000001</v>
      </c>
      <c r="G37" s="306"/>
      <c r="H37" s="306">
        <v>0.57679320000000001</v>
      </c>
      <c r="I37" s="306"/>
      <c r="J37" s="306">
        <v>0.57679219999999998</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0.58184720000000001</v>
      </c>
      <c r="E38" s="307"/>
      <c r="F38" s="306">
        <v>0.58184820000000004</v>
      </c>
      <c r="G38" s="306"/>
      <c r="H38" s="306">
        <v>0.58184820000000004</v>
      </c>
      <c r="I38" s="306"/>
      <c r="J38" s="306">
        <v>0.58184720000000001</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4.1399999999999996E-3</v>
      </c>
      <c r="E40" s="279"/>
      <c r="F40" s="314">
        <v>7.5249999999999996E-3</v>
      </c>
      <c r="G40" s="313"/>
      <c r="H40" s="314">
        <v>4.6499999999999996E-3</v>
      </c>
      <c r="I40" s="314"/>
      <c r="J40" s="314">
        <v>4.8419999999999999E-3</v>
      </c>
      <c r="K40" s="313"/>
      <c r="L40" s="314">
        <v>9.9249999999999998E-3</v>
      </c>
      <c r="M40" s="313"/>
      <c r="N40" s="314">
        <v>7.0499999999999998E-3</v>
      </c>
      <c r="O40" s="313"/>
      <c r="P40" s="314">
        <v>1.4324999999999999E-2</v>
      </c>
      <c r="Q40" s="313"/>
      <c r="R40" s="314">
        <v>1.145E-2</v>
      </c>
      <c r="S40" s="313"/>
      <c r="T40" s="314"/>
      <c r="U40" s="281"/>
      <c r="V40" s="287"/>
      <c r="W40" s="282"/>
      <c r="X40" s="5"/>
    </row>
    <row r="41" spans="1:24" ht="15.6" x14ac:dyDescent="0.3">
      <c r="A41" s="278"/>
      <c r="B41" s="279" t="s">
        <v>13</v>
      </c>
      <c r="C41" s="279"/>
      <c r="D41" s="314">
        <v>4.3103000000000004E-3</v>
      </c>
      <c r="E41" s="279"/>
      <c r="F41" s="314">
        <v>7.4562999999999999E-3</v>
      </c>
      <c r="G41" s="313"/>
      <c r="H41" s="314">
        <v>4.4299999999999999E-3</v>
      </c>
      <c r="I41" s="314"/>
      <c r="J41" s="314">
        <v>4.9509999999999997E-3</v>
      </c>
      <c r="K41" s="313"/>
      <c r="L41" s="314">
        <v>9.8563000000000001E-3</v>
      </c>
      <c r="M41" s="313"/>
      <c r="N41" s="314">
        <v>6.8300000000000001E-3</v>
      </c>
      <c r="O41" s="313"/>
      <c r="P41" s="314">
        <v>1.42563E-2</v>
      </c>
      <c r="Q41" s="313"/>
      <c r="R41" s="314">
        <v>1.123E-2</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7.7393000000000002E-3</v>
      </c>
      <c r="E43" s="314"/>
      <c r="F43" s="314">
        <f>+F40</f>
        <v>7.5249999999999996E-3</v>
      </c>
      <c r="G43" s="314"/>
      <c r="H43" s="314">
        <v>7.4469999999999996E-3</v>
      </c>
      <c r="I43" s="314"/>
      <c r="J43" s="314">
        <v>7.6889999999999997E-3</v>
      </c>
      <c r="K43" s="314"/>
      <c r="L43" s="314">
        <f>+L40</f>
        <v>9.9249999999999998E-3</v>
      </c>
      <c r="M43" s="314"/>
      <c r="N43" s="314">
        <v>1.0127000000000001E-2</v>
      </c>
      <c r="O43" s="314"/>
      <c r="P43" s="314">
        <f>+P40</f>
        <v>1.4324999999999999E-2</v>
      </c>
      <c r="Q43" s="313"/>
      <c r="R43" s="314">
        <v>1.4796999999999999E-2</v>
      </c>
      <c r="S43" s="287"/>
      <c r="T43" s="287"/>
      <c r="U43" s="281"/>
      <c r="V43" s="313">
        <f>SUMPRODUCT(D43:R43,D35:R35)/V35</f>
        <v>8.614896678483315E-3</v>
      </c>
      <c r="W43" s="282"/>
      <c r="X43" s="5"/>
    </row>
    <row r="44" spans="1:24" ht="15.6" x14ac:dyDescent="0.3">
      <c r="A44" s="278"/>
      <c r="B44" s="279" t="s">
        <v>298</v>
      </c>
      <c r="C44" s="315"/>
      <c r="D44" s="314">
        <v>7.6705999999999996E-3</v>
      </c>
      <c r="E44" s="314"/>
      <c r="F44" s="314">
        <f>+F41</f>
        <v>7.4562999999999999E-3</v>
      </c>
      <c r="G44" s="314"/>
      <c r="H44" s="314">
        <v>7.3783E-3</v>
      </c>
      <c r="I44" s="314"/>
      <c r="J44" s="314">
        <v>7.6203E-3</v>
      </c>
      <c r="K44" s="314"/>
      <c r="L44" s="314">
        <f>+L41</f>
        <v>9.8563000000000001E-3</v>
      </c>
      <c r="M44" s="314"/>
      <c r="N44" s="314">
        <v>1.0058299999999999E-2</v>
      </c>
      <c r="O44" s="314"/>
      <c r="P44" s="314">
        <f>+P41</f>
        <v>1.42563E-2</v>
      </c>
      <c r="Q44" s="313"/>
      <c r="R44" s="314">
        <v>1.47283E-2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0.26976681912903788</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41593</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92</v>
      </c>
      <c r="S57" s="279"/>
      <c r="T57" s="325">
        <v>41409</v>
      </c>
      <c r="U57" s="326"/>
      <c r="V57" s="325">
        <v>41500</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41501</v>
      </c>
      <c r="U58" s="326"/>
      <c r="V58" s="325">
        <v>41592</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41579</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329</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957357</v>
      </c>
      <c r="O68" s="329"/>
      <c r="P68" s="329">
        <f>6562+117+75</f>
        <v>6754</v>
      </c>
      <c r="Q68" s="329"/>
      <c r="R68" s="329">
        <f>117+75</f>
        <v>192</v>
      </c>
      <c r="S68" s="329"/>
      <c r="T68" s="329">
        <v>0</v>
      </c>
      <c r="U68" s="329"/>
      <c r="V68" s="330">
        <f>+N68-P68+R68-T68</f>
        <v>950795</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957357</v>
      </c>
      <c r="O71" s="329"/>
      <c r="P71" s="329">
        <f>SUM(P68:P70)</f>
        <v>6754</v>
      </c>
      <c r="Q71" s="329"/>
      <c r="R71" s="329">
        <f>SUM(R68:R70)</f>
        <v>192</v>
      </c>
      <c r="S71" s="329"/>
      <c r="T71" s="329">
        <f>SUM(T68:T70)</f>
        <v>0</v>
      </c>
      <c r="U71" s="329"/>
      <c r="V71" s="329">
        <f>SUM(V68:V70)</f>
        <v>950795</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957357</v>
      </c>
      <c r="O84" s="329"/>
      <c r="P84" s="329"/>
      <c r="Q84" s="329"/>
      <c r="R84" s="329"/>
      <c r="S84" s="329"/>
      <c r="T84" s="329"/>
      <c r="U84" s="329"/>
      <c r="V84" s="329">
        <f>SUM(V71:V83)</f>
        <v>950795</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41578</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6754-285</f>
        <v>6469</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4210+2391-669-405</f>
        <v>5527</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45+42</f>
        <v>87</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39</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555</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6469</v>
      </c>
      <c r="U96" s="279"/>
      <c r="V96" s="329">
        <f>SUM(V88:V95)</f>
        <v>6208</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-1</v>
      </c>
      <c r="U97" s="279"/>
      <c r="V97" s="329">
        <v>1</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-618</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6468</v>
      </c>
      <c r="U100" s="279"/>
      <c r="V100" s="329">
        <f>V96+V98+V97+V99</f>
        <v>5591</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-365-192-12</f>
        <v>-569</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-1460+160</f>
        <v>-1300</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-160</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-222</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-62</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-273</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-61</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285</v>
      </c>
      <c r="U114" s="279"/>
      <c r="V114" s="330">
        <v>-285</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-365</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-2284</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-33</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-158</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-4121</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-733</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-854</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-854</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-6753</v>
      </c>
      <c r="U132" s="329"/>
      <c r="V132" s="329">
        <f>SUM(V101:V129)</f>
        <v>-5591</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OCTOBER 2013</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285</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285</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-285</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f>-V99</f>
        <v>618</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950795</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950795</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+'July 13'!S182</f>
        <v>49360</v>
      </c>
      <c r="T180" s="330">
        <f>+'July 13'!T182</f>
        <v>6362</v>
      </c>
      <c r="U180" s="279"/>
      <c r="V180" s="330">
        <f>S180+T180</f>
        <v>55722</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117+41</f>
        <v>158</v>
      </c>
      <c r="T181" s="329">
        <v>0</v>
      </c>
      <c r="U181" s="279"/>
      <c r="V181" s="330">
        <f>S181+T181</f>
        <v>158</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49518</v>
      </c>
      <c r="T182" s="330">
        <f>T181+T180</f>
        <v>6362</v>
      </c>
      <c r="U182" s="279"/>
      <c r="V182" s="330">
        <f>S182+T182</f>
        <v>55880</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184152.80000000002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3.4383561643835616</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1.7</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12.535211267605634</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6.23</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9.8083832335329344</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5.86</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OCTOBER 2013</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41578</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2.23E-2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8.614896678483315E-3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1.3685103321516685E-2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5.8400366843298791E-3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13.96</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7.0548395217249153E-3</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6.6199999999999995E-2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1</v>
      </c>
      <c r="T215" s="263">
        <v>681</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133</v>
      </c>
      <c r="T216" s="355">
        <f>+T268</f>
        <v>21610</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0</v>
      </c>
      <c r="T217" s="355">
        <f>+T280</f>
        <v>0</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285</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'July 13'!T222+'Oct 13'!T221</f>
        <v>5187</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1</v>
      </c>
      <c r="T224" s="355">
        <v>116</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16.37</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3.91</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6</v>
      </c>
      <c r="T228" s="355">
        <v>626</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8.9700000000000006</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7079</v>
      </c>
      <c r="S235" s="372">
        <f t="shared" ref="S235:S242" si="2">R235/$R$244</f>
        <v>0.99592009003939219</v>
      </c>
      <c r="T235" s="330">
        <f t="shared" ref="T235:T242" si="3">+T247+T259+T271</f>
        <v>945627</v>
      </c>
      <c r="U235" s="372">
        <f t="shared" ref="U235:U242" si="4">T235/$T$244</f>
        <v>0.99456454861458043</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6</v>
      </c>
      <c r="S236" s="372">
        <f t="shared" si="2"/>
        <v>8.4411930219471017E-4</v>
      </c>
      <c r="T236" s="330">
        <f t="shared" si="3"/>
        <v>1155</v>
      </c>
      <c r="U236" s="372">
        <f t="shared" si="4"/>
        <v>1.2147729005726787E-3</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6</v>
      </c>
      <c r="S237" s="372">
        <f t="shared" si="2"/>
        <v>8.4411930219471017E-4</v>
      </c>
      <c r="T237" s="330">
        <f t="shared" si="3"/>
        <v>1021</v>
      </c>
      <c r="U237" s="372">
        <f t="shared" si="4"/>
        <v>1.0738382090776666E-3</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0</v>
      </c>
      <c r="S238" s="372">
        <f t="shared" si="2"/>
        <v>0</v>
      </c>
      <c r="T238" s="330">
        <f t="shared" si="3"/>
        <v>0</v>
      </c>
      <c r="U238" s="372">
        <f t="shared" si="4"/>
        <v>0</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3</v>
      </c>
      <c r="S239" s="372">
        <f t="shared" si="2"/>
        <v>4.2205965109735509E-4</v>
      </c>
      <c r="T239" s="330">
        <f t="shared" si="3"/>
        <v>232</v>
      </c>
      <c r="U239" s="372">
        <f t="shared" si="4"/>
        <v>2.4400633154360299E-4</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1</v>
      </c>
      <c r="S240" s="372">
        <f t="shared" si="2"/>
        <v>1.4068655036578504E-4</v>
      </c>
      <c r="T240" s="330">
        <f t="shared" si="3"/>
        <v>52</v>
      </c>
      <c r="U240" s="372">
        <f t="shared" si="4"/>
        <v>5.4691074311497218E-5</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4</v>
      </c>
      <c r="S241" s="372">
        <f t="shared" si="2"/>
        <v>5.6274620146314015E-4</v>
      </c>
      <c r="T241" s="330">
        <f t="shared" si="3"/>
        <v>1049</v>
      </c>
      <c r="U241" s="372">
        <f t="shared" si="4"/>
        <v>1.1032872490915498E-3</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9</v>
      </c>
      <c r="S242" s="372">
        <f t="shared" si="2"/>
        <v>1.2661789532920653E-3</v>
      </c>
      <c r="T242" s="330">
        <f t="shared" si="3"/>
        <v>1659</v>
      </c>
      <c r="U242" s="372">
        <f t="shared" si="4"/>
        <v>1.7448556208225748E-3</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7108</v>
      </c>
      <c r="S244" s="372">
        <f>SUM(S235:S243)</f>
        <v>1</v>
      </c>
      <c r="T244" s="330">
        <f>SUM(T235:T243)</f>
        <v>950795</v>
      </c>
      <c r="U244" s="372">
        <f>SUM(U235:U243)</f>
        <v>1.0000000000000002</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6965</v>
      </c>
      <c r="S247" s="250">
        <f t="shared" ref="S247:S254" si="5">R247/$R$256</f>
        <v>0.99856630824372761</v>
      </c>
      <c r="T247" s="251">
        <v>926644</v>
      </c>
      <c r="U247" s="250">
        <f t="shared" ref="U247:U254" si="6">T247/$T$256</f>
        <v>0.99726534543713041</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5</v>
      </c>
      <c r="S248" s="372">
        <f t="shared" si="5"/>
        <v>7.1684587813620072E-4</v>
      </c>
      <c r="T248" s="330">
        <v>1043</v>
      </c>
      <c r="U248" s="372">
        <f t="shared" si="6"/>
        <v>1.1224890629960664E-3</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1</v>
      </c>
      <c r="S253" s="372">
        <f t="shared" si="5"/>
        <v>1.4336917562724014E-4</v>
      </c>
      <c r="T253" s="330">
        <v>681</v>
      </c>
      <c r="U253" s="372">
        <f t="shared" si="6"/>
        <v>7.329003373924461E-4</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4</v>
      </c>
      <c r="S254" s="372">
        <f t="shared" si="5"/>
        <v>5.7347670250896057E-4</v>
      </c>
      <c r="T254" s="330">
        <v>817</v>
      </c>
      <c r="U254" s="372">
        <f t="shared" si="6"/>
        <v>8.7926516248109906E-4</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6975</v>
      </c>
      <c r="S256" s="372">
        <f>SUM(S247:S255)</f>
        <v>1.0000000000000002</v>
      </c>
      <c r="T256" s="330">
        <f>SUM(T247:T255)</f>
        <v>929185</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114</v>
      </c>
      <c r="S259" s="250">
        <f t="shared" ref="S259:S266" si="7">R259/$R$268</f>
        <v>0.8571428571428571</v>
      </c>
      <c r="T259" s="251">
        <v>18983</v>
      </c>
      <c r="U259" s="250">
        <f t="shared" ref="U259:U266" si="8">T259/$T$268</f>
        <v>0.87843590930124937</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1</v>
      </c>
      <c r="S260" s="372">
        <f t="shared" si="7"/>
        <v>7.5187969924812026E-3</v>
      </c>
      <c r="T260" s="330">
        <v>112</v>
      </c>
      <c r="U260" s="372">
        <f t="shared" si="8"/>
        <v>5.1827857473391945E-3</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6</v>
      </c>
      <c r="S261" s="372">
        <f t="shared" si="7"/>
        <v>4.5112781954887216E-2</v>
      </c>
      <c r="T261" s="330">
        <v>1021</v>
      </c>
      <c r="U261" s="372">
        <f t="shared" si="8"/>
        <v>4.7246645071726052E-2</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0</v>
      </c>
      <c r="S262" s="372">
        <f t="shared" si="7"/>
        <v>0</v>
      </c>
      <c r="T262" s="330">
        <v>0</v>
      </c>
      <c r="U262" s="372">
        <f t="shared" si="8"/>
        <v>0</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3</v>
      </c>
      <c r="S263" s="372">
        <f t="shared" si="7"/>
        <v>2.2556390977443608E-2</v>
      </c>
      <c r="T263" s="330">
        <v>232</v>
      </c>
      <c r="U263" s="372">
        <f t="shared" si="8"/>
        <v>1.073577047663119E-2</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1</v>
      </c>
      <c r="S264" s="372">
        <f t="shared" si="7"/>
        <v>7.5187969924812026E-3</v>
      </c>
      <c r="T264" s="330">
        <v>52</v>
      </c>
      <c r="U264" s="372">
        <f t="shared" si="8"/>
        <v>2.4062933826931978E-3</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3</v>
      </c>
      <c r="S265" s="372">
        <f t="shared" si="7"/>
        <v>2.2556390977443608E-2</v>
      </c>
      <c r="T265" s="330">
        <v>368</v>
      </c>
      <c r="U265" s="372">
        <f t="shared" si="8"/>
        <v>1.7029153169828781E-2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5</v>
      </c>
      <c r="S266" s="372">
        <f t="shared" si="7"/>
        <v>3.7593984962406013E-2</v>
      </c>
      <c r="T266" s="330">
        <v>842</v>
      </c>
      <c r="U266" s="372">
        <f t="shared" si="8"/>
        <v>3.896344285053216E-2</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133</v>
      </c>
      <c r="S268" s="372">
        <f>SUM(S259:S267)</f>
        <v>1</v>
      </c>
      <c r="T268" s="330">
        <f>SUM(T259:T267)</f>
        <v>21610</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0</v>
      </c>
      <c r="S278" s="372">
        <v>0</v>
      </c>
      <c r="T278" s="330">
        <v>0</v>
      </c>
      <c r="U278" s="372">
        <v>0</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0</v>
      </c>
      <c r="S280" s="372">
        <f>SUM(S271:S279)</f>
        <v>0</v>
      </c>
      <c r="T280" s="330">
        <f>SUM(T271:T278)</f>
        <v>0</v>
      </c>
      <c r="U280" s="372">
        <f>SUM(U271:U279)</f>
        <v>0</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7108</v>
      </c>
      <c r="S282" s="372"/>
      <c r="T282" s="397">
        <f>+T280+T268+T256</f>
        <v>950795</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OCTOBER 2013</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1C00-000000000000}"/>
    <hyperlink ref="I9" r:id="rId2" xr:uid="{00000000-0004-0000-1C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9CB31"/>
  </sheetPr>
  <dimension ref="A1:Y278"/>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0.58889999999999998</v>
      </c>
      <c r="T16" s="17" t="s">
        <v>145</v>
      </c>
      <c r="U16" s="137">
        <v>0.41110000000000002</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39227</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4"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4"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4"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4"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4"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4"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4"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4"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4"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4" ht="15.6" x14ac:dyDescent="0.3">
      <c r="A32" s="24"/>
      <c r="B32" s="25" t="s">
        <v>137</v>
      </c>
      <c r="C32" s="32"/>
      <c r="D32" s="146">
        <f>D31*D38</f>
        <v>1444368</v>
      </c>
      <c r="E32" s="32"/>
      <c r="F32" s="31">
        <f>F31*F38</f>
        <v>139622.21100000001</v>
      </c>
      <c r="G32" s="31"/>
      <c r="H32" s="124">
        <f>H31*H38</f>
        <v>235913.391</v>
      </c>
      <c r="I32" s="124"/>
      <c r="J32" s="146">
        <f>J31*J38</f>
        <v>299465.53870000003</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1411335</v>
      </c>
      <c r="E33" s="36"/>
      <c r="F33" s="35">
        <f>F37*F31</f>
        <v>136429.02100000001</v>
      </c>
      <c r="G33" s="35"/>
      <c r="H33" s="125">
        <f>H31*H37</f>
        <v>230518.00099999999</v>
      </c>
      <c r="I33" s="125"/>
      <c r="J33" s="151">
        <f>J37*J31</f>
        <v>292616.69670000003</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784982.23190400004</v>
      </c>
      <c r="E35" s="32"/>
      <c r="F35" s="31">
        <f>F34*F38</f>
        <v>139622.21100000001</v>
      </c>
      <c r="G35" s="31"/>
      <c r="H35" s="31">
        <f>H34*H38</f>
        <v>162699.35519880001</v>
      </c>
      <c r="I35" s="31"/>
      <c r="J35" s="31">
        <f>J34*J38</f>
        <v>162753.26135740001</v>
      </c>
      <c r="K35" s="31"/>
      <c r="L35" s="31">
        <f>+L34</f>
        <v>25000</v>
      </c>
      <c r="M35" s="31"/>
      <c r="N35" s="31">
        <f>+N34</f>
        <v>86897</v>
      </c>
      <c r="O35" s="31"/>
      <c r="P35" s="31">
        <f>+P34</f>
        <v>17000</v>
      </c>
      <c r="Q35" s="31"/>
      <c r="R35" s="31">
        <f>+R34</f>
        <v>73103</v>
      </c>
      <c r="S35" s="31"/>
      <c r="T35" s="31"/>
      <c r="U35" s="164"/>
      <c r="V35" s="154">
        <f>SUM(C35:R35)-1</f>
        <v>1452056.0594602001</v>
      </c>
      <c r="W35" s="34"/>
      <c r="X35" s="5"/>
    </row>
    <row r="36" spans="1:24" ht="15.6" x14ac:dyDescent="0.3">
      <c r="A36" s="28"/>
      <c r="B36" s="29" t="s">
        <v>295</v>
      </c>
      <c r="C36" s="126"/>
      <c r="D36" s="35">
        <f>D34*D37</f>
        <v>767029.52312999999</v>
      </c>
      <c r="E36" s="36"/>
      <c r="F36" s="35">
        <f>F34*F37</f>
        <v>136429.02100000001</v>
      </c>
      <c r="G36" s="35"/>
      <c r="H36" s="35">
        <f>H34*H37</f>
        <v>158978.3859468</v>
      </c>
      <c r="I36" s="35"/>
      <c r="J36" s="35">
        <f>J34*J37</f>
        <v>159031.0588734</v>
      </c>
      <c r="K36" s="35"/>
      <c r="L36" s="35">
        <f>+L34</f>
        <v>25000</v>
      </c>
      <c r="M36" s="35"/>
      <c r="N36" s="35">
        <f>+N34</f>
        <v>86897</v>
      </c>
      <c r="O36" s="35"/>
      <c r="P36" s="35">
        <f>+P34</f>
        <v>17000</v>
      </c>
      <c r="Q36" s="35"/>
      <c r="R36" s="35">
        <f>+R34</f>
        <v>73103</v>
      </c>
      <c r="S36" s="128"/>
      <c r="T36" s="128"/>
      <c r="U36" s="164"/>
      <c r="V36" s="155">
        <f>SUM(C36:R36)</f>
        <v>1423467.9889502001</v>
      </c>
      <c r="W36" s="34"/>
      <c r="X36" s="5"/>
    </row>
    <row r="37" spans="1:24" ht="15.6" x14ac:dyDescent="0.3">
      <c r="A37" s="24"/>
      <c r="B37" s="122" t="s">
        <v>135</v>
      </c>
      <c r="C37" s="25"/>
      <c r="D37" s="135">
        <v>0.94089</v>
      </c>
      <c r="E37" s="169"/>
      <c r="F37" s="168">
        <v>0.9408898</v>
      </c>
      <c r="G37" s="168"/>
      <c r="H37" s="168">
        <v>0.9408898</v>
      </c>
      <c r="I37" s="168"/>
      <c r="J37" s="168">
        <v>0.94088970000000005</v>
      </c>
      <c r="K37" s="168"/>
      <c r="L37" s="168">
        <v>1</v>
      </c>
      <c r="M37" s="168"/>
      <c r="N37" s="168">
        <v>1</v>
      </c>
      <c r="O37" s="168"/>
      <c r="P37" s="168">
        <v>1</v>
      </c>
      <c r="Q37" s="168"/>
      <c r="R37" s="168">
        <v>1</v>
      </c>
      <c r="S37" s="30"/>
      <c r="T37" s="30"/>
      <c r="U37" s="163"/>
      <c r="V37" s="163"/>
      <c r="W37" s="25"/>
      <c r="X37" s="5"/>
    </row>
    <row r="38" spans="1:24" ht="15.6" x14ac:dyDescent="0.3">
      <c r="A38" s="24"/>
      <c r="B38" s="122" t="s">
        <v>136</v>
      </c>
      <c r="C38" s="25"/>
      <c r="D38" s="135">
        <v>0.96291199999999999</v>
      </c>
      <c r="E38" s="169"/>
      <c r="F38" s="168">
        <v>0.96291179999999998</v>
      </c>
      <c r="G38" s="168"/>
      <c r="H38" s="168">
        <v>0.96291179999999998</v>
      </c>
      <c r="I38" s="168"/>
      <c r="J38" s="168">
        <v>0.96291170000000004</v>
      </c>
      <c r="K38" s="168"/>
      <c r="L38" s="168">
        <v>1</v>
      </c>
      <c r="M38" s="168"/>
      <c r="N38" s="168">
        <v>1</v>
      </c>
      <c r="O38" s="168"/>
      <c r="P38" s="168">
        <v>1</v>
      </c>
      <c r="Q38" s="168"/>
      <c r="R38" s="168">
        <v>1</v>
      </c>
      <c r="S38" s="39"/>
      <c r="T38" s="38"/>
      <c r="U38" s="163"/>
      <c r="V38" s="39"/>
      <c r="W38" s="25"/>
      <c r="X38" s="5"/>
    </row>
    <row r="39" spans="1:24" ht="15.6" x14ac:dyDescent="0.3">
      <c r="A39" s="24"/>
      <c r="B39" s="25" t="s">
        <v>11</v>
      </c>
      <c r="C39" s="25"/>
      <c r="D39" s="30" t="s">
        <v>234</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5.2999999999999999E-2</v>
      </c>
      <c r="E40" s="25"/>
      <c r="F40" s="38">
        <v>5.6556299999999997E-2</v>
      </c>
      <c r="G40" s="39"/>
      <c r="H40" s="38">
        <v>3.934E-2</v>
      </c>
      <c r="I40" s="38"/>
      <c r="J40" s="38">
        <v>5.4699999999999999E-2</v>
      </c>
      <c r="K40" s="39"/>
      <c r="L40" s="38">
        <v>5.7756299999999997E-2</v>
      </c>
      <c r="M40" s="39"/>
      <c r="N40" s="38">
        <v>4.054E-2</v>
      </c>
      <c r="O40" s="39"/>
      <c r="P40" s="38">
        <v>5.9956299999999997E-2</v>
      </c>
      <c r="Q40" s="39"/>
      <c r="R40" s="38">
        <v>4.274E-2</v>
      </c>
      <c r="S40" s="39"/>
      <c r="T40" s="38"/>
      <c r="U40" s="163"/>
      <c r="V40" s="30"/>
      <c r="W40" s="25"/>
      <c r="X40" s="5"/>
    </row>
    <row r="41" spans="1:24" ht="15.6" x14ac:dyDescent="0.3">
      <c r="A41" s="24"/>
      <c r="B41" s="25" t="s">
        <v>13</v>
      </c>
      <c r="C41" s="25"/>
      <c r="D41" s="38">
        <v>5.2999999999999999E-2</v>
      </c>
      <c r="E41" s="25"/>
      <c r="F41" s="38">
        <v>5.3475000000000002E-2</v>
      </c>
      <c r="G41" s="39"/>
      <c r="H41" s="38">
        <v>3.7069999999999999E-2</v>
      </c>
      <c r="I41" s="38"/>
      <c r="J41" s="38">
        <v>5.4837499999999997E-2</v>
      </c>
      <c r="K41" s="39"/>
      <c r="L41" s="38">
        <v>5.4675000000000001E-2</v>
      </c>
      <c r="M41" s="39"/>
      <c r="N41" s="38">
        <v>3.8269999999999998E-2</v>
      </c>
      <c r="O41" s="39"/>
      <c r="P41" s="38">
        <v>5.6875000000000002E-2</v>
      </c>
      <c r="Q41" s="39"/>
      <c r="R41" s="38">
        <v>4.0469999999999999E-2</v>
      </c>
      <c r="S41" s="39"/>
      <c r="T41" s="38"/>
      <c r="U41" s="163"/>
      <c r="V41" s="39" t="s">
        <v>199</v>
      </c>
      <c r="W41" s="25"/>
      <c r="X41" s="5"/>
    </row>
    <row r="42" spans="1:24" ht="15.6" x14ac:dyDescent="0.3">
      <c r="A42" s="24"/>
      <c r="B42" s="25" t="s">
        <v>296</v>
      </c>
      <c r="C42" s="25"/>
      <c r="D42" s="30" t="s">
        <v>268</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5.5346899999999997E-2</v>
      </c>
      <c r="E43" s="38"/>
      <c r="F43" s="38">
        <f>+F40</f>
        <v>5.6556299999999997E-2</v>
      </c>
      <c r="G43" s="38"/>
      <c r="H43" s="38">
        <v>5.6517299999999999E-2</v>
      </c>
      <c r="I43" s="38"/>
      <c r="J43" s="38">
        <v>5.6638300000000003E-2</v>
      </c>
      <c r="K43" s="38"/>
      <c r="L43" s="38">
        <f>+L40</f>
        <v>5.7756299999999997E-2</v>
      </c>
      <c r="M43" s="38"/>
      <c r="N43" s="38">
        <v>5.78573E-2</v>
      </c>
      <c r="O43" s="38"/>
      <c r="P43" s="38">
        <f>+P40</f>
        <v>5.9956299999999997E-2</v>
      </c>
      <c r="Q43" s="39"/>
      <c r="R43" s="38">
        <v>6.0192299999999997E-2</v>
      </c>
      <c r="S43" s="30"/>
      <c r="T43" s="30"/>
      <c r="U43" s="163"/>
      <c r="V43" s="39">
        <f>SUMPRODUCT(D43:R43,D35:R35)/V35</f>
        <v>5.622873347508018E-2</v>
      </c>
      <c r="W43" s="25"/>
      <c r="X43" s="5"/>
    </row>
    <row r="44" spans="1:24" ht="15.6" x14ac:dyDescent="0.3">
      <c r="A44" s="24"/>
      <c r="B44" s="25" t="s">
        <v>298</v>
      </c>
      <c r="C44" s="110"/>
      <c r="D44" s="38">
        <v>5.2265600000000002E-2</v>
      </c>
      <c r="E44" s="38"/>
      <c r="F44" s="38">
        <f>+F41</f>
        <v>5.3475000000000002E-2</v>
      </c>
      <c r="G44" s="38"/>
      <c r="H44" s="38">
        <v>5.3435999999999997E-2</v>
      </c>
      <c r="I44" s="38"/>
      <c r="J44" s="38">
        <v>5.3557E-2</v>
      </c>
      <c r="K44" s="38"/>
      <c r="L44" s="38">
        <f>+L41</f>
        <v>5.4675000000000001E-2</v>
      </c>
      <c r="M44" s="38"/>
      <c r="N44" s="38">
        <v>5.4775999999999998E-2</v>
      </c>
      <c r="O44" s="38"/>
      <c r="P44" s="38">
        <f>+P41</f>
        <v>5.6875000000000002E-2</v>
      </c>
      <c r="Q44" s="39"/>
      <c r="R44" s="38">
        <v>5.7111000000000002E-2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0.16537478004119488</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39128</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92</v>
      </c>
      <c r="S57" s="25"/>
      <c r="T57" s="45">
        <v>39036</v>
      </c>
      <c r="U57" s="46"/>
      <c r="V57" s="45">
        <v>39127</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89</v>
      </c>
      <c r="S58" s="25"/>
      <c r="T58" s="45">
        <v>39128</v>
      </c>
      <c r="U58" s="46"/>
      <c r="V58" s="45">
        <v>39216</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39203</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274</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1452056</v>
      </c>
      <c r="O69" s="34"/>
      <c r="P69" s="34">
        <f>28589+5178+728-1</f>
        <v>34494</v>
      </c>
      <c r="Q69" s="34"/>
      <c r="R69" s="34">
        <f>5178+728</f>
        <v>5906</v>
      </c>
      <c r="S69" s="34"/>
      <c r="T69" s="34">
        <v>0</v>
      </c>
      <c r="U69" s="34"/>
      <c r="V69" s="53">
        <f>+N69-P69+R69-T69</f>
        <v>1423468</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1452056</v>
      </c>
      <c r="O72" s="34"/>
      <c r="P72" s="34">
        <f>SUM(P69:P71)</f>
        <v>34494</v>
      </c>
      <c r="Q72" s="34"/>
      <c r="R72" s="34">
        <f>SUM(R69:R71)</f>
        <v>5906</v>
      </c>
      <c r="S72" s="34"/>
      <c r="T72" s="34">
        <f>SUM(T69:T71)</f>
        <v>0</v>
      </c>
      <c r="U72" s="34"/>
      <c r="V72" s="54">
        <f>SUM(V69:V71)</f>
        <v>1423468</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1452056</v>
      </c>
      <c r="O85" s="34"/>
      <c r="P85" s="34"/>
      <c r="Q85" s="34"/>
      <c r="R85" s="34"/>
      <c r="S85" s="34"/>
      <c r="T85" s="54"/>
      <c r="U85" s="34"/>
      <c r="V85" s="54">
        <f>SUM(V72:V84)</f>
        <v>1423468</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+T195</f>
        <v>39202</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v>34494</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13058+7451-1458-394+1</f>
        <v>18658</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328+211</f>
        <v>539</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602</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v>1488</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4269</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34494</v>
      </c>
      <c r="U97" s="25"/>
      <c r="V97" s="54">
        <f>SUM(V89:V96)</f>
        <v>25556</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-30</v>
      </c>
      <c r="U98" s="25"/>
      <c r="V98" s="54">
        <v>30</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32</v>
      </c>
      <c r="C100" s="25"/>
      <c r="D100" s="25"/>
      <c r="E100" s="25"/>
      <c r="F100" s="25"/>
      <c r="G100" s="25"/>
      <c r="H100" s="25"/>
      <c r="I100" s="25"/>
      <c r="J100" s="25"/>
      <c r="K100" s="25"/>
      <c r="L100" s="25"/>
      <c r="M100" s="25"/>
      <c r="N100" s="25"/>
      <c r="O100" s="25"/>
      <c r="P100" s="25"/>
      <c r="Q100" s="25"/>
      <c r="R100" s="25"/>
      <c r="S100" s="25"/>
      <c r="T100" s="34">
        <f>T97+T99+T98</f>
        <v>34464</v>
      </c>
      <c r="U100" s="25"/>
      <c r="V100" s="54">
        <f>V97+V99+V98</f>
        <v>25586</v>
      </c>
      <c r="W100" s="25"/>
      <c r="X100" s="5"/>
    </row>
    <row r="101" spans="1:25" ht="15.6" x14ac:dyDescent="0.3">
      <c r="A101" s="24"/>
      <c r="B101" s="118" t="s">
        <v>33</v>
      </c>
      <c r="C101" s="25"/>
      <c r="D101" s="25"/>
      <c r="E101" s="25"/>
      <c r="F101" s="25"/>
      <c r="G101" s="25"/>
      <c r="H101" s="25"/>
      <c r="I101" s="25"/>
      <c r="J101" s="25"/>
      <c r="K101" s="25"/>
      <c r="L101" s="25"/>
      <c r="M101" s="25"/>
      <c r="N101" s="25"/>
      <c r="O101" s="25"/>
      <c r="P101" s="25"/>
      <c r="Q101" s="25"/>
      <c r="R101" s="25"/>
      <c r="S101" s="25"/>
      <c r="T101" s="34"/>
      <c r="U101" s="25"/>
      <c r="V101" s="53"/>
      <c r="W101" s="25"/>
      <c r="X101" s="5"/>
    </row>
    <row r="102" spans="1:25" ht="15.6" x14ac:dyDescent="0.3">
      <c r="A102" s="24">
        <v>1</v>
      </c>
      <c r="B102" s="25" t="s">
        <v>34</v>
      </c>
      <c r="C102" s="25"/>
      <c r="D102" s="25"/>
      <c r="E102" s="25"/>
      <c r="F102" s="25"/>
      <c r="G102" s="25"/>
      <c r="H102" s="25"/>
      <c r="I102" s="25"/>
      <c r="J102" s="25"/>
      <c r="K102" s="25"/>
      <c r="L102" s="25"/>
      <c r="M102" s="25"/>
      <c r="N102" s="25"/>
      <c r="O102" s="25"/>
      <c r="P102" s="25"/>
      <c r="Q102" s="25"/>
      <c r="R102" s="25"/>
      <c r="S102" s="25"/>
      <c r="T102" s="25"/>
      <c r="U102" s="25"/>
      <c r="V102" s="53">
        <v>0</v>
      </c>
      <c r="W102" s="25"/>
      <c r="X102" s="5"/>
    </row>
    <row r="103" spans="1:25" ht="15.6" x14ac:dyDescent="0.3">
      <c r="A103" s="24">
        <f>+A102+1</f>
        <v>2</v>
      </c>
      <c r="B103" s="25" t="s">
        <v>259</v>
      </c>
      <c r="C103" s="25"/>
      <c r="D103" s="25"/>
      <c r="E103" s="25"/>
      <c r="F103" s="25"/>
      <c r="G103" s="25"/>
      <c r="H103" s="25"/>
      <c r="I103" s="25"/>
      <c r="J103" s="25"/>
      <c r="K103" s="25"/>
      <c r="L103" s="25"/>
      <c r="M103" s="25"/>
      <c r="N103" s="25"/>
      <c r="O103" s="25"/>
      <c r="P103" s="25"/>
      <c r="Q103" s="25"/>
      <c r="R103" s="25"/>
      <c r="S103" s="25"/>
      <c r="T103" s="25"/>
      <c r="U103" s="25"/>
      <c r="V103" s="53">
        <v>-2</v>
      </c>
      <c r="W103" s="25"/>
      <c r="X103" s="5"/>
    </row>
    <row r="104" spans="1:25" ht="15.6" x14ac:dyDescent="0.3">
      <c r="A104" s="24">
        <f>+A103+1</f>
        <v>3</v>
      </c>
      <c r="B104" s="25" t="s">
        <v>210</v>
      </c>
      <c r="C104" s="25"/>
      <c r="D104" s="25"/>
      <c r="E104" s="25"/>
      <c r="F104" s="25"/>
      <c r="G104" s="25"/>
      <c r="H104" s="25"/>
      <c r="I104" s="25"/>
      <c r="J104" s="25"/>
      <c r="K104" s="25"/>
      <c r="L104" s="25"/>
      <c r="M104" s="25"/>
      <c r="N104" s="25"/>
      <c r="O104" s="25"/>
      <c r="P104" s="25"/>
      <c r="Q104" s="25"/>
      <c r="R104" s="25"/>
      <c r="S104" s="25"/>
      <c r="T104" s="25"/>
      <c r="U104" s="25"/>
      <c r="V104" s="53">
        <f>-531-24-17</f>
        <v>-572</v>
      </c>
      <c r="W104" s="25"/>
      <c r="X104" s="5"/>
    </row>
    <row r="105" spans="1:25" ht="15.6" x14ac:dyDescent="0.3">
      <c r="A105" s="24" t="s">
        <v>132</v>
      </c>
      <c r="B105" s="25" t="s">
        <v>121</v>
      </c>
      <c r="C105" s="25"/>
      <c r="D105" s="25"/>
      <c r="E105" s="25"/>
      <c r="F105" s="25"/>
      <c r="G105" s="25"/>
      <c r="H105" s="25"/>
      <c r="I105" s="25"/>
      <c r="J105" s="25"/>
      <c r="K105" s="25"/>
      <c r="L105" s="25"/>
      <c r="M105" s="25"/>
      <c r="N105" s="25"/>
      <c r="O105" s="25"/>
      <c r="P105" s="25"/>
      <c r="Q105" s="25"/>
      <c r="R105" s="25"/>
      <c r="S105" s="25"/>
      <c r="T105" s="25"/>
      <c r="U105" s="25"/>
      <c r="V105" s="53">
        <v>0</v>
      </c>
      <c r="W105" s="25"/>
      <c r="X105" s="5"/>
    </row>
    <row r="106" spans="1:25" ht="15.6" x14ac:dyDescent="0.3">
      <c r="A106" s="24" t="s">
        <v>133</v>
      </c>
      <c r="B106" s="25" t="s">
        <v>256</v>
      </c>
      <c r="C106" s="25"/>
      <c r="D106" s="25"/>
      <c r="E106" s="25"/>
      <c r="F106" s="25"/>
      <c r="G106" s="25"/>
      <c r="H106" s="25"/>
      <c r="I106" s="25"/>
      <c r="J106" s="25"/>
      <c r="K106" s="25"/>
      <c r="L106" s="25"/>
      <c r="M106" s="25"/>
      <c r="N106" s="25"/>
      <c r="O106" s="25"/>
      <c r="P106" s="25"/>
      <c r="Q106" s="25"/>
      <c r="R106" s="25"/>
      <c r="S106" s="25"/>
      <c r="T106" s="25"/>
      <c r="U106" s="25"/>
      <c r="V106" s="53">
        <f>-10594-2242-2248</f>
        <v>-15084</v>
      </c>
      <c r="W106" s="25"/>
      <c r="X106" s="5"/>
      <c r="Y106" s="109"/>
    </row>
    <row r="107" spans="1:25" ht="15.6" x14ac:dyDescent="0.3">
      <c r="A107" s="24" t="s">
        <v>155</v>
      </c>
      <c r="B107" s="25" t="s">
        <v>190</v>
      </c>
      <c r="C107" s="25"/>
      <c r="D107" s="25"/>
      <c r="E107" s="25"/>
      <c r="F107" s="25"/>
      <c r="G107" s="25"/>
      <c r="H107" s="25"/>
      <c r="I107" s="25"/>
      <c r="J107" s="25"/>
      <c r="K107" s="25"/>
      <c r="L107" s="25"/>
      <c r="M107" s="25"/>
      <c r="N107" s="25"/>
      <c r="O107" s="25"/>
      <c r="P107" s="25"/>
      <c r="Q107" s="25"/>
      <c r="R107" s="25"/>
      <c r="S107" s="25"/>
      <c r="T107" s="25"/>
      <c r="U107" s="25"/>
      <c r="V107" s="53">
        <v>-1925</v>
      </c>
      <c r="W107" s="25"/>
      <c r="X107" s="5"/>
      <c r="Y107" s="109"/>
    </row>
    <row r="108" spans="1:25" ht="15.6" x14ac:dyDescent="0.3">
      <c r="A108" s="24" t="s">
        <v>211</v>
      </c>
      <c r="B108" s="25" t="s">
        <v>191</v>
      </c>
      <c r="C108" s="25"/>
      <c r="D108" s="25"/>
      <c r="E108" s="25"/>
      <c r="F108" s="25"/>
      <c r="G108" s="25"/>
      <c r="H108" s="25"/>
      <c r="I108" s="25"/>
      <c r="J108" s="25"/>
      <c r="K108" s="25"/>
      <c r="L108" s="25"/>
      <c r="M108" s="25"/>
      <c r="N108" s="25"/>
      <c r="O108" s="25"/>
      <c r="P108" s="25"/>
      <c r="Q108" s="25"/>
      <c r="R108" s="25"/>
      <c r="S108" s="25"/>
      <c r="T108" s="25"/>
      <c r="U108" s="25"/>
      <c r="V108" s="53">
        <v>-1226</v>
      </c>
      <c r="W108" s="25"/>
      <c r="X108" s="5"/>
      <c r="Y108" s="109"/>
    </row>
    <row r="109" spans="1:25" ht="15.6" x14ac:dyDescent="0.3">
      <c r="A109" s="24" t="s">
        <v>212</v>
      </c>
      <c r="B109" s="25" t="s">
        <v>192</v>
      </c>
      <c r="C109" s="25"/>
      <c r="D109" s="25"/>
      <c r="E109" s="25"/>
      <c r="F109" s="25"/>
      <c r="G109" s="25"/>
      <c r="H109" s="25"/>
      <c r="I109" s="25"/>
      <c r="J109" s="25"/>
      <c r="K109" s="25"/>
      <c r="L109" s="25"/>
      <c r="M109" s="25"/>
      <c r="N109" s="25"/>
      <c r="O109" s="25"/>
      <c r="P109" s="25"/>
      <c r="Q109" s="25"/>
      <c r="R109" s="25"/>
      <c r="S109" s="25"/>
      <c r="T109" s="25"/>
      <c r="U109" s="25"/>
      <c r="V109" s="53">
        <v>-352</v>
      </c>
      <c r="W109" s="25"/>
      <c r="X109" s="5"/>
      <c r="Y109" s="109"/>
    </row>
    <row r="110" spans="1:25" ht="15.6" x14ac:dyDescent="0.3">
      <c r="A110" s="24" t="s">
        <v>213</v>
      </c>
      <c r="B110" s="25" t="s">
        <v>202</v>
      </c>
      <c r="C110" s="25"/>
      <c r="D110" s="25"/>
      <c r="E110" s="25"/>
      <c r="F110" s="25"/>
      <c r="G110" s="25"/>
      <c r="H110" s="25"/>
      <c r="I110" s="25"/>
      <c r="J110" s="25"/>
      <c r="K110" s="25"/>
      <c r="L110" s="25"/>
      <c r="M110" s="25"/>
      <c r="N110" s="25"/>
      <c r="O110" s="25"/>
      <c r="P110" s="25"/>
      <c r="Q110" s="25"/>
      <c r="R110" s="25"/>
      <c r="S110" s="25"/>
      <c r="T110" s="25"/>
      <c r="U110" s="25"/>
      <c r="V110" s="53">
        <v>-1073</v>
      </c>
      <c r="W110" s="25"/>
      <c r="X110" s="5"/>
      <c r="Y110" s="109"/>
    </row>
    <row r="111" spans="1:25" ht="15.6" x14ac:dyDescent="0.3">
      <c r="A111" s="24" t="s">
        <v>258</v>
      </c>
      <c r="B111" s="25" t="s">
        <v>257</v>
      </c>
      <c r="C111" s="25"/>
      <c r="D111" s="25"/>
      <c r="E111" s="25"/>
      <c r="F111" s="25"/>
      <c r="G111" s="25"/>
      <c r="H111" s="25"/>
      <c r="I111" s="25"/>
      <c r="J111" s="25"/>
      <c r="K111" s="25"/>
      <c r="L111" s="25"/>
      <c r="M111" s="25"/>
      <c r="N111" s="25"/>
      <c r="O111" s="25"/>
      <c r="P111" s="25"/>
      <c r="Q111" s="25"/>
      <c r="R111" s="25"/>
      <c r="S111" s="25"/>
      <c r="T111" s="25"/>
      <c r="U111" s="25"/>
      <c r="V111" s="53">
        <v>-248</v>
      </c>
      <c r="W111" s="25"/>
      <c r="X111" s="5"/>
      <c r="Y111" s="109"/>
    </row>
    <row r="112" spans="1:25" ht="15.6" x14ac:dyDescent="0.3">
      <c r="A112" s="24">
        <v>7</v>
      </c>
      <c r="B112" s="25" t="s">
        <v>35</v>
      </c>
      <c r="C112" s="25"/>
      <c r="D112" s="25"/>
      <c r="E112" s="25"/>
      <c r="F112" s="25"/>
      <c r="G112" s="25"/>
      <c r="H112" s="25"/>
      <c r="I112" s="25"/>
      <c r="J112" s="25"/>
      <c r="K112" s="25"/>
      <c r="L112" s="25"/>
      <c r="M112" s="25"/>
      <c r="N112" s="25"/>
      <c r="O112" s="25"/>
      <c r="P112" s="25"/>
      <c r="Q112" s="25"/>
      <c r="R112" s="25"/>
      <c r="S112" s="25"/>
      <c r="T112" s="25"/>
      <c r="U112" s="25"/>
      <c r="V112" s="53">
        <v>-10</v>
      </c>
      <c r="W112" s="25"/>
      <c r="X112" s="5"/>
    </row>
    <row r="113" spans="1:24" ht="15.6" x14ac:dyDescent="0.3">
      <c r="A113" s="24">
        <f t="shared" ref="A113:A118" si="0">+A112+1</f>
        <v>8</v>
      </c>
      <c r="B113" s="25" t="s">
        <v>46</v>
      </c>
      <c r="C113" s="25"/>
      <c r="D113" s="25"/>
      <c r="E113" s="25"/>
      <c r="F113" s="25"/>
      <c r="G113" s="25"/>
      <c r="H113" s="25"/>
      <c r="I113" s="25"/>
      <c r="J113" s="25"/>
      <c r="K113" s="25"/>
      <c r="L113" s="25"/>
      <c r="M113" s="25"/>
      <c r="N113" s="25"/>
      <c r="O113" s="25"/>
      <c r="P113" s="25"/>
      <c r="Q113" s="25"/>
      <c r="R113" s="25"/>
      <c r="S113" s="25"/>
      <c r="T113" s="25"/>
      <c r="U113" s="25"/>
      <c r="V113" s="53">
        <v>0</v>
      </c>
      <c r="W113" s="25"/>
      <c r="X113" s="5"/>
    </row>
    <row r="114" spans="1:24" ht="15.6" x14ac:dyDescent="0.3">
      <c r="A114" s="24">
        <f t="shared" si="0"/>
        <v>9</v>
      </c>
      <c r="B114" s="25" t="s">
        <v>130</v>
      </c>
      <c r="C114" s="25"/>
      <c r="D114" s="25"/>
      <c r="E114" s="25"/>
      <c r="F114" s="25"/>
      <c r="G114" s="25"/>
      <c r="H114" s="25"/>
      <c r="I114" s="25"/>
      <c r="J114" s="25"/>
      <c r="K114" s="25"/>
      <c r="L114" s="25"/>
      <c r="M114" s="25"/>
      <c r="N114" s="25"/>
      <c r="O114" s="25"/>
      <c r="P114" s="25"/>
      <c r="Q114" s="25"/>
      <c r="R114" s="25"/>
      <c r="S114" s="25"/>
      <c r="T114" s="25"/>
      <c r="U114" s="25"/>
      <c r="V114" s="53">
        <v>0</v>
      </c>
      <c r="W114" s="25"/>
      <c r="X114" s="5"/>
    </row>
    <row r="115" spans="1:24" ht="15.6" x14ac:dyDescent="0.3">
      <c r="A115" s="24">
        <f t="shared" si="0"/>
        <v>10</v>
      </c>
      <c r="B115" s="25" t="s">
        <v>36</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11</v>
      </c>
      <c r="B116" s="25" t="s">
        <v>37</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12</v>
      </c>
      <c r="B117" s="25" t="s">
        <v>154</v>
      </c>
      <c r="C117" s="25"/>
      <c r="D117" s="25"/>
      <c r="E117" s="25"/>
      <c r="F117" s="25"/>
      <c r="G117" s="25"/>
      <c r="H117" s="25"/>
      <c r="I117" s="25"/>
      <c r="J117" s="25"/>
      <c r="K117" s="25"/>
      <c r="L117" s="25"/>
      <c r="M117" s="25"/>
      <c r="N117" s="25"/>
      <c r="O117" s="25"/>
      <c r="P117" s="25"/>
      <c r="Q117" s="25"/>
      <c r="R117" s="25"/>
      <c r="S117" s="25"/>
      <c r="T117" s="25"/>
      <c r="U117" s="25"/>
      <c r="V117" s="53">
        <v>-531</v>
      </c>
      <c r="W117" s="25"/>
      <c r="X117" s="5"/>
    </row>
    <row r="118" spans="1:24" ht="15.6" x14ac:dyDescent="0.3">
      <c r="A118" s="24">
        <f t="shared" si="0"/>
        <v>13</v>
      </c>
      <c r="B118" s="25" t="s">
        <v>131</v>
      </c>
      <c r="C118" s="25"/>
      <c r="D118" s="25"/>
      <c r="E118" s="25"/>
      <c r="F118" s="25"/>
      <c r="G118" s="25"/>
      <c r="H118" s="25"/>
      <c r="I118" s="25"/>
      <c r="J118" s="25"/>
      <c r="K118" s="25"/>
      <c r="L118" s="25"/>
      <c r="M118" s="25"/>
      <c r="N118" s="25"/>
      <c r="O118" s="25"/>
      <c r="P118" s="25"/>
      <c r="Q118" s="25"/>
      <c r="R118" s="25"/>
      <c r="S118" s="25"/>
      <c r="T118" s="25"/>
      <c r="U118" s="25"/>
      <c r="V118" s="53">
        <f>-V100-SUM(V102:V117)</f>
        <v>-4563</v>
      </c>
      <c r="W118" s="25"/>
      <c r="X118" s="5"/>
    </row>
    <row r="119" spans="1:24" ht="15.6" x14ac:dyDescent="0.3">
      <c r="A119" s="24"/>
      <c r="B119" s="118" t="s">
        <v>38</v>
      </c>
      <c r="C119" s="25"/>
      <c r="D119" s="25"/>
      <c r="E119" s="25"/>
      <c r="F119" s="25"/>
      <c r="G119" s="25"/>
      <c r="H119" s="25"/>
      <c r="I119" s="25"/>
      <c r="J119" s="25"/>
      <c r="K119" s="25"/>
      <c r="L119" s="25"/>
      <c r="M119" s="25"/>
      <c r="N119" s="25"/>
      <c r="O119" s="25"/>
      <c r="P119" s="25"/>
      <c r="Q119" s="25"/>
      <c r="R119" s="25"/>
      <c r="S119" s="25"/>
      <c r="T119" s="25"/>
      <c r="U119" s="25"/>
      <c r="V119" s="59"/>
      <c r="W119" s="25"/>
      <c r="X119" s="5"/>
    </row>
    <row r="120" spans="1:24" ht="15.6" x14ac:dyDescent="0.3">
      <c r="A120" s="24"/>
      <c r="B120" s="25" t="s">
        <v>179</v>
      </c>
      <c r="C120" s="25"/>
      <c r="D120" s="25"/>
      <c r="E120" s="25"/>
      <c r="F120" s="25"/>
      <c r="G120" s="25"/>
      <c r="H120" s="25"/>
      <c r="I120" s="25"/>
      <c r="J120" s="25"/>
      <c r="K120" s="25"/>
      <c r="L120" s="25"/>
      <c r="M120" s="25"/>
      <c r="N120" s="25"/>
      <c r="O120" s="25"/>
      <c r="P120" s="25"/>
      <c r="Q120" s="25"/>
      <c r="R120" s="25"/>
      <c r="S120" s="25"/>
      <c r="T120" s="34">
        <f>-T179</f>
        <v>-318</v>
      </c>
      <c r="U120" s="34"/>
      <c r="V120" s="53"/>
      <c r="W120" s="25"/>
      <c r="X120" s="5"/>
    </row>
    <row r="121" spans="1:24" ht="15.6" x14ac:dyDescent="0.3">
      <c r="A121" s="24"/>
      <c r="B121" s="25" t="s">
        <v>180</v>
      </c>
      <c r="C121" s="25"/>
      <c r="D121" s="25"/>
      <c r="E121" s="25"/>
      <c r="F121" s="25"/>
      <c r="G121" s="25"/>
      <c r="H121" s="25"/>
      <c r="I121" s="25"/>
      <c r="J121" s="25"/>
      <c r="K121" s="25"/>
      <c r="L121" s="25"/>
      <c r="M121" s="25"/>
      <c r="N121" s="25"/>
      <c r="O121" s="25"/>
      <c r="P121" s="25"/>
      <c r="Q121" s="25"/>
      <c r="R121" s="25"/>
      <c r="S121" s="25"/>
      <c r="T121" s="34">
        <v>-34</v>
      </c>
      <c r="U121" s="34"/>
      <c r="V121" s="53"/>
      <c r="W121" s="25"/>
      <c r="X121" s="5"/>
    </row>
    <row r="122" spans="1:24" ht="15.6" x14ac:dyDescent="0.3">
      <c r="A122" s="24"/>
      <c r="B122" s="25" t="s">
        <v>39</v>
      </c>
      <c r="C122" s="25"/>
      <c r="D122" s="25"/>
      <c r="E122" s="25"/>
      <c r="F122" s="25"/>
      <c r="G122" s="25"/>
      <c r="H122" s="25"/>
      <c r="I122" s="25"/>
      <c r="J122" s="25"/>
      <c r="K122" s="25"/>
      <c r="L122" s="25"/>
      <c r="M122" s="25"/>
      <c r="N122" s="25"/>
      <c r="O122" s="25"/>
      <c r="P122" s="25"/>
      <c r="Q122" s="25"/>
      <c r="R122" s="25"/>
      <c r="S122" s="25"/>
      <c r="T122" s="34">
        <f>-S179</f>
        <v>-5524</v>
      </c>
      <c r="U122" s="34"/>
      <c r="V122" s="53"/>
      <c r="W122" s="25"/>
      <c r="X122" s="5"/>
    </row>
    <row r="123" spans="1:24" ht="15.6" x14ac:dyDescent="0.3">
      <c r="A123" s="24"/>
      <c r="B123" s="25" t="s">
        <v>203</v>
      </c>
      <c r="C123" s="25"/>
      <c r="D123" s="25"/>
      <c r="E123" s="25"/>
      <c r="F123" s="25"/>
      <c r="G123" s="25"/>
      <c r="H123" s="25"/>
      <c r="I123" s="25"/>
      <c r="J123" s="25"/>
      <c r="K123" s="25"/>
      <c r="L123" s="25"/>
      <c r="M123" s="25"/>
      <c r="N123" s="25"/>
      <c r="O123" s="25"/>
      <c r="P123" s="25"/>
      <c r="Q123" s="25"/>
      <c r="R123" s="25"/>
      <c r="S123" s="25"/>
      <c r="T123" s="34">
        <v>-17952</v>
      </c>
      <c r="U123" s="34"/>
      <c r="V123" s="53"/>
      <c r="W123" s="25"/>
      <c r="X123" s="5"/>
    </row>
    <row r="124" spans="1:24" ht="15.6" x14ac:dyDescent="0.3">
      <c r="A124" s="24"/>
      <c r="B124" s="25" t="s">
        <v>201</v>
      </c>
      <c r="C124" s="25"/>
      <c r="D124" s="25"/>
      <c r="E124" s="25"/>
      <c r="F124" s="25"/>
      <c r="G124" s="25"/>
      <c r="H124" s="25"/>
      <c r="I124" s="25"/>
      <c r="J124" s="25"/>
      <c r="K124" s="25"/>
      <c r="L124" s="25"/>
      <c r="M124" s="25"/>
      <c r="N124" s="25"/>
      <c r="O124" s="25"/>
      <c r="P124" s="25"/>
      <c r="Q124" s="25"/>
      <c r="R124" s="25"/>
      <c r="S124" s="25"/>
      <c r="T124" s="34">
        <v>-3193</v>
      </c>
      <c r="U124" s="34"/>
      <c r="V124" s="53"/>
      <c r="W124" s="25"/>
      <c r="X124" s="5"/>
    </row>
    <row r="125" spans="1:24" ht="15.6" x14ac:dyDescent="0.3">
      <c r="A125" s="24"/>
      <c r="B125" s="25" t="s">
        <v>200</v>
      </c>
      <c r="C125" s="25"/>
      <c r="D125" s="25"/>
      <c r="E125" s="25"/>
      <c r="F125" s="25"/>
      <c r="G125" s="25"/>
      <c r="H125" s="25"/>
      <c r="I125" s="25"/>
      <c r="J125" s="25"/>
      <c r="K125" s="25"/>
      <c r="L125" s="25"/>
      <c r="M125" s="25"/>
      <c r="N125" s="25"/>
      <c r="O125" s="25"/>
      <c r="P125" s="25"/>
      <c r="Q125" s="25"/>
      <c r="R125" s="25"/>
      <c r="S125" s="25"/>
      <c r="T125" s="34">
        <v>-3721</v>
      </c>
      <c r="U125" s="34"/>
      <c r="V125" s="53"/>
      <c r="W125" s="25"/>
      <c r="X125" s="5"/>
    </row>
    <row r="126" spans="1:24" ht="15.6" x14ac:dyDescent="0.3">
      <c r="A126" s="24"/>
      <c r="B126" s="25" t="s">
        <v>260</v>
      </c>
      <c r="C126" s="25"/>
      <c r="D126" s="25"/>
      <c r="E126" s="25"/>
      <c r="F126" s="25"/>
      <c r="G126" s="25"/>
      <c r="H126" s="25"/>
      <c r="I126" s="25"/>
      <c r="J126" s="25"/>
      <c r="K126" s="25"/>
      <c r="L126" s="25"/>
      <c r="M126" s="25"/>
      <c r="N126" s="25"/>
      <c r="O126" s="25"/>
      <c r="P126" s="25"/>
      <c r="Q126" s="25"/>
      <c r="R126" s="25"/>
      <c r="S126" s="25"/>
      <c r="T126" s="34">
        <v>-3722</v>
      </c>
      <c r="U126" s="34"/>
      <c r="V126" s="53"/>
      <c r="W126" s="25"/>
      <c r="X126" s="5"/>
    </row>
    <row r="127" spans="1:24" ht="15.6" x14ac:dyDescent="0.3">
      <c r="A127" s="24"/>
      <c r="B127" s="25" t="s">
        <v>195</v>
      </c>
      <c r="C127" s="25"/>
      <c r="D127" s="25"/>
      <c r="E127" s="25"/>
      <c r="F127" s="25"/>
      <c r="G127" s="25"/>
      <c r="H127" s="25"/>
      <c r="I127" s="25"/>
      <c r="J127" s="25"/>
      <c r="K127" s="25"/>
      <c r="L127" s="25"/>
      <c r="M127" s="25"/>
      <c r="N127" s="25"/>
      <c r="O127" s="25"/>
      <c r="P127" s="25"/>
      <c r="Q127" s="25"/>
      <c r="R127" s="25"/>
      <c r="S127" s="25"/>
      <c r="T127" s="34">
        <v>0</v>
      </c>
      <c r="U127" s="34"/>
      <c r="V127" s="53"/>
      <c r="W127" s="25"/>
      <c r="X127" s="5"/>
    </row>
    <row r="128" spans="1:24" ht="15.6" x14ac:dyDescent="0.3">
      <c r="A128" s="24"/>
      <c r="B128" s="25" t="s">
        <v>194</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261</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193</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40</v>
      </c>
      <c r="C131" s="25"/>
      <c r="D131" s="25"/>
      <c r="E131" s="25"/>
      <c r="F131" s="25"/>
      <c r="G131" s="25"/>
      <c r="H131" s="25"/>
      <c r="I131" s="25"/>
      <c r="J131" s="25"/>
      <c r="K131" s="25"/>
      <c r="L131" s="25"/>
      <c r="M131" s="25"/>
      <c r="N131" s="25"/>
      <c r="O131" s="25"/>
      <c r="P131" s="25"/>
      <c r="Q131" s="25"/>
      <c r="R131" s="25"/>
      <c r="S131" s="25"/>
      <c r="T131" s="34">
        <f>SUM(T120:T130)</f>
        <v>-34464</v>
      </c>
      <c r="U131" s="34"/>
      <c r="V131" s="34">
        <f>SUM(V101:V128)</f>
        <v>-25586</v>
      </c>
      <c r="W131" s="25"/>
      <c r="X131" s="5"/>
    </row>
    <row r="132" spans="1:24" ht="15.6" x14ac:dyDescent="0.3">
      <c r="A132" s="24"/>
      <c r="B132" s="25" t="s">
        <v>41</v>
      </c>
      <c r="C132" s="25"/>
      <c r="D132" s="25"/>
      <c r="E132" s="25"/>
      <c r="F132" s="25"/>
      <c r="G132" s="25"/>
      <c r="H132" s="25"/>
      <c r="I132" s="25"/>
      <c r="J132" s="25"/>
      <c r="K132" s="25"/>
      <c r="L132" s="25"/>
      <c r="M132" s="25"/>
      <c r="N132" s="25"/>
      <c r="O132" s="25"/>
      <c r="P132" s="25"/>
      <c r="Q132" s="25"/>
      <c r="R132" s="25"/>
      <c r="S132" s="25"/>
      <c r="T132" s="34">
        <f>T100+T131</f>
        <v>0</v>
      </c>
      <c r="U132" s="34"/>
      <c r="V132" s="34">
        <f>V100+V131</f>
        <v>0</v>
      </c>
      <c r="W132" s="25"/>
      <c r="X132" s="5"/>
    </row>
    <row r="133" spans="1:24" ht="15.6" x14ac:dyDescent="0.3">
      <c r="A133" s="24"/>
      <c r="B133" s="25"/>
      <c r="C133" s="25"/>
      <c r="D133" s="25"/>
      <c r="E133" s="25"/>
      <c r="F133" s="25"/>
      <c r="G133" s="25"/>
      <c r="H133" s="25"/>
      <c r="I133" s="25"/>
      <c r="J133" s="25"/>
      <c r="K133" s="25"/>
      <c r="L133" s="25"/>
      <c r="M133" s="25"/>
      <c r="N133" s="25"/>
      <c r="O133" s="25"/>
      <c r="P133" s="25"/>
      <c r="Q133" s="25"/>
      <c r="R133" s="25"/>
      <c r="S133" s="25"/>
      <c r="T133" s="34"/>
      <c r="U133" s="34"/>
      <c r="V133" s="34"/>
      <c r="W133" s="25"/>
      <c r="X133" s="5"/>
    </row>
    <row r="134" spans="1:24" ht="15.6" x14ac:dyDescent="0.3">
      <c r="A134" s="6"/>
      <c r="B134" s="8"/>
      <c r="C134" s="8"/>
      <c r="D134" s="8"/>
      <c r="E134" s="8"/>
      <c r="F134" s="8"/>
      <c r="G134" s="8"/>
      <c r="H134" s="8"/>
      <c r="I134" s="8"/>
      <c r="J134" s="8"/>
      <c r="K134" s="8"/>
      <c r="L134" s="8"/>
      <c r="M134" s="8"/>
      <c r="N134" s="8"/>
      <c r="O134" s="8"/>
      <c r="P134" s="8"/>
      <c r="Q134" s="8"/>
      <c r="R134" s="8"/>
      <c r="S134" s="8"/>
      <c r="T134" s="8"/>
      <c r="U134" s="8"/>
      <c r="V134" s="52"/>
      <c r="W134" s="8"/>
      <c r="X134" s="5"/>
    </row>
    <row r="135" spans="1:24" ht="18" thickBot="1" x14ac:dyDescent="0.35">
      <c r="A135" s="101"/>
      <c r="B135" s="102" t="str">
        <f>B64</f>
        <v>PM12 INVESTOR REPORT QUARTER ENDING APRIL 2007</v>
      </c>
      <c r="C135" s="103"/>
      <c r="D135" s="103"/>
      <c r="E135" s="103"/>
      <c r="F135" s="103"/>
      <c r="G135" s="103"/>
      <c r="H135" s="103"/>
      <c r="I135" s="103"/>
      <c r="J135" s="103"/>
      <c r="K135" s="103"/>
      <c r="L135" s="103"/>
      <c r="M135" s="103"/>
      <c r="N135" s="103"/>
      <c r="O135" s="103"/>
      <c r="P135" s="103"/>
      <c r="Q135" s="103"/>
      <c r="R135" s="103"/>
      <c r="S135" s="103"/>
      <c r="T135" s="103"/>
      <c r="U135" s="103"/>
      <c r="V135" s="106"/>
      <c r="W135" s="105"/>
      <c r="X135" s="5"/>
    </row>
    <row r="136" spans="1:24" ht="15.6" x14ac:dyDescent="0.3">
      <c r="A136" s="2"/>
      <c r="B136" s="60" t="s">
        <v>42</v>
      </c>
      <c r="C136" s="4"/>
      <c r="D136" s="4"/>
      <c r="E136" s="4"/>
      <c r="F136" s="4"/>
      <c r="G136" s="4"/>
      <c r="H136" s="4"/>
      <c r="I136" s="4"/>
      <c r="J136" s="4"/>
      <c r="K136" s="4"/>
      <c r="L136" s="4"/>
      <c r="M136" s="4"/>
      <c r="N136" s="4"/>
      <c r="O136" s="4"/>
      <c r="P136" s="4"/>
      <c r="Q136" s="4"/>
      <c r="R136" s="4"/>
      <c r="S136" s="4"/>
      <c r="T136" s="4"/>
      <c r="U136" s="4"/>
      <c r="V136" s="50"/>
      <c r="W136" s="4"/>
      <c r="X136" s="5"/>
    </row>
    <row r="137" spans="1:24" ht="15.6" x14ac:dyDescent="0.3">
      <c r="A137" s="6"/>
      <c r="B137" s="21"/>
      <c r="C137" s="8"/>
      <c r="D137" s="8"/>
      <c r="E137" s="8"/>
      <c r="F137" s="8"/>
      <c r="G137" s="8"/>
      <c r="H137" s="8"/>
      <c r="I137" s="8"/>
      <c r="J137" s="8"/>
      <c r="K137" s="8"/>
      <c r="L137" s="8"/>
      <c r="M137" s="8"/>
      <c r="N137" s="8"/>
      <c r="O137" s="8"/>
      <c r="P137" s="8"/>
      <c r="Q137" s="8"/>
      <c r="R137" s="8"/>
      <c r="S137" s="8"/>
      <c r="T137" s="8"/>
      <c r="U137" s="8"/>
      <c r="V137" s="52"/>
      <c r="W137" s="8"/>
      <c r="X137" s="5"/>
    </row>
    <row r="138" spans="1:24" ht="15.6" x14ac:dyDescent="0.3">
      <c r="A138" s="6"/>
      <c r="B138" s="119" t="s">
        <v>43</v>
      </c>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24"/>
      <c r="B139" s="25" t="s">
        <v>44</v>
      </c>
      <c r="C139" s="25"/>
      <c r="D139" s="25"/>
      <c r="E139" s="25"/>
      <c r="F139" s="25"/>
      <c r="G139" s="25"/>
      <c r="H139" s="25"/>
      <c r="I139" s="25"/>
      <c r="J139" s="25"/>
      <c r="K139" s="25"/>
      <c r="L139" s="25"/>
      <c r="M139" s="25"/>
      <c r="N139" s="25"/>
      <c r="O139" s="25"/>
      <c r="P139" s="25"/>
      <c r="Q139" s="25"/>
      <c r="R139" s="25"/>
      <c r="S139" s="25"/>
      <c r="T139" s="25"/>
      <c r="U139" s="25"/>
      <c r="V139" s="53">
        <f>+V34*0.019</f>
        <v>28503.895</v>
      </c>
      <c r="W139" s="25"/>
      <c r="X139" s="5"/>
    </row>
    <row r="140" spans="1:24" ht="15.6" x14ac:dyDescent="0.3">
      <c r="A140" s="24"/>
      <c r="B140" s="25" t="s">
        <v>45</v>
      </c>
      <c r="C140" s="25"/>
      <c r="D140" s="25"/>
      <c r="E140" s="25"/>
      <c r="F140" s="25"/>
      <c r="G140" s="25"/>
      <c r="H140" s="25"/>
      <c r="I140" s="25"/>
      <c r="J140" s="25"/>
      <c r="K140" s="25"/>
      <c r="L140" s="25"/>
      <c r="M140" s="25"/>
      <c r="N140" s="25"/>
      <c r="O140" s="25"/>
      <c r="P140" s="25"/>
      <c r="Q140" s="25"/>
      <c r="R140" s="25"/>
      <c r="S140" s="25"/>
      <c r="T140" s="25"/>
      <c r="U140" s="25"/>
      <c r="V140" s="53">
        <v>28504</v>
      </c>
      <c r="W140" s="25"/>
      <c r="X140" s="5"/>
    </row>
    <row r="141" spans="1:24" ht="15.6" x14ac:dyDescent="0.3">
      <c r="A141" s="24"/>
      <c r="B141" s="25" t="s">
        <v>141</v>
      </c>
      <c r="C141" s="25"/>
      <c r="D141" s="25"/>
      <c r="E141" s="25"/>
      <c r="F141" s="25"/>
      <c r="G141" s="25"/>
      <c r="H141" s="25"/>
      <c r="I141" s="25"/>
      <c r="J141" s="25"/>
      <c r="K141" s="25"/>
      <c r="L141" s="25"/>
      <c r="M141" s="25"/>
      <c r="N141" s="25"/>
      <c r="O141" s="25"/>
      <c r="P141" s="25"/>
      <c r="Q141" s="25"/>
      <c r="R141" s="25"/>
      <c r="S141" s="25"/>
      <c r="T141" s="25"/>
      <c r="U141" s="25"/>
      <c r="V141" s="53">
        <v>0</v>
      </c>
      <c r="W141" s="25"/>
      <c r="X141" s="5"/>
    </row>
    <row r="142" spans="1:24" ht="15.6" x14ac:dyDescent="0.3">
      <c r="A142" s="24"/>
      <c r="B142" s="25" t="s">
        <v>128</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129</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181</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46</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134</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230</v>
      </c>
      <c r="C147" s="25"/>
      <c r="D147" s="25"/>
      <c r="E147" s="25"/>
      <c r="F147" s="25"/>
      <c r="G147" s="25"/>
      <c r="H147" s="25"/>
      <c r="I147" s="25"/>
      <c r="J147" s="25"/>
      <c r="K147" s="25"/>
      <c r="L147" s="25"/>
      <c r="M147" s="25"/>
      <c r="N147" s="25"/>
      <c r="O147" s="25"/>
      <c r="P147" s="25"/>
      <c r="Q147" s="25"/>
      <c r="R147" s="25"/>
      <c r="S147" s="25"/>
      <c r="T147" s="25"/>
      <c r="U147" s="25"/>
      <c r="V147" s="53">
        <v>0</v>
      </c>
      <c r="W147" s="25"/>
      <c r="X147" s="5"/>
      <c r="Y147" s="109"/>
    </row>
    <row r="148" spans="1:25" ht="15.6" x14ac:dyDescent="0.3">
      <c r="A148" s="24"/>
      <c r="B148" s="25" t="s">
        <v>47</v>
      </c>
      <c r="C148" s="25"/>
      <c r="D148" s="25"/>
      <c r="E148" s="25"/>
      <c r="F148" s="25"/>
      <c r="G148" s="25"/>
      <c r="H148" s="25"/>
      <c r="I148" s="25"/>
      <c r="J148" s="25"/>
      <c r="K148" s="25"/>
      <c r="L148" s="25"/>
      <c r="M148" s="25"/>
      <c r="N148" s="25"/>
      <c r="O148" s="25"/>
      <c r="P148" s="25"/>
      <c r="Q148" s="25"/>
      <c r="R148" s="25"/>
      <c r="S148" s="25"/>
      <c r="T148" s="25"/>
      <c r="U148" s="25"/>
      <c r="V148" s="53">
        <f>SUM(V140:V147)</f>
        <v>28504</v>
      </c>
      <c r="W148" s="25"/>
      <c r="X148" s="5"/>
    </row>
    <row r="149" spans="1:25" ht="15.6" x14ac:dyDescent="0.3">
      <c r="A149" s="24"/>
      <c r="B149" s="25"/>
      <c r="C149" s="25"/>
      <c r="D149" s="25"/>
      <c r="E149" s="25"/>
      <c r="F149" s="25"/>
      <c r="G149" s="25"/>
      <c r="H149" s="25"/>
      <c r="I149" s="25"/>
      <c r="J149" s="25"/>
      <c r="K149" s="25"/>
      <c r="L149" s="25"/>
      <c r="M149" s="25"/>
      <c r="N149" s="25"/>
      <c r="O149" s="25"/>
      <c r="P149" s="25"/>
      <c r="Q149" s="25"/>
      <c r="R149" s="25"/>
      <c r="S149" s="25"/>
      <c r="T149" s="25"/>
      <c r="U149" s="25"/>
      <c r="V149" s="53"/>
      <c r="W149" s="25"/>
      <c r="X149" s="5"/>
    </row>
    <row r="150" spans="1:25" ht="15.6" x14ac:dyDescent="0.3">
      <c r="A150" s="24"/>
      <c r="B150" s="138" t="s">
        <v>269</v>
      </c>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25" t="s">
        <v>160</v>
      </c>
      <c r="C151" s="25"/>
      <c r="D151" s="25"/>
      <c r="E151" s="25"/>
      <c r="F151" s="25"/>
      <c r="G151" s="25"/>
      <c r="H151" s="25"/>
      <c r="I151" s="25"/>
      <c r="J151" s="25"/>
      <c r="K151" s="25"/>
      <c r="L151" s="25"/>
      <c r="M151" s="25"/>
      <c r="N151" s="25"/>
      <c r="O151" s="25"/>
      <c r="P151" s="25"/>
      <c r="Q151" s="25"/>
      <c r="R151" s="25"/>
      <c r="S151" s="25"/>
      <c r="T151" s="25"/>
      <c r="U151" s="25"/>
      <c r="V151" s="53">
        <v>0</v>
      </c>
      <c r="W151" s="25"/>
      <c r="X151" s="5"/>
    </row>
    <row r="152" spans="1:25" ht="15.6" x14ac:dyDescent="0.3">
      <c r="A152" s="24"/>
      <c r="B152" s="25" t="s">
        <v>178</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270</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61"/>
      <c r="W155" s="25"/>
      <c r="X155" s="5"/>
    </row>
    <row r="156" spans="1:25" ht="15.6" x14ac:dyDescent="0.3">
      <c r="A156" s="6"/>
      <c r="B156" s="119" t="s">
        <v>24</v>
      </c>
      <c r="C156" s="8"/>
      <c r="D156" s="8"/>
      <c r="E156" s="8"/>
      <c r="F156" s="8"/>
      <c r="G156" s="8"/>
      <c r="H156" s="8"/>
      <c r="I156" s="8"/>
      <c r="J156" s="8"/>
      <c r="K156" s="8"/>
      <c r="L156" s="8"/>
      <c r="M156" s="8"/>
      <c r="N156" s="8"/>
      <c r="O156" s="8"/>
      <c r="P156" s="8"/>
      <c r="Q156" s="8"/>
      <c r="R156" s="8"/>
      <c r="S156" s="8"/>
      <c r="T156" s="8"/>
      <c r="U156" s="8"/>
      <c r="V156" s="52"/>
      <c r="W156" s="8"/>
      <c r="X156" s="5"/>
    </row>
    <row r="157" spans="1:25" ht="15.6" x14ac:dyDescent="0.3">
      <c r="A157" s="24"/>
      <c r="B157" s="25" t="s">
        <v>48</v>
      </c>
      <c r="C157" s="25"/>
      <c r="D157" s="25"/>
      <c r="E157" s="25"/>
      <c r="F157" s="25"/>
      <c r="G157" s="25"/>
      <c r="H157" s="25"/>
      <c r="I157" s="25"/>
      <c r="J157" s="25"/>
      <c r="K157" s="25"/>
      <c r="L157" s="25"/>
      <c r="M157" s="25"/>
      <c r="N157" s="25"/>
      <c r="O157" s="25"/>
      <c r="P157" s="25"/>
      <c r="Q157" s="25"/>
      <c r="R157" s="25"/>
      <c r="S157" s="25"/>
      <c r="T157" s="25"/>
      <c r="U157" s="25"/>
      <c r="V157" s="59" t="s">
        <v>123</v>
      </c>
      <c r="W157" s="25"/>
      <c r="X157" s="5"/>
    </row>
    <row r="158" spans="1:25" ht="15.6" x14ac:dyDescent="0.3">
      <c r="A158" s="24"/>
      <c r="B158" s="25" t="s">
        <v>49</v>
      </c>
      <c r="C158" s="163"/>
      <c r="D158" s="163"/>
      <c r="E158" s="163"/>
      <c r="F158" s="163"/>
      <c r="G158" s="163"/>
      <c r="H158" s="163"/>
      <c r="I158" s="163"/>
      <c r="J158" s="163"/>
      <c r="K158" s="163"/>
      <c r="L158" s="163"/>
      <c r="M158" s="163"/>
      <c r="N158" s="163"/>
      <c r="O158" s="163"/>
      <c r="P158" s="163"/>
      <c r="Q158" s="163"/>
      <c r="R158" s="163"/>
      <c r="S158" s="163"/>
      <c r="T158" s="163"/>
      <c r="U158" s="163"/>
      <c r="V158" s="59" t="s">
        <v>123</v>
      </c>
      <c r="W158" s="25"/>
      <c r="X158" s="5"/>
    </row>
    <row r="159" spans="1:25" ht="15.6" x14ac:dyDescent="0.3">
      <c r="A159" s="24"/>
      <c r="B159" s="25" t="s">
        <v>50</v>
      </c>
      <c r="C159" s="25"/>
      <c r="D159" s="25"/>
      <c r="E159" s="25"/>
      <c r="F159" s="25"/>
      <c r="G159" s="25"/>
      <c r="H159" s="25"/>
      <c r="I159" s="25"/>
      <c r="J159" s="25"/>
      <c r="K159" s="25"/>
      <c r="L159" s="25"/>
      <c r="M159" s="25"/>
      <c r="N159" s="25"/>
      <c r="O159" s="25"/>
      <c r="P159" s="25"/>
      <c r="Q159" s="25"/>
      <c r="R159" s="25"/>
      <c r="S159" s="25"/>
      <c r="T159" s="25"/>
      <c r="U159" s="25"/>
      <c r="V159" s="59" t="s">
        <v>123</v>
      </c>
      <c r="W159" s="25"/>
      <c r="X159" s="5"/>
    </row>
    <row r="160" spans="1:25" ht="15.6" x14ac:dyDescent="0.3">
      <c r="A160" s="24"/>
      <c r="B160" s="25" t="s">
        <v>51</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c r="C161" s="25"/>
      <c r="D161" s="25"/>
      <c r="E161" s="25"/>
      <c r="F161" s="25"/>
      <c r="G161" s="25"/>
      <c r="H161" s="25"/>
      <c r="I161" s="25"/>
      <c r="J161" s="25"/>
      <c r="K161" s="25"/>
      <c r="L161" s="25"/>
      <c r="M161" s="25"/>
      <c r="N161" s="25"/>
      <c r="O161" s="25"/>
      <c r="P161" s="25"/>
      <c r="Q161" s="25"/>
      <c r="R161" s="25"/>
      <c r="S161" s="25"/>
      <c r="T161" s="25"/>
      <c r="U161" s="25"/>
      <c r="V161" s="61"/>
      <c r="W161" s="25"/>
      <c r="X161" s="5"/>
    </row>
    <row r="162" spans="1:24" ht="15.6" x14ac:dyDescent="0.3">
      <c r="A162" s="6"/>
      <c r="B162" s="119" t="s">
        <v>52</v>
      </c>
      <c r="C162" s="8"/>
      <c r="D162" s="8"/>
      <c r="E162" s="8"/>
      <c r="F162" s="8"/>
      <c r="G162" s="8"/>
      <c r="H162" s="8"/>
      <c r="I162" s="8"/>
      <c r="J162" s="8"/>
      <c r="K162" s="8"/>
      <c r="L162" s="8"/>
      <c r="M162" s="8"/>
      <c r="N162" s="8"/>
      <c r="O162" s="8"/>
      <c r="P162" s="8"/>
      <c r="Q162" s="8"/>
      <c r="R162" s="8"/>
      <c r="S162" s="8"/>
      <c r="T162" s="8"/>
      <c r="U162" s="8"/>
      <c r="V162" s="63"/>
      <c r="W162" s="8"/>
      <c r="X162" s="5"/>
    </row>
    <row r="163" spans="1:24" ht="15.6" x14ac:dyDescent="0.3">
      <c r="A163" s="24"/>
      <c r="B163" s="25" t="s">
        <v>53</v>
      </c>
      <c r="C163" s="25"/>
      <c r="D163" s="25"/>
      <c r="E163" s="25"/>
      <c r="F163" s="25"/>
      <c r="G163" s="25"/>
      <c r="H163" s="25"/>
      <c r="I163" s="25"/>
      <c r="J163" s="25"/>
      <c r="K163" s="25"/>
      <c r="L163" s="25"/>
      <c r="M163" s="25"/>
      <c r="N163" s="25"/>
      <c r="O163" s="25"/>
      <c r="P163" s="25"/>
      <c r="Q163" s="25"/>
      <c r="R163" s="25"/>
      <c r="S163" s="25"/>
      <c r="T163" s="25"/>
      <c r="U163" s="25"/>
      <c r="V163" s="53">
        <v>0</v>
      </c>
      <c r="W163" s="25"/>
      <c r="X163" s="5"/>
    </row>
    <row r="164" spans="1:24" ht="15.6" x14ac:dyDescent="0.3">
      <c r="A164" s="24"/>
      <c r="B164" s="25" t="s">
        <v>54</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4" ht="15.6" x14ac:dyDescent="0.3">
      <c r="A165" s="24"/>
      <c r="B165" s="25" t="s">
        <v>55</v>
      </c>
      <c r="C165" s="25"/>
      <c r="D165" s="25"/>
      <c r="E165" s="25"/>
      <c r="F165" s="25"/>
      <c r="G165" s="25"/>
      <c r="H165" s="25"/>
      <c r="I165" s="25"/>
      <c r="J165" s="25"/>
      <c r="K165" s="25"/>
      <c r="L165" s="25"/>
      <c r="M165" s="25"/>
      <c r="N165" s="25"/>
      <c r="O165" s="25"/>
      <c r="P165" s="25"/>
      <c r="Q165" s="25"/>
      <c r="R165" s="25"/>
      <c r="S165" s="25"/>
      <c r="T165" s="25"/>
      <c r="U165" s="25"/>
      <c r="V165" s="53">
        <f>V164+V163</f>
        <v>0</v>
      </c>
      <c r="W165" s="25"/>
      <c r="X165" s="5"/>
    </row>
    <row r="166" spans="1:24" ht="15.6" x14ac:dyDescent="0.3">
      <c r="A166" s="24"/>
      <c r="B166" s="25" t="s">
        <v>310</v>
      </c>
      <c r="C166" s="25"/>
      <c r="D166" s="25"/>
      <c r="E166" s="25"/>
      <c r="F166" s="25"/>
      <c r="G166" s="25"/>
      <c r="H166" s="25"/>
      <c r="I166" s="25"/>
      <c r="J166" s="25"/>
      <c r="K166" s="25"/>
      <c r="L166" s="25"/>
      <c r="M166" s="25"/>
      <c r="N166" s="25"/>
      <c r="O166" s="25"/>
      <c r="P166" s="25"/>
      <c r="Q166" s="25"/>
      <c r="R166" s="25"/>
      <c r="S166" s="25"/>
      <c r="T166" s="25"/>
      <c r="U166" s="25"/>
      <c r="V166" s="53">
        <f>V114</f>
        <v>0</v>
      </c>
      <c r="W166" s="25"/>
      <c r="X166" s="5"/>
    </row>
    <row r="167" spans="1:24" ht="15.6" x14ac:dyDescent="0.3">
      <c r="A167" s="24"/>
      <c r="B167" s="25" t="s">
        <v>56</v>
      </c>
      <c r="C167" s="25"/>
      <c r="D167" s="25"/>
      <c r="E167" s="25"/>
      <c r="F167" s="25"/>
      <c r="G167" s="25"/>
      <c r="H167" s="25"/>
      <c r="I167" s="25"/>
      <c r="J167" s="25"/>
      <c r="K167" s="25"/>
      <c r="L167" s="25"/>
      <c r="M167" s="25"/>
      <c r="N167" s="25"/>
      <c r="O167" s="25"/>
      <c r="P167" s="25"/>
      <c r="Q167" s="25"/>
      <c r="R167" s="25"/>
      <c r="S167" s="25"/>
      <c r="T167" s="25"/>
      <c r="U167" s="25"/>
      <c r="V167" s="53">
        <f>V165+V166</f>
        <v>0</v>
      </c>
      <c r="W167" s="25"/>
      <c r="X167" s="5"/>
    </row>
    <row r="168" spans="1:24" ht="16.2" thickBot="1" x14ac:dyDescent="0.35">
      <c r="A168" s="24"/>
      <c r="B168" s="25"/>
      <c r="C168" s="25"/>
      <c r="D168" s="25"/>
      <c r="E168" s="25"/>
      <c r="F168" s="25"/>
      <c r="G168" s="25"/>
      <c r="H168" s="25"/>
      <c r="I168" s="25"/>
      <c r="J168" s="25"/>
      <c r="K168" s="25"/>
      <c r="L168" s="25"/>
      <c r="M168" s="25"/>
      <c r="N168" s="25"/>
      <c r="O168" s="25"/>
      <c r="P168" s="25"/>
      <c r="Q168" s="25"/>
      <c r="R168" s="25"/>
      <c r="S168" s="25"/>
      <c r="T168" s="25"/>
      <c r="U168" s="25"/>
      <c r="V168" s="61"/>
      <c r="W168" s="25"/>
      <c r="X168" s="5"/>
    </row>
    <row r="169" spans="1:24" ht="15.6" x14ac:dyDescent="0.3">
      <c r="A169" s="2"/>
      <c r="B169" s="4"/>
      <c r="C169" s="4"/>
      <c r="D169" s="4"/>
      <c r="E169" s="4"/>
      <c r="F169" s="4"/>
      <c r="G169" s="4"/>
      <c r="H169" s="4"/>
      <c r="I169" s="4"/>
      <c r="J169" s="4"/>
      <c r="K169" s="4"/>
      <c r="L169" s="4"/>
      <c r="M169" s="4"/>
      <c r="N169" s="4"/>
      <c r="O169" s="4"/>
      <c r="P169" s="4"/>
      <c r="Q169" s="4"/>
      <c r="R169" s="4"/>
      <c r="S169" s="4"/>
      <c r="T169" s="4"/>
      <c r="U169" s="4"/>
      <c r="V169" s="50"/>
      <c r="W169" s="4"/>
      <c r="X169" s="5"/>
    </row>
    <row r="170" spans="1:24" ht="15.6" x14ac:dyDescent="0.3">
      <c r="A170" s="6"/>
      <c r="B170" s="119" t="s">
        <v>57</v>
      </c>
      <c r="C170" s="8"/>
      <c r="D170" s="8"/>
      <c r="E170" s="8"/>
      <c r="F170" s="8"/>
      <c r="G170" s="8"/>
      <c r="H170" s="8"/>
      <c r="I170" s="8"/>
      <c r="J170" s="8"/>
      <c r="K170" s="8"/>
      <c r="L170" s="8"/>
      <c r="M170" s="8"/>
      <c r="N170" s="8"/>
      <c r="O170" s="8"/>
      <c r="P170" s="8"/>
      <c r="Q170" s="8"/>
      <c r="R170" s="8"/>
      <c r="S170" s="8"/>
      <c r="T170" s="8"/>
      <c r="U170" s="8"/>
      <c r="V170" s="52"/>
      <c r="W170" s="8"/>
      <c r="X170" s="5"/>
    </row>
    <row r="171" spans="1:24" ht="15.6" x14ac:dyDescent="0.3">
      <c r="A171" s="6"/>
      <c r="B171" s="21"/>
      <c r="C171" s="8"/>
      <c r="D171" s="8"/>
      <c r="E171" s="8"/>
      <c r="F171" s="8"/>
      <c r="G171" s="8"/>
      <c r="H171" s="8"/>
      <c r="I171" s="8"/>
      <c r="J171" s="8"/>
      <c r="K171" s="8"/>
      <c r="L171" s="8"/>
      <c r="M171" s="8"/>
      <c r="N171" s="8"/>
      <c r="O171" s="8"/>
      <c r="P171" s="8"/>
      <c r="Q171" s="8"/>
      <c r="R171" s="8"/>
      <c r="S171" s="8"/>
      <c r="T171" s="8"/>
      <c r="U171" s="8"/>
      <c r="V171" s="52"/>
      <c r="W171" s="8"/>
      <c r="X171" s="5"/>
    </row>
    <row r="172" spans="1:24" ht="15.6" x14ac:dyDescent="0.3">
      <c r="A172" s="24"/>
      <c r="B172" s="25" t="s">
        <v>58</v>
      </c>
      <c r="C172" s="25"/>
      <c r="D172" s="25"/>
      <c r="E172" s="25"/>
      <c r="F172" s="25"/>
      <c r="G172" s="25"/>
      <c r="H172" s="25"/>
      <c r="I172" s="25"/>
      <c r="J172" s="25"/>
      <c r="K172" s="25"/>
      <c r="L172" s="25"/>
      <c r="M172" s="25"/>
      <c r="N172" s="25"/>
      <c r="O172" s="25"/>
      <c r="P172" s="25"/>
      <c r="Q172" s="25"/>
      <c r="R172" s="25"/>
      <c r="S172" s="25"/>
      <c r="T172" s="25"/>
      <c r="U172" s="25"/>
      <c r="V172" s="53">
        <f>V72</f>
        <v>1423468</v>
      </c>
      <c r="W172" s="25"/>
      <c r="X172" s="5"/>
    </row>
    <row r="173" spans="1:24" ht="15.6" x14ac:dyDescent="0.3">
      <c r="A173" s="24"/>
      <c r="B173" s="25" t="s">
        <v>59</v>
      </c>
      <c r="C173" s="25"/>
      <c r="D173" s="25"/>
      <c r="E173" s="25"/>
      <c r="F173" s="25"/>
      <c r="G173" s="25"/>
      <c r="H173" s="25"/>
      <c r="I173" s="25"/>
      <c r="J173" s="25"/>
      <c r="K173" s="25"/>
      <c r="L173" s="25"/>
      <c r="M173" s="25"/>
      <c r="N173" s="25"/>
      <c r="O173" s="25"/>
      <c r="P173" s="25"/>
      <c r="Q173" s="25"/>
      <c r="R173" s="25"/>
      <c r="S173" s="25"/>
      <c r="T173" s="25"/>
      <c r="U173" s="25"/>
      <c r="V173" s="53">
        <f>V85</f>
        <v>1423468</v>
      </c>
      <c r="W173" s="25"/>
      <c r="X173" s="5"/>
    </row>
    <row r="174" spans="1:24" ht="16.2" thickBot="1" x14ac:dyDescent="0.35">
      <c r="A174" s="24"/>
      <c r="B174" s="25"/>
      <c r="C174" s="25"/>
      <c r="D174" s="25"/>
      <c r="E174" s="25"/>
      <c r="F174" s="25"/>
      <c r="G174" s="25"/>
      <c r="H174" s="25"/>
      <c r="I174" s="25"/>
      <c r="J174" s="25"/>
      <c r="K174" s="25"/>
      <c r="L174" s="25"/>
      <c r="M174" s="25"/>
      <c r="N174" s="25"/>
      <c r="O174" s="25"/>
      <c r="P174" s="25"/>
      <c r="Q174" s="25"/>
      <c r="R174" s="25"/>
      <c r="S174" s="25"/>
      <c r="T174" s="25"/>
      <c r="U174" s="25"/>
      <c r="V174" s="61"/>
      <c r="W174" s="25"/>
      <c r="X174" s="5"/>
    </row>
    <row r="175" spans="1:24" ht="15.6" x14ac:dyDescent="0.3">
      <c r="A175" s="2"/>
      <c r="B175" s="4"/>
      <c r="C175" s="4"/>
      <c r="D175" s="4"/>
      <c r="E175" s="4"/>
      <c r="F175" s="4"/>
      <c r="G175" s="4"/>
      <c r="H175" s="4"/>
      <c r="I175" s="4"/>
      <c r="J175" s="4"/>
      <c r="K175" s="4"/>
      <c r="L175" s="4"/>
      <c r="M175" s="4"/>
      <c r="N175" s="4"/>
      <c r="O175" s="4"/>
      <c r="P175" s="4"/>
      <c r="Q175" s="4"/>
      <c r="R175" s="4"/>
      <c r="S175" s="4"/>
      <c r="T175" s="4"/>
      <c r="U175" s="4"/>
      <c r="V175" s="50"/>
      <c r="W175" s="4"/>
      <c r="X175" s="5"/>
    </row>
    <row r="176" spans="1:24" ht="15.6" x14ac:dyDescent="0.3">
      <c r="A176" s="6"/>
      <c r="B176" s="119" t="s">
        <v>60</v>
      </c>
      <c r="C176" s="117"/>
      <c r="D176" s="117"/>
      <c r="E176" s="117"/>
      <c r="F176" s="117"/>
      <c r="G176" s="117"/>
      <c r="H176" s="120"/>
      <c r="I176" s="120"/>
      <c r="J176" s="120"/>
      <c r="K176" s="120"/>
      <c r="L176" s="120"/>
      <c r="M176" s="120"/>
      <c r="N176" s="120"/>
      <c r="O176" s="120"/>
      <c r="P176" s="120"/>
      <c r="Q176" s="120"/>
      <c r="R176" s="120"/>
      <c r="S176" s="120" t="s">
        <v>103</v>
      </c>
      <c r="T176" s="120" t="s">
        <v>182</v>
      </c>
      <c r="U176" s="111"/>
      <c r="V176" s="121" t="s">
        <v>119</v>
      </c>
      <c r="W176" s="10"/>
      <c r="X176" s="5"/>
    </row>
    <row r="177" spans="1:24" ht="15.6" x14ac:dyDescent="0.3">
      <c r="A177" s="24"/>
      <c r="B177" s="25" t="s">
        <v>61</v>
      </c>
      <c r="C177" s="25"/>
      <c r="D177" s="25"/>
      <c r="E177" s="25"/>
      <c r="F177" s="25"/>
      <c r="G177" s="25"/>
      <c r="H177" s="25"/>
      <c r="I177" s="25"/>
      <c r="J177" s="25"/>
      <c r="K177" s="25"/>
      <c r="L177" s="25"/>
      <c r="M177" s="25"/>
      <c r="N177" s="25"/>
      <c r="O177" s="25"/>
      <c r="P177" s="25"/>
      <c r="Q177" s="25"/>
      <c r="R177" s="25"/>
      <c r="S177" s="53">
        <f>+V34*0.16</f>
        <v>240032.80000000002</v>
      </c>
      <c r="T177" s="40"/>
      <c r="U177" s="25"/>
      <c r="V177" s="53"/>
      <c r="W177" s="25"/>
      <c r="X177" s="5"/>
    </row>
    <row r="178" spans="1:24" ht="15.6" x14ac:dyDescent="0.3">
      <c r="A178" s="24"/>
      <c r="B178" s="25" t="s">
        <v>62</v>
      </c>
      <c r="C178" s="25"/>
      <c r="D178" s="25"/>
      <c r="E178" s="25"/>
      <c r="F178" s="25"/>
      <c r="G178" s="25"/>
      <c r="H178" s="25"/>
      <c r="I178" s="25"/>
      <c r="J178" s="25"/>
      <c r="K178" s="25"/>
      <c r="L178" s="25"/>
      <c r="M178" s="25"/>
      <c r="N178" s="25"/>
      <c r="O178" s="25"/>
      <c r="P178" s="25"/>
      <c r="Q178" s="25"/>
      <c r="R178" s="25"/>
      <c r="S178" s="53">
        <f>'Jan 07'!S180</f>
        <v>11529</v>
      </c>
      <c r="T178" s="53">
        <f>'Jan 07'!T180</f>
        <v>4798</v>
      </c>
      <c r="U178" s="25"/>
      <c r="V178" s="53">
        <f>S178+T178</f>
        <v>16327</v>
      </c>
      <c r="W178" s="25"/>
      <c r="X178" s="5"/>
    </row>
    <row r="179" spans="1:24" ht="15.6" x14ac:dyDescent="0.3">
      <c r="A179" s="24"/>
      <c r="B179" s="25" t="s">
        <v>63</v>
      </c>
      <c r="C179" s="25"/>
      <c r="D179" s="25"/>
      <c r="E179" s="25"/>
      <c r="F179" s="25"/>
      <c r="G179" s="25"/>
      <c r="H179" s="25"/>
      <c r="I179" s="25"/>
      <c r="J179" s="25"/>
      <c r="K179" s="25"/>
      <c r="L179" s="25"/>
      <c r="M179" s="25"/>
      <c r="N179" s="25"/>
      <c r="O179" s="25"/>
      <c r="P179" s="25"/>
      <c r="Q179" s="25"/>
      <c r="R179" s="25"/>
      <c r="S179" s="34">
        <v>5524</v>
      </c>
      <c r="T179" s="34">
        <v>318</v>
      </c>
      <c r="U179" s="25"/>
      <c r="V179" s="53">
        <f>S179+T179</f>
        <v>5842</v>
      </c>
      <c r="W179" s="25"/>
      <c r="X179" s="5"/>
    </row>
    <row r="180" spans="1:24" ht="15.6" x14ac:dyDescent="0.3">
      <c r="A180" s="24"/>
      <c r="B180" s="25" t="s">
        <v>64</v>
      </c>
      <c r="C180" s="25"/>
      <c r="D180" s="25"/>
      <c r="E180" s="25"/>
      <c r="F180" s="25"/>
      <c r="G180" s="25"/>
      <c r="H180" s="25"/>
      <c r="I180" s="25"/>
      <c r="J180" s="25"/>
      <c r="K180" s="25"/>
      <c r="L180" s="25"/>
      <c r="M180" s="25"/>
      <c r="N180" s="25"/>
      <c r="O180" s="25"/>
      <c r="P180" s="25"/>
      <c r="Q180" s="25"/>
      <c r="R180" s="25"/>
      <c r="S180" s="53">
        <f>S178+S179</f>
        <v>17053</v>
      </c>
      <c r="T180" s="53">
        <f>T179+T178</f>
        <v>5116</v>
      </c>
      <c r="U180" s="25"/>
      <c r="V180" s="53">
        <f>S180+T180</f>
        <v>22169</v>
      </c>
      <c r="W180" s="25"/>
      <c r="X180" s="5"/>
    </row>
    <row r="181" spans="1:24" ht="15.6" x14ac:dyDescent="0.3">
      <c r="A181" s="24"/>
      <c r="B181" s="25" t="s">
        <v>65</v>
      </c>
      <c r="C181" s="25"/>
      <c r="D181" s="25"/>
      <c r="E181" s="25"/>
      <c r="F181" s="25"/>
      <c r="G181" s="25"/>
      <c r="H181" s="25"/>
      <c r="I181" s="25"/>
      <c r="J181" s="25"/>
      <c r="K181" s="25"/>
      <c r="L181" s="25"/>
      <c r="M181" s="25"/>
      <c r="N181" s="25"/>
      <c r="O181" s="25"/>
      <c r="P181" s="25"/>
      <c r="Q181" s="25"/>
      <c r="R181" s="25"/>
      <c r="S181" s="53">
        <f>S177-S180-T180</f>
        <v>217863.80000000002</v>
      </c>
      <c r="T181" s="40"/>
      <c r="U181" s="25"/>
      <c r="V181" s="53"/>
      <c r="W181" s="25"/>
      <c r="X181" s="5"/>
    </row>
    <row r="182" spans="1:24" ht="16.2" thickBot="1" x14ac:dyDescent="0.35">
      <c r="A182" s="24"/>
      <c r="B182" s="25"/>
      <c r="C182" s="25"/>
      <c r="D182" s="25"/>
      <c r="E182" s="25"/>
      <c r="F182" s="25"/>
      <c r="G182" s="25"/>
      <c r="H182" s="25"/>
      <c r="I182" s="25"/>
      <c r="J182" s="25"/>
      <c r="K182" s="25"/>
      <c r="L182" s="25"/>
      <c r="M182" s="25"/>
      <c r="N182" s="25"/>
      <c r="O182" s="25"/>
      <c r="P182" s="25"/>
      <c r="Q182" s="25"/>
      <c r="R182" s="25"/>
      <c r="S182" s="25"/>
      <c r="T182" s="25"/>
      <c r="U182" s="25"/>
      <c r="V182" s="61"/>
      <c r="W182" s="25"/>
      <c r="X182" s="5"/>
    </row>
    <row r="183" spans="1:24" ht="15.6" x14ac:dyDescent="0.3">
      <c r="A183" s="2"/>
      <c r="B183" s="4"/>
      <c r="C183" s="4"/>
      <c r="D183" s="4"/>
      <c r="E183" s="4"/>
      <c r="F183" s="4"/>
      <c r="G183" s="4"/>
      <c r="H183" s="4"/>
      <c r="I183" s="4"/>
      <c r="J183" s="4"/>
      <c r="K183" s="4"/>
      <c r="L183" s="4"/>
      <c r="M183" s="4"/>
      <c r="N183" s="4"/>
      <c r="O183" s="4"/>
      <c r="P183" s="4"/>
      <c r="Q183" s="4"/>
      <c r="R183" s="4"/>
      <c r="S183" s="4"/>
      <c r="T183" s="4"/>
      <c r="U183" s="4"/>
      <c r="V183" s="50"/>
      <c r="W183" s="4"/>
      <c r="X183" s="5"/>
    </row>
    <row r="184" spans="1:24" ht="15.6" x14ac:dyDescent="0.3">
      <c r="A184" s="6"/>
      <c r="B184" s="119" t="s">
        <v>66</v>
      </c>
      <c r="C184" s="8"/>
      <c r="D184" s="8"/>
      <c r="E184" s="8"/>
      <c r="F184" s="8"/>
      <c r="G184" s="8"/>
      <c r="H184" s="8"/>
      <c r="I184" s="8"/>
      <c r="J184" s="8"/>
      <c r="K184" s="8"/>
      <c r="L184" s="8"/>
      <c r="M184" s="8"/>
      <c r="N184" s="8"/>
      <c r="O184" s="8"/>
      <c r="P184" s="8"/>
      <c r="Q184" s="8"/>
      <c r="R184" s="8"/>
      <c r="S184" s="8"/>
      <c r="T184" s="8"/>
      <c r="U184" s="8"/>
      <c r="V184" s="65"/>
      <c r="W184" s="8"/>
      <c r="X184" s="5"/>
    </row>
    <row r="185" spans="1:24" ht="15.6" x14ac:dyDescent="0.3">
      <c r="A185" s="24"/>
      <c r="B185" s="25" t="s">
        <v>67</v>
      </c>
      <c r="C185" s="25"/>
      <c r="D185" s="25"/>
      <c r="E185" s="25"/>
      <c r="F185" s="25"/>
      <c r="G185" s="25"/>
      <c r="H185" s="25"/>
      <c r="I185" s="25"/>
      <c r="J185" s="25"/>
      <c r="K185" s="25"/>
      <c r="L185" s="25"/>
      <c r="M185" s="25"/>
      <c r="N185" s="25"/>
      <c r="O185" s="25"/>
      <c r="P185" s="25"/>
      <c r="Q185" s="25"/>
      <c r="R185" s="25"/>
      <c r="S185" s="25"/>
      <c r="T185" s="25"/>
      <c r="U185" s="25"/>
      <c r="V185" s="59">
        <f>(V100+V102+V103+V104+V105)/-(V106+V107)</f>
        <v>1.4705156093832676</v>
      </c>
      <c r="W185" s="25" t="s">
        <v>120</v>
      </c>
      <c r="X185" s="5"/>
    </row>
    <row r="186" spans="1:24" ht="15.6" x14ac:dyDescent="0.3">
      <c r="A186" s="24"/>
      <c r="B186" s="25" t="s">
        <v>68</v>
      </c>
      <c r="C186" s="25"/>
      <c r="D186" s="25"/>
      <c r="E186" s="25"/>
      <c r="F186" s="25"/>
      <c r="G186" s="25"/>
      <c r="H186" s="25"/>
      <c r="I186" s="25"/>
      <c r="J186" s="25"/>
      <c r="K186" s="25"/>
      <c r="L186" s="25"/>
      <c r="M186" s="25"/>
      <c r="N186" s="25"/>
      <c r="O186" s="25"/>
      <c r="P186" s="25"/>
      <c r="Q186" s="25"/>
      <c r="R186" s="25"/>
      <c r="S186" s="25"/>
      <c r="T186" s="25"/>
      <c r="U186" s="25"/>
      <c r="V186" s="66">
        <v>1.4</v>
      </c>
      <c r="W186" s="25" t="s">
        <v>120</v>
      </c>
      <c r="X186" s="5"/>
    </row>
    <row r="187" spans="1:24" ht="15.6" x14ac:dyDescent="0.3">
      <c r="A187" s="24"/>
      <c r="B187" s="25" t="s">
        <v>69</v>
      </c>
      <c r="C187" s="25"/>
      <c r="D187" s="25"/>
      <c r="E187" s="25"/>
      <c r="F187" s="25"/>
      <c r="G187" s="25"/>
      <c r="H187" s="25"/>
      <c r="I187" s="25"/>
      <c r="J187" s="25"/>
      <c r="K187" s="25"/>
      <c r="L187" s="25"/>
      <c r="M187" s="25"/>
      <c r="N187" s="25"/>
      <c r="O187" s="25"/>
      <c r="P187" s="25"/>
      <c r="Q187" s="25"/>
      <c r="R187" s="25"/>
      <c r="S187" s="25"/>
      <c r="T187" s="25"/>
      <c r="U187" s="25"/>
      <c r="V187" s="59">
        <f>(V100+V102+V103+V104+V105+V106+V107)/-(V108+V109)</f>
        <v>5.0716096324461342</v>
      </c>
      <c r="W187" s="25" t="s">
        <v>120</v>
      </c>
      <c r="X187" s="5"/>
    </row>
    <row r="188" spans="1:24" ht="15.6" x14ac:dyDescent="0.3">
      <c r="A188" s="24"/>
      <c r="B188" s="25" t="s">
        <v>70</v>
      </c>
      <c r="C188" s="25"/>
      <c r="D188" s="25"/>
      <c r="E188" s="25"/>
      <c r="F188" s="25"/>
      <c r="G188" s="25"/>
      <c r="H188" s="25"/>
      <c r="I188" s="25"/>
      <c r="J188" s="25"/>
      <c r="K188" s="25"/>
      <c r="L188" s="25"/>
      <c r="M188" s="25"/>
      <c r="N188" s="25"/>
      <c r="O188" s="25"/>
      <c r="P188" s="25"/>
      <c r="Q188" s="25"/>
      <c r="R188" s="25"/>
      <c r="S188" s="25"/>
      <c r="T188" s="25"/>
      <c r="U188" s="25"/>
      <c r="V188" s="66">
        <v>4.42</v>
      </c>
      <c r="W188" s="25" t="s">
        <v>120</v>
      </c>
      <c r="X188" s="5"/>
    </row>
    <row r="189" spans="1:24" ht="15.6" x14ac:dyDescent="0.3">
      <c r="A189" s="24"/>
      <c r="B189" s="25" t="s">
        <v>204</v>
      </c>
      <c r="C189" s="25"/>
      <c r="D189" s="25"/>
      <c r="E189" s="25"/>
      <c r="F189" s="25"/>
      <c r="G189" s="25"/>
      <c r="H189" s="25"/>
      <c r="I189" s="25"/>
      <c r="J189" s="25"/>
      <c r="K189" s="25"/>
      <c r="L189" s="25"/>
      <c r="M189" s="25"/>
      <c r="N189" s="25"/>
      <c r="O189" s="25"/>
      <c r="P189" s="25"/>
      <c r="Q189" s="25"/>
      <c r="R189" s="25"/>
      <c r="S189" s="25"/>
      <c r="T189" s="25"/>
      <c r="U189" s="25"/>
      <c r="V189" s="59">
        <f>(V100+V102+V103+V104+V105+V106+V107+V108+V109)/-(V110+V111)</f>
        <v>4.8637395912187733</v>
      </c>
      <c r="W189" s="25" t="s">
        <v>120</v>
      </c>
      <c r="X189" s="5"/>
    </row>
    <row r="190" spans="1:24" ht="15.6" x14ac:dyDescent="0.3">
      <c r="A190" s="24"/>
      <c r="B190" s="25" t="s">
        <v>205</v>
      </c>
      <c r="C190" s="25"/>
      <c r="D190" s="25"/>
      <c r="E190" s="25"/>
      <c r="F190" s="25"/>
      <c r="G190" s="25"/>
      <c r="H190" s="25"/>
      <c r="I190" s="25"/>
      <c r="J190" s="25"/>
      <c r="K190" s="25"/>
      <c r="L190" s="25"/>
      <c r="M190" s="25"/>
      <c r="N190" s="25"/>
      <c r="O190" s="25"/>
      <c r="P190" s="25"/>
      <c r="Q190" s="25"/>
      <c r="R190" s="25"/>
      <c r="S190" s="25"/>
      <c r="T190" s="25"/>
      <c r="U190" s="25"/>
      <c r="V190" s="66">
        <v>4.08</v>
      </c>
      <c r="W190" s="25" t="s">
        <v>120</v>
      </c>
      <c r="X190" s="5"/>
    </row>
    <row r="191" spans="1:24" ht="15.6" x14ac:dyDescent="0.3">
      <c r="A191" s="24"/>
      <c r="B191" s="25"/>
      <c r="C191" s="25"/>
      <c r="D191" s="25"/>
      <c r="E191" s="25"/>
      <c r="F191" s="25"/>
      <c r="G191" s="25"/>
      <c r="H191" s="25"/>
      <c r="I191" s="25"/>
      <c r="J191" s="25"/>
      <c r="K191" s="25"/>
      <c r="L191" s="25"/>
      <c r="M191" s="25"/>
      <c r="N191" s="25"/>
      <c r="O191" s="25"/>
      <c r="P191" s="25"/>
      <c r="Q191" s="25"/>
      <c r="R191" s="25"/>
      <c r="S191" s="25"/>
      <c r="T191" s="25"/>
      <c r="U191" s="25"/>
      <c r="V191" s="25"/>
      <c r="W191" s="25"/>
      <c r="X191" s="5"/>
    </row>
    <row r="192" spans="1:24"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25"/>
      <c r="W192" s="25"/>
      <c r="X192" s="5"/>
    </row>
    <row r="193" spans="1:24" ht="15.6" x14ac:dyDescent="0.3">
      <c r="A193" s="6"/>
      <c r="B193" s="8"/>
      <c r="C193" s="8"/>
      <c r="D193" s="8"/>
      <c r="E193" s="8"/>
      <c r="F193" s="8"/>
      <c r="G193" s="8"/>
      <c r="H193" s="8"/>
      <c r="I193" s="8"/>
      <c r="J193" s="8"/>
      <c r="K193" s="8"/>
      <c r="L193" s="8"/>
      <c r="M193" s="8"/>
      <c r="N193" s="8"/>
      <c r="O193" s="8"/>
      <c r="P193" s="8"/>
      <c r="Q193" s="8"/>
      <c r="R193" s="8"/>
      <c r="S193" s="8"/>
      <c r="T193" s="8"/>
      <c r="U193" s="8"/>
      <c r="V193" s="8"/>
      <c r="W193" s="8"/>
      <c r="X193" s="5"/>
    </row>
    <row r="194" spans="1:24" ht="18" thickBot="1" x14ac:dyDescent="0.35">
      <c r="A194" s="101"/>
      <c r="B194" s="102" t="str">
        <f>B135</f>
        <v>PM12 INVESTOR REPORT QUARTER ENDING APRIL 2007</v>
      </c>
      <c r="C194" s="165"/>
      <c r="D194" s="165"/>
      <c r="E194" s="165"/>
      <c r="F194" s="165"/>
      <c r="G194" s="165"/>
      <c r="H194" s="165"/>
      <c r="I194" s="165"/>
      <c r="J194" s="165"/>
      <c r="K194" s="165"/>
      <c r="L194" s="165"/>
      <c r="M194" s="165"/>
      <c r="N194" s="165"/>
      <c r="O194" s="165"/>
      <c r="P194" s="165"/>
      <c r="Q194" s="165"/>
      <c r="R194" s="165"/>
      <c r="S194" s="165"/>
      <c r="T194" s="165"/>
      <c r="U194" s="165"/>
      <c r="V194" s="165"/>
      <c r="W194" s="166"/>
      <c r="X194" s="5"/>
    </row>
    <row r="195" spans="1:24" ht="15.6" x14ac:dyDescent="0.3">
      <c r="A195" s="67"/>
      <c r="B195" s="60" t="s">
        <v>71</v>
      </c>
      <c r="C195" s="68"/>
      <c r="D195" s="68"/>
      <c r="E195" s="68"/>
      <c r="F195" s="68"/>
      <c r="G195" s="69"/>
      <c r="H195" s="69"/>
      <c r="I195" s="69"/>
      <c r="J195" s="69"/>
      <c r="K195" s="69"/>
      <c r="L195" s="69"/>
      <c r="M195" s="69"/>
      <c r="N195" s="69"/>
      <c r="O195" s="69"/>
      <c r="P195" s="69"/>
      <c r="Q195" s="69"/>
      <c r="R195" s="69"/>
      <c r="S195" s="69"/>
      <c r="T195" s="70">
        <v>39202</v>
      </c>
      <c r="U195" s="4"/>
      <c r="V195" s="4"/>
      <c r="W195" s="4"/>
      <c r="X195" s="5"/>
    </row>
    <row r="196" spans="1:24" ht="15.6" x14ac:dyDescent="0.3">
      <c r="A196" s="71"/>
      <c r="B196" s="72"/>
      <c r="C196" s="73"/>
      <c r="D196" s="73"/>
      <c r="E196" s="73"/>
      <c r="F196" s="73"/>
      <c r="G196" s="74"/>
      <c r="H196" s="74"/>
      <c r="I196" s="74"/>
      <c r="J196" s="74"/>
      <c r="K196" s="74"/>
      <c r="L196" s="74"/>
      <c r="M196" s="74"/>
      <c r="N196" s="74"/>
      <c r="O196" s="74"/>
      <c r="P196" s="74"/>
      <c r="Q196" s="74"/>
      <c r="R196" s="74"/>
      <c r="S196" s="74"/>
      <c r="T196" s="74"/>
      <c r="U196" s="8"/>
      <c r="V196" s="8"/>
      <c r="W196" s="8"/>
      <c r="X196" s="5"/>
    </row>
    <row r="197" spans="1:24" ht="15.6" x14ac:dyDescent="0.3">
      <c r="A197" s="75"/>
      <c r="B197" s="76" t="s">
        <v>72</v>
      </c>
      <c r="C197" s="77"/>
      <c r="D197" s="77"/>
      <c r="E197" s="77"/>
      <c r="F197" s="77"/>
      <c r="G197" s="64"/>
      <c r="H197" s="64"/>
      <c r="I197" s="64"/>
      <c r="J197" s="64"/>
      <c r="K197" s="64"/>
      <c r="L197" s="64"/>
      <c r="M197" s="64"/>
      <c r="N197" s="64"/>
      <c r="O197" s="64"/>
      <c r="P197" s="64"/>
      <c r="Q197" s="64"/>
      <c r="R197" s="64"/>
      <c r="S197" s="64"/>
      <c r="T197" s="78">
        <v>5.2060000000000002E-2</v>
      </c>
      <c r="U197" s="25"/>
      <c r="V197" s="25"/>
      <c r="W197" s="25"/>
      <c r="X197" s="5"/>
    </row>
    <row r="198" spans="1:24" ht="15.6" x14ac:dyDescent="0.3">
      <c r="A198" s="75"/>
      <c r="B198" s="76" t="s">
        <v>156</v>
      </c>
      <c r="C198" s="77"/>
      <c r="D198" s="77"/>
      <c r="E198" s="77"/>
      <c r="F198" s="77"/>
      <c r="G198" s="64"/>
      <c r="H198" s="64"/>
      <c r="I198" s="64"/>
      <c r="J198" s="64"/>
      <c r="K198" s="64"/>
      <c r="L198" s="64"/>
      <c r="M198" s="64"/>
      <c r="N198" s="64"/>
      <c r="O198" s="64"/>
      <c r="P198" s="64"/>
      <c r="Q198" s="64"/>
      <c r="R198" s="64"/>
      <c r="S198" s="64"/>
      <c r="T198" s="39">
        <f>'Oct 06'!T197</f>
        <v>4.8538814772447772E-2</v>
      </c>
      <c r="U198" s="25"/>
      <c r="V198" s="25"/>
      <c r="W198" s="25"/>
      <c r="X198" s="5"/>
    </row>
    <row r="199" spans="1:24" ht="15.6" x14ac:dyDescent="0.3">
      <c r="A199" s="75"/>
      <c r="B199" s="76" t="s">
        <v>73</v>
      </c>
      <c r="C199" s="77"/>
      <c r="D199" s="77"/>
      <c r="E199" s="77"/>
      <c r="F199" s="77"/>
      <c r="G199" s="64"/>
      <c r="H199" s="64"/>
      <c r="I199" s="64"/>
      <c r="J199" s="64"/>
      <c r="K199" s="64"/>
      <c r="L199" s="64"/>
      <c r="M199" s="64"/>
      <c r="N199" s="64"/>
      <c r="O199" s="64"/>
      <c r="P199" s="64"/>
      <c r="Q199" s="64"/>
      <c r="R199" s="64"/>
      <c r="S199" s="64"/>
      <c r="T199" s="78">
        <f>T197-T198</f>
        <v>3.5211852275522301E-3</v>
      </c>
      <c r="U199" s="25"/>
      <c r="V199" s="25"/>
      <c r="W199" s="25"/>
      <c r="X199" s="5"/>
    </row>
    <row r="200" spans="1:24" ht="15.6" x14ac:dyDescent="0.3">
      <c r="A200" s="75"/>
      <c r="B200" s="76" t="s">
        <v>74</v>
      </c>
      <c r="C200" s="77"/>
      <c r="D200" s="77"/>
      <c r="E200" s="77"/>
      <c r="F200" s="77"/>
      <c r="G200" s="64"/>
      <c r="H200" s="64"/>
      <c r="I200" s="64"/>
      <c r="J200" s="64"/>
      <c r="K200" s="64"/>
      <c r="L200" s="64"/>
      <c r="M200" s="64"/>
      <c r="N200" s="64"/>
      <c r="O200" s="64"/>
      <c r="P200" s="64"/>
      <c r="Q200" s="64"/>
      <c r="R200" s="64"/>
      <c r="S200" s="64"/>
      <c r="T200" s="78">
        <v>5.3199999999999997E-2</v>
      </c>
      <c r="U200" s="25"/>
      <c r="V200" s="25"/>
      <c r="W200" s="25"/>
      <c r="X200" s="5"/>
    </row>
    <row r="201" spans="1:24" ht="15.6" x14ac:dyDescent="0.3">
      <c r="A201" s="75"/>
      <c r="B201" s="76" t="s">
        <v>225</v>
      </c>
      <c r="C201" s="77"/>
      <c r="D201" s="77"/>
      <c r="E201" s="77"/>
      <c r="F201" s="77"/>
      <c r="G201" s="64"/>
      <c r="H201" s="64"/>
      <c r="I201" s="64"/>
      <c r="J201" s="64"/>
      <c r="K201" s="64"/>
      <c r="L201" s="64"/>
      <c r="M201" s="64"/>
      <c r="N201" s="64"/>
      <c r="O201" s="64"/>
      <c r="P201" s="64"/>
      <c r="Q201" s="64"/>
      <c r="R201" s="64"/>
      <c r="S201" s="64"/>
      <c r="T201" s="78">
        <f>V43</f>
        <v>5.622873347508018E-2</v>
      </c>
      <c r="U201" s="25"/>
      <c r="V201" s="25"/>
      <c r="W201" s="25"/>
      <c r="X201" s="5"/>
    </row>
    <row r="202" spans="1:24" ht="15.6" x14ac:dyDescent="0.3">
      <c r="A202" s="75"/>
      <c r="B202" s="76" t="s">
        <v>75</v>
      </c>
      <c r="C202" s="77"/>
      <c r="D202" s="77"/>
      <c r="E202" s="77"/>
      <c r="F202" s="77"/>
      <c r="G202" s="64"/>
      <c r="H202" s="64"/>
      <c r="I202" s="64"/>
      <c r="J202" s="64"/>
      <c r="K202" s="64"/>
      <c r="L202" s="64"/>
      <c r="M202" s="64"/>
      <c r="N202" s="64"/>
      <c r="O202" s="64"/>
      <c r="P202" s="64"/>
      <c r="Q202" s="64"/>
      <c r="R202" s="64"/>
      <c r="S202" s="64"/>
      <c r="T202" s="78">
        <f>T200-T201</f>
        <v>-3.0287334750801823E-3</v>
      </c>
      <c r="U202" s="25"/>
      <c r="V202" s="25"/>
      <c r="W202" s="25"/>
      <c r="X202" s="5"/>
    </row>
    <row r="203" spans="1:24" ht="15.6" x14ac:dyDescent="0.3">
      <c r="A203" s="75"/>
      <c r="B203" s="76" t="s">
        <v>271</v>
      </c>
      <c r="C203" s="77"/>
      <c r="D203" s="77"/>
      <c r="E203" s="77"/>
      <c r="F203" s="77"/>
      <c r="G203" s="64"/>
      <c r="H203" s="64"/>
      <c r="I203" s="64"/>
      <c r="J203" s="64"/>
      <c r="K203" s="64"/>
      <c r="L203" s="64"/>
      <c r="M203" s="64"/>
      <c r="N203" s="64"/>
      <c r="O203" s="64"/>
      <c r="P203" s="64"/>
      <c r="Q203" s="64"/>
      <c r="R203" s="64"/>
      <c r="S203" s="64"/>
      <c r="T203" s="78">
        <f>+V100/N72</f>
        <v>1.7620532541444682E-2</v>
      </c>
      <c r="U203" s="25"/>
      <c r="V203" s="25"/>
      <c r="W203" s="25"/>
      <c r="X203" s="5"/>
    </row>
    <row r="204" spans="1:24" ht="15.6" x14ac:dyDescent="0.3">
      <c r="A204" s="75"/>
      <c r="B204" s="76" t="s">
        <v>214</v>
      </c>
      <c r="C204" s="77"/>
      <c r="D204" s="77"/>
      <c r="E204" s="77"/>
      <c r="F204" s="77"/>
      <c r="G204" s="64"/>
      <c r="H204" s="64"/>
      <c r="I204" s="64"/>
      <c r="J204" s="64"/>
      <c r="K204" s="64"/>
      <c r="L204" s="64"/>
      <c r="M204" s="64"/>
      <c r="N204" s="64"/>
      <c r="O204" s="64"/>
      <c r="P204" s="64"/>
      <c r="Q204" s="64"/>
      <c r="R204" s="64"/>
      <c r="S204" s="64"/>
      <c r="T204" s="129">
        <v>50710</v>
      </c>
      <c r="U204" s="25"/>
      <c r="V204" s="25"/>
      <c r="W204" s="25"/>
      <c r="X204" s="5"/>
    </row>
    <row r="205" spans="1:24" ht="15.6" x14ac:dyDescent="0.3">
      <c r="A205" s="75"/>
      <c r="B205" s="76" t="s">
        <v>215</v>
      </c>
      <c r="C205" s="77"/>
      <c r="D205" s="77"/>
      <c r="E205" s="77"/>
      <c r="F205" s="77"/>
      <c r="G205" s="64"/>
      <c r="H205" s="64"/>
      <c r="I205" s="64"/>
      <c r="J205" s="64"/>
      <c r="K205" s="64"/>
      <c r="L205" s="64"/>
      <c r="M205" s="64"/>
      <c r="N205" s="64"/>
      <c r="O205" s="64"/>
      <c r="P205" s="64"/>
      <c r="Q205" s="64"/>
      <c r="R205" s="64"/>
      <c r="S205" s="64"/>
      <c r="T205" s="129">
        <v>50710</v>
      </c>
      <c r="U205" s="25"/>
      <c r="V205" s="25"/>
      <c r="W205" s="25"/>
      <c r="X205" s="5"/>
    </row>
    <row r="206" spans="1:24" ht="15.6" x14ac:dyDescent="0.3">
      <c r="A206" s="75"/>
      <c r="B206" s="76" t="s">
        <v>216</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76</v>
      </c>
      <c r="C207" s="77"/>
      <c r="D207" s="77"/>
      <c r="E207" s="77"/>
      <c r="F207" s="77"/>
      <c r="G207" s="64"/>
      <c r="H207" s="64"/>
      <c r="I207" s="64"/>
      <c r="J207" s="64"/>
      <c r="K207" s="64"/>
      <c r="L207" s="64"/>
      <c r="M207" s="64"/>
      <c r="N207" s="64"/>
      <c r="O207" s="64"/>
      <c r="P207" s="64"/>
      <c r="Q207" s="64"/>
      <c r="R207" s="64"/>
      <c r="S207" s="64"/>
      <c r="T207" s="133">
        <v>21.06</v>
      </c>
      <c r="U207" s="25" t="s">
        <v>115</v>
      </c>
      <c r="V207" s="25"/>
      <c r="W207" s="25"/>
      <c r="X207" s="5"/>
    </row>
    <row r="208" spans="1:24" ht="15.6" x14ac:dyDescent="0.3">
      <c r="A208" s="75"/>
      <c r="B208" s="76" t="s">
        <v>77</v>
      </c>
      <c r="C208" s="77"/>
      <c r="D208" s="77"/>
      <c r="E208" s="77"/>
      <c r="F208" s="77"/>
      <c r="G208" s="64"/>
      <c r="H208" s="64"/>
      <c r="I208" s="64"/>
      <c r="J208" s="64"/>
      <c r="K208" s="64"/>
      <c r="L208" s="64"/>
      <c r="M208" s="64"/>
      <c r="N208" s="64"/>
      <c r="O208" s="64"/>
      <c r="P208" s="64"/>
      <c r="Q208" s="64"/>
      <c r="R208" s="64"/>
      <c r="S208" s="64"/>
      <c r="T208" s="133">
        <v>20.399999999999999</v>
      </c>
      <c r="U208" s="25" t="s">
        <v>115</v>
      </c>
      <c r="V208" s="25"/>
      <c r="W208" s="25"/>
      <c r="X208" s="5"/>
    </row>
    <row r="209" spans="1:24" ht="15.6" x14ac:dyDescent="0.3">
      <c r="A209" s="75"/>
      <c r="B209" s="76" t="s">
        <v>78</v>
      </c>
      <c r="C209" s="77"/>
      <c r="D209" s="77"/>
      <c r="E209" s="77"/>
      <c r="F209" s="77"/>
      <c r="G209" s="64"/>
      <c r="H209" s="64"/>
      <c r="I209" s="64"/>
      <c r="J209" s="64"/>
      <c r="K209" s="64"/>
      <c r="L209" s="64"/>
      <c r="M209" s="64"/>
      <c r="N209" s="64"/>
      <c r="O209" s="64"/>
      <c r="P209" s="64"/>
      <c r="Q209" s="64"/>
      <c r="R209" s="64"/>
      <c r="S209" s="64"/>
      <c r="T209" s="78">
        <f>+P69/N69</f>
        <v>2.3755282165426127E-2</v>
      </c>
      <c r="U209" s="25"/>
      <c r="V209" s="25"/>
      <c r="W209" s="25"/>
      <c r="X209" s="5"/>
    </row>
    <row r="210" spans="1:24" ht="15.6" x14ac:dyDescent="0.3">
      <c r="A210" s="75"/>
      <c r="B210" s="76" t="s">
        <v>79</v>
      </c>
      <c r="C210" s="77"/>
      <c r="D210" s="77"/>
      <c r="E210" s="77"/>
      <c r="F210" s="77"/>
      <c r="G210" s="64"/>
      <c r="H210" s="64"/>
      <c r="I210" s="64"/>
      <c r="J210" s="64"/>
      <c r="K210" s="64"/>
      <c r="L210" s="64"/>
      <c r="M210" s="64"/>
      <c r="N210" s="64"/>
      <c r="O210" s="64"/>
      <c r="P210" s="64"/>
      <c r="Q210" s="64"/>
      <c r="R210" s="64"/>
      <c r="S210" s="64"/>
      <c r="T210" s="78">
        <v>8.3099999999999993E-2</v>
      </c>
      <c r="U210" s="25"/>
      <c r="V210" s="25"/>
      <c r="W210" s="25"/>
      <c r="X210" s="5"/>
    </row>
    <row r="211" spans="1:24" ht="15.6" x14ac:dyDescent="0.3">
      <c r="A211" s="75"/>
      <c r="B211" s="76"/>
      <c r="C211" s="76"/>
      <c r="D211" s="76"/>
      <c r="E211" s="76"/>
      <c r="F211" s="76"/>
      <c r="G211" s="25"/>
      <c r="H211" s="25"/>
      <c r="I211" s="25"/>
      <c r="J211" s="25"/>
      <c r="K211" s="25"/>
      <c r="L211" s="25"/>
      <c r="M211" s="25"/>
      <c r="N211" s="25"/>
      <c r="O211" s="25"/>
      <c r="P211" s="25"/>
      <c r="Q211" s="25"/>
      <c r="R211" s="25"/>
      <c r="S211" s="25"/>
      <c r="T211" s="61"/>
      <c r="U211" s="25"/>
      <c r="V211" s="79"/>
      <c r="W211" s="25"/>
      <c r="X211" s="5"/>
    </row>
    <row r="212" spans="1:24" ht="15.6" x14ac:dyDescent="0.3">
      <c r="A212" s="80"/>
      <c r="B212" s="14" t="s">
        <v>80</v>
      </c>
      <c r="C212" s="81"/>
      <c r="D212" s="81"/>
      <c r="E212" s="81"/>
      <c r="F212" s="82"/>
      <c r="G212" s="81"/>
      <c r="H212" s="17"/>
      <c r="I212" s="17"/>
      <c r="J212" s="17"/>
      <c r="K212" s="17"/>
      <c r="L212" s="17"/>
      <c r="M212" s="17"/>
      <c r="N212" s="17"/>
      <c r="O212" s="17"/>
      <c r="P212" s="17"/>
      <c r="Q212" s="17"/>
      <c r="R212" s="17"/>
      <c r="S212" s="17" t="s">
        <v>104</v>
      </c>
      <c r="T212" s="83" t="s">
        <v>111</v>
      </c>
      <c r="U212" s="8"/>
      <c r="V212" s="8"/>
      <c r="W212" s="8"/>
      <c r="X212" s="5"/>
    </row>
    <row r="213" spans="1:24" ht="15.6" x14ac:dyDescent="0.3">
      <c r="A213" s="84"/>
      <c r="B213" s="76" t="s">
        <v>81</v>
      </c>
      <c r="C213" s="54"/>
      <c r="D213" s="54"/>
      <c r="E213" s="54"/>
      <c r="F213" s="25"/>
      <c r="G213" s="25"/>
      <c r="H213" s="30"/>
      <c r="I213" s="30"/>
      <c r="J213" s="30"/>
      <c r="K213" s="30"/>
      <c r="L213" s="30"/>
      <c r="M213" s="30"/>
      <c r="N213" s="30"/>
      <c r="O213" s="30"/>
      <c r="P213" s="30"/>
      <c r="Q213" s="30"/>
      <c r="R213" s="30"/>
      <c r="S213" s="30">
        <v>0</v>
      </c>
      <c r="T213" s="85">
        <v>0</v>
      </c>
      <c r="U213" s="25"/>
      <c r="V213" s="79"/>
      <c r="W213" s="86"/>
      <c r="X213" s="5"/>
    </row>
    <row r="214" spans="1:24" ht="15.6" x14ac:dyDescent="0.3">
      <c r="A214" s="84"/>
      <c r="B214" s="76" t="s">
        <v>150</v>
      </c>
      <c r="C214" s="54"/>
      <c r="D214" s="54"/>
      <c r="E214" s="54"/>
      <c r="F214" s="25"/>
      <c r="G214" s="25"/>
      <c r="H214" s="30"/>
      <c r="I214" s="30"/>
      <c r="J214" s="30"/>
      <c r="K214" s="30"/>
      <c r="L214" s="30"/>
      <c r="M214" s="30"/>
      <c r="N214" s="30"/>
      <c r="O214" s="30"/>
      <c r="P214" s="30"/>
      <c r="Q214" s="30"/>
      <c r="R214" s="30"/>
      <c r="S214" s="152">
        <f>+R254</f>
        <v>11</v>
      </c>
      <c r="T214" s="85">
        <f>+T254</f>
        <v>2056</v>
      </c>
      <c r="U214" s="25"/>
      <c r="V214" s="79"/>
      <c r="W214" s="86"/>
      <c r="X214" s="5"/>
    </row>
    <row r="215" spans="1:24" ht="15.6" x14ac:dyDescent="0.3">
      <c r="A215" s="84"/>
      <c r="B215" s="76" t="s">
        <v>82</v>
      </c>
      <c r="C215" s="54"/>
      <c r="D215" s="54"/>
      <c r="E215" s="54"/>
      <c r="F215" s="25"/>
      <c r="G215" s="25"/>
      <c r="H215" s="30"/>
      <c r="I215" s="30"/>
      <c r="J215" s="30"/>
      <c r="K215" s="30"/>
      <c r="L215" s="30"/>
      <c r="M215" s="30"/>
      <c r="N215" s="30"/>
      <c r="O215" s="30"/>
      <c r="P215" s="30"/>
      <c r="Q215" s="30"/>
      <c r="R215" s="30"/>
      <c r="S215" s="30">
        <v>0</v>
      </c>
      <c r="T215" s="85">
        <v>0</v>
      </c>
      <c r="U215" s="25"/>
      <c r="V215" s="79"/>
      <c r="W215" s="86"/>
      <c r="X215" s="5"/>
    </row>
    <row r="216" spans="1:24" ht="15.6" x14ac:dyDescent="0.3">
      <c r="A216" s="84"/>
      <c r="B216" s="122" t="s">
        <v>83</v>
      </c>
      <c r="C216" s="54"/>
      <c r="D216" s="54"/>
      <c r="E216" s="54"/>
      <c r="F216" s="25"/>
      <c r="G216" s="25"/>
      <c r="H216" s="25"/>
      <c r="I216" s="25"/>
      <c r="J216" s="25"/>
      <c r="K216" s="25"/>
      <c r="L216" s="25"/>
      <c r="M216" s="25"/>
      <c r="N216" s="25"/>
      <c r="O216" s="25"/>
      <c r="P216" s="25"/>
      <c r="Q216" s="25"/>
      <c r="R216" s="25"/>
      <c r="S216" s="25"/>
      <c r="T216" s="85">
        <v>0</v>
      </c>
      <c r="U216" s="25"/>
      <c r="V216" s="79"/>
      <c r="W216" s="86"/>
      <c r="X216" s="5"/>
    </row>
    <row r="217" spans="1:24" ht="15.6" x14ac:dyDescent="0.3">
      <c r="A217" s="84"/>
      <c r="B217" s="122" t="s">
        <v>84</v>
      </c>
      <c r="C217" s="54"/>
      <c r="D217" s="54"/>
      <c r="E217" s="54"/>
      <c r="F217" s="25"/>
      <c r="G217" s="25"/>
      <c r="H217" s="25"/>
      <c r="I217" s="25"/>
      <c r="J217" s="25"/>
      <c r="K217" s="25"/>
      <c r="L217" s="25"/>
      <c r="M217" s="25"/>
      <c r="N217" s="25"/>
      <c r="O217" s="25"/>
      <c r="P217" s="25"/>
      <c r="Q217" s="25"/>
      <c r="R217" s="25"/>
      <c r="S217" s="25"/>
      <c r="T217" s="62" t="s">
        <v>112</v>
      </c>
      <c r="U217" s="25"/>
      <c r="V217" s="79"/>
      <c r="W217" s="86"/>
      <c r="X217" s="5"/>
    </row>
    <row r="218" spans="1:24" ht="15.6" x14ac:dyDescent="0.3">
      <c r="A218" s="87"/>
      <c r="B218" s="122" t="s">
        <v>85</v>
      </c>
      <c r="C218" s="76"/>
      <c r="D218" s="76"/>
      <c r="E218" s="76"/>
      <c r="F218" s="76"/>
      <c r="G218" s="25"/>
      <c r="H218" s="25"/>
      <c r="I218" s="25"/>
      <c r="J218" s="25"/>
      <c r="K218" s="25"/>
      <c r="L218" s="25"/>
      <c r="M218" s="25"/>
      <c r="N218" s="25"/>
      <c r="O218" s="25"/>
      <c r="P218" s="25"/>
      <c r="Q218" s="25"/>
      <c r="R218" s="25"/>
      <c r="S218" s="25"/>
      <c r="T218" s="85"/>
      <c r="U218" s="25"/>
      <c r="V218" s="79"/>
      <c r="W218" s="88"/>
      <c r="X218" s="5"/>
    </row>
    <row r="219" spans="1:24" ht="15.6" x14ac:dyDescent="0.3">
      <c r="A219" s="87"/>
      <c r="B219" s="131" t="s">
        <v>86</v>
      </c>
      <c r="C219" s="76"/>
      <c r="D219" s="76"/>
      <c r="E219" s="76"/>
      <c r="F219" s="76"/>
      <c r="G219" s="25"/>
      <c r="H219" s="25"/>
      <c r="I219" s="25"/>
      <c r="J219" s="25"/>
      <c r="K219" s="25"/>
      <c r="L219" s="25"/>
      <c r="M219" s="25"/>
      <c r="N219" s="25"/>
      <c r="O219" s="25"/>
      <c r="P219" s="25"/>
      <c r="Q219" s="25"/>
      <c r="R219" s="25"/>
      <c r="S219" s="30">
        <v>0</v>
      </c>
      <c r="T219" s="85">
        <f>V164</f>
        <v>0</v>
      </c>
      <c r="U219" s="25"/>
      <c r="V219" s="79"/>
      <c r="W219" s="88"/>
      <c r="X219" s="5"/>
    </row>
    <row r="220" spans="1:24" ht="15.6" x14ac:dyDescent="0.3">
      <c r="A220" s="84"/>
      <c r="B220" s="76" t="s">
        <v>87</v>
      </c>
      <c r="C220" s="54"/>
      <c r="D220" s="54"/>
      <c r="E220" s="54"/>
      <c r="F220" s="54"/>
      <c r="G220" s="25"/>
      <c r="H220" s="25"/>
      <c r="I220" s="25"/>
      <c r="J220" s="25"/>
      <c r="K220" s="25"/>
      <c r="L220" s="25"/>
      <c r="M220" s="25"/>
      <c r="N220" s="25"/>
      <c r="O220" s="25"/>
      <c r="P220" s="25"/>
      <c r="Q220" s="25"/>
      <c r="R220" s="25"/>
      <c r="S220" s="30">
        <f>'Jan 07'!S219+'April 07'!S219</f>
        <v>0</v>
      </c>
      <c r="T220" s="85">
        <f>'Jan 07'!T219+'April 07'!T219</f>
        <v>0</v>
      </c>
      <c r="U220" s="25"/>
      <c r="V220" s="79"/>
      <c r="W220" s="88"/>
      <c r="X220" s="5"/>
    </row>
    <row r="221" spans="1:24" ht="15.6" x14ac:dyDescent="0.3">
      <c r="A221" s="87"/>
      <c r="B221" s="122" t="s">
        <v>292</v>
      </c>
      <c r="C221" s="76"/>
      <c r="D221" s="76"/>
      <c r="E221" s="76"/>
      <c r="F221" s="76"/>
      <c r="G221" s="25"/>
      <c r="H221" s="25"/>
      <c r="I221" s="25"/>
      <c r="J221" s="25"/>
      <c r="K221" s="25"/>
      <c r="L221" s="25"/>
      <c r="M221" s="25"/>
      <c r="N221" s="25"/>
      <c r="O221" s="25"/>
      <c r="P221" s="25"/>
      <c r="Q221" s="25"/>
      <c r="R221" s="25"/>
      <c r="S221" s="30"/>
      <c r="T221" s="85"/>
      <c r="U221" s="25"/>
      <c r="V221" s="79"/>
      <c r="W221" s="88"/>
      <c r="X221" s="5"/>
    </row>
    <row r="222" spans="1:24" ht="15.6" x14ac:dyDescent="0.3">
      <c r="A222" s="87"/>
      <c r="B222" s="76" t="s">
        <v>290</v>
      </c>
      <c r="C222" s="76"/>
      <c r="D222" s="76"/>
      <c r="E222" s="76"/>
      <c r="F222" s="76"/>
      <c r="G222" s="25"/>
      <c r="H222" s="25"/>
      <c r="I222" s="25"/>
      <c r="J222" s="25"/>
      <c r="K222" s="25"/>
      <c r="L222" s="25"/>
      <c r="M222" s="25"/>
      <c r="N222" s="25"/>
      <c r="O222" s="25"/>
      <c r="P222" s="25"/>
      <c r="Q222" s="25"/>
      <c r="R222" s="25"/>
      <c r="S222" s="30">
        <v>0</v>
      </c>
      <c r="T222" s="85">
        <v>0</v>
      </c>
      <c r="U222" s="25"/>
      <c r="V222" s="79"/>
      <c r="W222" s="88"/>
      <c r="X222" s="5"/>
    </row>
    <row r="223" spans="1:24" ht="15.6" x14ac:dyDescent="0.3">
      <c r="A223" s="84"/>
      <c r="B223" s="76" t="s">
        <v>88</v>
      </c>
      <c r="C223" s="89"/>
      <c r="D223" s="89"/>
      <c r="E223" s="89"/>
      <c r="F223" s="90"/>
      <c r="G223" s="25"/>
      <c r="H223" s="25"/>
      <c r="I223" s="25"/>
      <c r="J223" s="25"/>
      <c r="K223" s="25"/>
      <c r="L223" s="25"/>
      <c r="M223" s="25"/>
      <c r="N223" s="25"/>
      <c r="O223" s="25"/>
      <c r="P223" s="25"/>
      <c r="Q223" s="25"/>
      <c r="R223" s="25"/>
      <c r="S223" s="25"/>
      <c r="T223" s="62">
        <v>0</v>
      </c>
      <c r="U223" s="25"/>
      <c r="V223" s="79"/>
      <c r="W223" s="88"/>
      <c r="X223" s="5"/>
    </row>
    <row r="224" spans="1:24" ht="15.6" x14ac:dyDescent="0.3">
      <c r="A224" s="84"/>
      <c r="B224" s="76" t="s">
        <v>89</v>
      </c>
      <c r="C224" s="89"/>
      <c r="D224" s="89"/>
      <c r="E224" s="89"/>
      <c r="F224" s="90"/>
      <c r="G224" s="25"/>
      <c r="H224" s="25"/>
      <c r="I224" s="25"/>
      <c r="J224" s="25"/>
      <c r="K224" s="25"/>
      <c r="L224" s="25"/>
      <c r="M224" s="25"/>
      <c r="N224" s="25"/>
      <c r="O224" s="25"/>
      <c r="P224" s="25"/>
      <c r="Q224" s="25"/>
      <c r="R224" s="25"/>
      <c r="S224" s="25"/>
      <c r="T224" s="62">
        <v>0</v>
      </c>
      <c r="U224" s="25"/>
      <c r="V224" s="79"/>
      <c r="W224" s="88"/>
      <c r="X224" s="5"/>
    </row>
    <row r="225" spans="1:25" ht="15.6" x14ac:dyDescent="0.3">
      <c r="A225" s="84"/>
      <c r="B225" s="122" t="s">
        <v>223</v>
      </c>
      <c r="C225" s="89"/>
      <c r="D225" s="89"/>
      <c r="E225" s="89"/>
      <c r="F225" s="90"/>
      <c r="G225" s="25"/>
      <c r="H225" s="25"/>
      <c r="I225" s="25"/>
      <c r="J225" s="25"/>
      <c r="K225" s="25"/>
      <c r="L225" s="25"/>
      <c r="M225" s="25"/>
      <c r="N225" s="25"/>
      <c r="O225" s="25"/>
      <c r="P225" s="25"/>
      <c r="Q225" s="25"/>
      <c r="R225" s="25"/>
      <c r="S225" s="25"/>
      <c r="T225" s="91"/>
      <c r="U225" s="25"/>
      <c r="V225" s="79"/>
      <c r="W225" s="88"/>
      <c r="X225" s="5"/>
    </row>
    <row r="226" spans="1:25" ht="15.6" x14ac:dyDescent="0.3">
      <c r="A226" s="84"/>
      <c r="B226" s="76" t="s">
        <v>290</v>
      </c>
      <c r="C226" s="89"/>
      <c r="D226" s="89"/>
      <c r="E226" s="89"/>
      <c r="F226" s="90"/>
      <c r="G226" s="25"/>
      <c r="H226" s="25"/>
      <c r="I226" s="25"/>
      <c r="J226" s="25"/>
      <c r="K226" s="25"/>
      <c r="L226" s="25"/>
      <c r="M226" s="25"/>
      <c r="N226" s="25"/>
      <c r="O226" s="25"/>
      <c r="P226" s="25"/>
      <c r="Q226" s="25"/>
      <c r="R226" s="25"/>
      <c r="S226" s="30">
        <v>4</v>
      </c>
      <c r="T226" s="85">
        <v>1011</v>
      </c>
      <c r="U226" s="25"/>
      <c r="V226" s="79"/>
      <c r="W226" s="88"/>
      <c r="X226" s="5"/>
    </row>
    <row r="227" spans="1:25" ht="15.6" x14ac:dyDescent="0.3">
      <c r="A227" s="84"/>
      <c r="B227" s="76" t="s">
        <v>224</v>
      </c>
      <c r="C227" s="89"/>
      <c r="D227" s="89"/>
      <c r="E227" s="89"/>
      <c r="F227" s="90"/>
      <c r="G227" s="25"/>
      <c r="H227" s="25"/>
      <c r="I227" s="25"/>
      <c r="J227" s="25"/>
      <c r="K227" s="25"/>
      <c r="L227" s="25"/>
      <c r="M227" s="25"/>
      <c r="N227" s="25"/>
      <c r="O227" s="25"/>
      <c r="P227" s="25"/>
      <c r="Q227" s="25"/>
      <c r="R227" s="25"/>
      <c r="S227" s="25"/>
      <c r="T227" s="62">
        <v>4.0199999999999996</v>
      </c>
      <c r="U227" s="25"/>
      <c r="V227" s="79"/>
      <c r="W227" s="88"/>
      <c r="X227" s="5"/>
    </row>
    <row r="228" spans="1:25" ht="15.6" x14ac:dyDescent="0.3">
      <c r="A228" s="84"/>
      <c r="B228" s="76"/>
      <c r="C228" s="89"/>
      <c r="D228" s="89"/>
      <c r="E228" s="89"/>
      <c r="F228" s="90"/>
      <c r="G228" s="25"/>
      <c r="H228" s="25"/>
      <c r="I228" s="25"/>
      <c r="J228" s="25"/>
      <c r="K228" s="25"/>
      <c r="L228" s="25"/>
      <c r="M228" s="25"/>
      <c r="N228" s="25"/>
      <c r="O228" s="25"/>
      <c r="P228" s="25"/>
      <c r="Q228" s="25"/>
      <c r="R228" s="25"/>
      <c r="S228" s="25"/>
      <c r="T228" s="91"/>
      <c r="U228" s="25"/>
      <c r="V228" s="79"/>
      <c r="W228" s="88"/>
      <c r="X228" s="5"/>
    </row>
    <row r="229" spans="1:25" ht="15.6" x14ac:dyDescent="0.3">
      <c r="A229" s="84"/>
      <c r="B229" s="76"/>
      <c r="C229" s="89"/>
      <c r="D229" s="89"/>
      <c r="E229" s="89"/>
      <c r="F229" s="90"/>
      <c r="G229" s="25"/>
      <c r="H229" s="25"/>
      <c r="I229" s="25"/>
      <c r="J229" s="25"/>
      <c r="K229" s="25"/>
      <c r="L229" s="25"/>
      <c r="M229" s="25"/>
      <c r="N229" s="25"/>
      <c r="O229" s="25"/>
      <c r="P229" s="25"/>
      <c r="Q229" s="25"/>
      <c r="R229" s="25"/>
      <c r="S229" s="25"/>
      <c r="T229" s="91"/>
      <c r="U229" s="25"/>
      <c r="V229" s="79"/>
      <c r="W229" s="88"/>
      <c r="X229" s="5"/>
    </row>
    <row r="230" spans="1:25" ht="17.399999999999999" x14ac:dyDescent="0.3">
      <c r="A230" s="84"/>
      <c r="B230" s="149" t="s">
        <v>174</v>
      </c>
      <c r="C230" s="89"/>
      <c r="D230" s="89"/>
      <c r="E230" s="89"/>
      <c r="F230" s="90"/>
      <c r="G230" s="25"/>
      <c r="H230" s="25"/>
      <c r="I230" s="25"/>
      <c r="J230" s="25"/>
      <c r="K230" s="25"/>
      <c r="L230" s="25"/>
      <c r="M230" s="25"/>
      <c r="N230" s="25"/>
      <c r="O230" s="25"/>
      <c r="P230" s="150" t="s">
        <v>173</v>
      </c>
      <c r="Q230" s="25"/>
      <c r="R230" s="25"/>
      <c r="S230" s="25"/>
      <c r="T230" s="91"/>
      <c r="U230" s="25"/>
      <c r="V230" s="79"/>
      <c r="W230" s="88"/>
      <c r="X230" s="5"/>
    </row>
    <row r="231" spans="1:25" ht="15.6" x14ac:dyDescent="0.3">
      <c r="A231" s="84"/>
      <c r="B231" s="76"/>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5.6" x14ac:dyDescent="0.3">
      <c r="A232" s="6"/>
      <c r="B232" s="14" t="s">
        <v>167</v>
      </c>
      <c r="C232" s="81"/>
      <c r="D232" s="81"/>
      <c r="E232" s="81"/>
      <c r="F232" s="82"/>
      <c r="G232" s="81"/>
      <c r="H232" s="17"/>
      <c r="I232" s="17"/>
      <c r="J232" s="17"/>
      <c r="K232" s="17"/>
      <c r="L232" s="17"/>
      <c r="M232" s="17"/>
      <c r="N232" s="17"/>
      <c r="O232" s="17"/>
      <c r="P232" s="17"/>
      <c r="Q232" s="17"/>
      <c r="R232" s="83" t="s">
        <v>104</v>
      </c>
      <c r="S232" s="17" t="s">
        <v>105</v>
      </c>
      <c r="T232" s="83" t="s">
        <v>113</v>
      </c>
      <c r="U232" s="17" t="s">
        <v>105</v>
      </c>
      <c r="V232" s="8"/>
      <c r="W232" s="92"/>
      <c r="X232" s="5"/>
    </row>
    <row r="233" spans="1:25" ht="15.6" x14ac:dyDescent="0.3">
      <c r="A233" s="24"/>
      <c r="B233" s="54" t="s">
        <v>90</v>
      </c>
      <c r="C233" s="93"/>
      <c r="D233" s="93"/>
      <c r="E233" s="93"/>
      <c r="F233" s="25"/>
      <c r="G233" s="93"/>
      <c r="H233" s="93"/>
      <c r="I233" s="93"/>
      <c r="J233" s="93"/>
      <c r="K233" s="93"/>
      <c r="L233" s="93"/>
      <c r="M233" s="93"/>
      <c r="N233" s="93"/>
      <c r="O233" s="93"/>
      <c r="P233" s="93"/>
      <c r="Q233" s="93"/>
      <c r="R233" s="54">
        <v>10665</v>
      </c>
      <c r="S233" s="94">
        <f t="shared" ref="S233:S240" si="1">R233/$R$242</f>
        <v>0.99617037175415657</v>
      </c>
      <c r="T233" s="53">
        <v>1415903</v>
      </c>
      <c r="U233" s="132">
        <f t="shared" ref="U233:U240" si="2">T233/$T$242</f>
        <v>0.99612427642372514</v>
      </c>
      <c r="V233" s="79"/>
      <c r="W233" s="88"/>
      <c r="X233" s="5"/>
    </row>
    <row r="234" spans="1:25" ht="15.6" x14ac:dyDescent="0.3">
      <c r="A234" s="24"/>
      <c r="B234" s="54" t="s">
        <v>91</v>
      </c>
      <c r="C234" s="93"/>
      <c r="D234" s="93"/>
      <c r="E234" s="93"/>
      <c r="F234" s="25"/>
      <c r="G234" s="94"/>
      <c r="H234" s="93"/>
      <c r="I234" s="93"/>
      <c r="J234" s="93"/>
      <c r="K234" s="93"/>
      <c r="L234" s="93"/>
      <c r="M234" s="93"/>
      <c r="N234" s="93"/>
      <c r="O234" s="93"/>
      <c r="P234" s="93"/>
      <c r="Q234" s="93"/>
      <c r="R234" s="54">
        <v>30</v>
      </c>
      <c r="S234" s="94">
        <f t="shared" si="1"/>
        <v>2.8021670091537454E-3</v>
      </c>
      <c r="T234" s="53">
        <v>3868</v>
      </c>
      <c r="U234" s="132">
        <f t="shared" si="2"/>
        <v>2.7212377551336276E-3</v>
      </c>
      <c r="V234" s="79"/>
      <c r="W234" s="88"/>
      <c r="X234" s="5"/>
      <c r="Y234" s="109"/>
    </row>
    <row r="235" spans="1:25" ht="15.6" x14ac:dyDescent="0.3">
      <c r="A235" s="24"/>
      <c r="B235" s="54" t="s">
        <v>92</v>
      </c>
      <c r="C235" s="93"/>
      <c r="D235" s="93"/>
      <c r="E235" s="93"/>
      <c r="F235" s="25"/>
      <c r="G235" s="94"/>
      <c r="H235" s="93"/>
      <c r="I235" s="93"/>
      <c r="J235" s="93"/>
      <c r="K235" s="93"/>
      <c r="L235" s="93"/>
      <c r="M235" s="93"/>
      <c r="N235" s="93"/>
      <c r="O235" s="93"/>
      <c r="P235" s="93"/>
      <c r="Q235" s="93"/>
      <c r="R235" s="54">
        <v>9</v>
      </c>
      <c r="S235" s="94">
        <f t="shared" si="1"/>
        <v>8.4065010274612364E-4</v>
      </c>
      <c r="T235" s="53">
        <v>1509</v>
      </c>
      <c r="U235" s="132">
        <f t="shared" si="2"/>
        <v>1.0616204168812421E-3</v>
      </c>
      <c r="V235" s="79"/>
      <c r="W235" s="88"/>
      <c r="X235" s="5"/>
    </row>
    <row r="236" spans="1:25" ht="15.6" x14ac:dyDescent="0.3">
      <c r="A236" s="24"/>
      <c r="B236" s="54" t="s">
        <v>161</v>
      </c>
      <c r="C236" s="93"/>
      <c r="D236" s="93"/>
      <c r="E236" s="93"/>
      <c r="F236" s="25"/>
      <c r="G236" s="94"/>
      <c r="H236" s="93"/>
      <c r="I236" s="93"/>
      <c r="J236" s="93"/>
      <c r="K236" s="93"/>
      <c r="L236" s="93"/>
      <c r="M236" s="93"/>
      <c r="N236" s="93"/>
      <c r="O236" s="93"/>
      <c r="P236" s="93"/>
      <c r="Q236" s="93"/>
      <c r="R236" s="54">
        <v>1</v>
      </c>
      <c r="S236" s="94">
        <f t="shared" si="1"/>
        <v>9.3405566971791515E-5</v>
      </c>
      <c r="T236" s="53">
        <v>128</v>
      </c>
      <c r="U236" s="132">
        <f t="shared" si="2"/>
        <v>9.0051301100595746E-5</v>
      </c>
      <c r="V236" s="79"/>
      <c r="W236" s="88"/>
      <c r="X236" s="5"/>
      <c r="Y236" s="109"/>
    </row>
    <row r="237" spans="1:25" ht="15.6" x14ac:dyDescent="0.3">
      <c r="A237" s="24"/>
      <c r="B237" s="54" t="s">
        <v>162</v>
      </c>
      <c r="C237" s="93"/>
      <c r="D237" s="93"/>
      <c r="E237" s="93"/>
      <c r="F237" s="25"/>
      <c r="G237" s="94"/>
      <c r="H237" s="93"/>
      <c r="I237" s="93"/>
      <c r="J237" s="93"/>
      <c r="K237" s="93"/>
      <c r="L237" s="93"/>
      <c r="M237" s="93"/>
      <c r="N237" s="93"/>
      <c r="O237" s="93"/>
      <c r="P237" s="93"/>
      <c r="Q237" s="93"/>
      <c r="R237" s="54">
        <v>0</v>
      </c>
      <c r="S237" s="94">
        <f t="shared" si="1"/>
        <v>0</v>
      </c>
      <c r="T237" s="53">
        <v>0</v>
      </c>
      <c r="U237" s="132">
        <f t="shared" si="2"/>
        <v>0</v>
      </c>
      <c r="V237" s="79"/>
      <c r="W237" s="88"/>
      <c r="X237" s="5"/>
    </row>
    <row r="238" spans="1:25" ht="15.6" x14ac:dyDescent="0.3">
      <c r="A238" s="24"/>
      <c r="B238" s="54" t="s">
        <v>163</v>
      </c>
      <c r="C238" s="93"/>
      <c r="D238" s="93"/>
      <c r="E238" s="93"/>
      <c r="F238" s="25"/>
      <c r="G238" s="94"/>
      <c r="H238" s="93"/>
      <c r="I238" s="93"/>
      <c r="J238" s="93"/>
      <c r="K238" s="93"/>
      <c r="L238" s="93"/>
      <c r="M238" s="93"/>
      <c r="N238" s="93"/>
      <c r="O238" s="93"/>
      <c r="P238" s="93"/>
      <c r="Q238" s="93"/>
      <c r="R238" s="54">
        <v>0</v>
      </c>
      <c r="S238" s="94">
        <f t="shared" si="1"/>
        <v>0</v>
      </c>
      <c r="T238" s="53">
        <v>0</v>
      </c>
      <c r="U238" s="132">
        <f t="shared" si="2"/>
        <v>0</v>
      </c>
      <c r="V238" s="79"/>
      <c r="W238" s="88"/>
      <c r="X238" s="5"/>
      <c r="Y238" s="109"/>
    </row>
    <row r="239" spans="1:25" ht="15.6" x14ac:dyDescent="0.3">
      <c r="A239" s="24"/>
      <c r="B239" s="54" t="s">
        <v>164</v>
      </c>
      <c r="C239" s="93"/>
      <c r="D239" s="93"/>
      <c r="E239" s="93"/>
      <c r="F239" s="25"/>
      <c r="G239" s="94"/>
      <c r="H239" s="93"/>
      <c r="I239" s="93"/>
      <c r="J239" s="93"/>
      <c r="K239" s="93"/>
      <c r="L239" s="93"/>
      <c r="M239" s="93"/>
      <c r="N239" s="93"/>
      <c r="O239" s="93"/>
      <c r="P239" s="93"/>
      <c r="Q239" s="93"/>
      <c r="R239" s="54">
        <v>1</v>
      </c>
      <c r="S239" s="94">
        <f t="shared" si="1"/>
        <v>9.3405566971791515E-5</v>
      </c>
      <c r="T239" s="53">
        <v>4</v>
      </c>
      <c r="U239" s="132">
        <f t="shared" si="2"/>
        <v>2.8141031593936171E-6</v>
      </c>
      <c r="V239" s="79"/>
      <c r="W239" s="88"/>
      <c r="X239" s="5"/>
    </row>
    <row r="240" spans="1:25" ht="15.6" x14ac:dyDescent="0.3">
      <c r="A240" s="24"/>
      <c r="B240" s="54" t="s">
        <v>165</v>
      </c>
      <c r="C240" s="93"/>
      <c r="D240" s="93"/>
      <c r="E240" s="93"/>
      <c r="F240" s="25"/>
      <c r="G240" s="94"/>
      <c r="H240" s="93"/>
      <c r="I240" s="93"/>
      <c r="J240" s="93"/>
      <c r="K240" s="93"/>
      <c r="L240" s="93"/>
      <c r="M240" s="93"/>
      <c r="N240" s="93"/>
      <c r="O240" s="93"/>
      <c r="P240" s="93"/>
      <c r="Q240" s="93"/>
      <c r="R240" s="54">
        <v>0</v>
      </c>
      <c r="S240" s="94">
        <f t="shared" si="1"/>
        <v>0</v>
      </c>
      <c r="T240" s="53">
        <v>0</v>
      </c>
      <c r="U240" s="132">
        <f t="shared" si="2"/>
        <v>0</v>
      </c>
      <c r="V240" s="79"/>
      <c r="W240" s="88"/>
      <c r="X240" s="5"/>
      <c r="Y240" s="109"/>
    </row>
    <row r="241" spans="1:24" ht="15.6" x14ac:dyDescent="0.3">
      <c r="A241" s="24"/>
      <c r="B241" s="54"/>
      <c r="C241" s="93"/>
      <c r="D241" s="93"/>
      <c r="E241" s="93"/>
      <c r="F241" s="25"/>
      <c r="G241" s="94"/>
      <c r="H241" s="93"/>
      <c r="I241" s="93"/>
      <c r="J241" s="93"/>
      <c r="K241" s="93"/>
      <c r="L241" s="93"/>
      <c r="M241" s="93"/>
      <c r="N241" s="93"/>
      <c r="O241" s="93"/>
      <c r="P241" s="93"/>
      <c r="Q241" s="93"/>
      <c r="R241" s="54"/>
      <c r="S241" s="94"/>
      <c r="T241" s="53"/>
      <c r="U241" s="132"/>
      <c r="V241" s="79"/>
      <c r="W241" s="88"/>
      <c r="X241" s="5"/>
    </row>
    <row r="242" spans="1:24" ht="15.6" x14ac:dyDescent="0.3">
      <c r="A242" s="24"/>
      <c r="B242" s="25"/>
      <c r="C242" s="25"/>
      <c r="D242" s="25"/>
      <c r="E242" s="25"/>
      <c r="F242" s="25"/>
      <c r="G242" s="25"/>
      <c r="H242" s="95"/>
      <c r="I242" s="95"/>
      <c r="J242" s="95"/>
      <c r="K242" s="95"/>
      <c r="L242" s="95"/>
      <c r="M242" s="95"/>
      <c r="N242" s="95"/>
      <c r="O242" s="95"/>
      <c r="P242" s="95"/>
      <c r="Q242" s="95"/>
      <c r="R242" s="34">
        <f>SUM(R233:R241)</f>
        <v>10706</v>
      </c>
      <c r="S242" s="132">
        <f>SUM(S233:S241)</f>
        <v>1</v>
      </c>
      <c r="T242" s="53">
        <f>SUM(T233:T241)</f>
        <v>1421412</v>
      </c>
      <c r="U242" s="132">
        <f>SUM(U233:U241)</f>
        <v>1.0000000000000002</v>
      </c>
      <c r="V242" s="25"/>
      <c r="W242" s="25"/>
      <c r="X242" s="5"/>
    </row>
    <row r="243" spans="1:24" ht="15.6" x14ac:dyDescent="0.3">
      <c r="A243" s="24"/>
      <c r="B243" s="25"/>
      <c r="C243" s="25"/>
      <c r="D243" s="25"/>
      <c r="E243" s="25"/>
      <c r="F243" s="25"/>
      <c r="G243" s="25"/>
      <c r="H243" s="95"/>
      <c r="I243" s="95"/>
      <c r="J243" s="95"/>
      <c r="K243" s="95"/>
      <c r="L243" s="95"/>
      <c r="M243" s="95"/>
      <c r="N243" s="95"/>
      <c r="O243" s="95"/>
      <c r="P243" s="95"/>
      <c r="Q243" s="95"/>
      <c r="R243" s="34"/>
      <c r="S243" s="132"/>
      <c r="T243" s="53"/>
      <c r="U243" s="132"/>
      <c r="V243" s="25"/>
      <c r="W243" s="25"/>
      <c r="X243" s="5"/>
    </row>
    <row r="244" spans="1:24" ht="15.6" x14ac:dyDescent="0.3">
      <c r="A244" s="141"/>
      <c r="B244" s="14" t="s">
        <v>168</v>
      </c>
      <c r="C244" s="81"/>
      <c r="D244" s="81"/>
      <c r="E244" s="81"/>
      <c r="F244" s="82"/>
      <c r="G244" s="81"/>
      <c r="H244" s="17"/>
      <c r="I244" s="17"/>
      <c r="J244" s="17"/>
      <c r="K244" s="17"/>
      <c r="L244" s="17"/>
      <c r="M244" s="17"/>
      <c r="N244" s="17"/>
      <c r="O244" s="17"/>
      <c r="P244" s="17"/>
      <c r="Q244" s="17"/>
      <c r="R244" s="83" t="s">
        <v>104</v>
      </c>
      <c r="S244" s="17" t="s">
        <v>105</v>
      </c>
      <c r="T244" s="83" t="s">
        <v>113</v>
      </c>
      <c r="U244" s="17" t="s">
        <v>105</v>
      </c>
      <c r="V244" s="139"/>
      <c r="W244" s="140"/>
      <c r="X244" s="5"/>
    </row>
    <row r="245" spans="1:24" ht="15.6" x14ac:dyDescent="0.3">
      <c r="A245" s="24"/>
      <c r="B245" s="54" t="s">
        <v>90</v>
      </c>
      <c r="C245" s="93"/>
      <c r="D245" s="93"/>
      <c r="E245" s="93"/>
      <c r="F245" s="25"/>
      <c r="G245" s="93"/>
      <c r="H245" s="93"/>
      <c r="I245" s="93"/>
      <c r="J245" s="93"/>
      <c r="K245" s="93"/>
      <c r="L245" s="93"/>
      <c r="M245" s="93"/>
      <c r="N245" s="93"/>
      <c r="O245" s="93"/>
      <c r="P245" s="93"/>
      <c r="Q245" s="93"/>
      <c r="R245" s="54">
        <v>5</v>
      </c>
      <c r="S245" s="94">
        <f t="shared" ref="S245:S252" si="3">R245/$R$254</f>
        <v>0.45454545454545453</v>
      </c>
      <c r="T245" s="53">
        <v>1047</v>
      </c>
      <c r="U245" s="132">
        <f t="shared" ref="U245:U252" si="4">T245/$T$254</f>
        <v>0.50924124513618674</v>
      </c>
      <c r="V245" s="25"/>
      <c r="W245" s="25"/>
      <c r="X245" s="5"/>
    </row>
    <row r="246" spans="1:24" ht="15.6" x14ac:dyDescent="0.3">
      <c r="A246" s="24"/>
      <c r="B246" s="54" t="s">
        <v>91</v>
      </c>
      <c r="C246" s="93"/>
      <c r="D246" s="93"/>
      <c r="E246" s="93"/>
      <c r="F246" s="25"/>
      <c r="G246" s="94"/>
      <c r="H246" s="93"/>
      <c r="I246" s="93"/>
      <c r="J246" s="93"/>
      <c r="K246" s="93"/>
      <c r="L246" s="93"/>
      <c r="M246" s="93"/>
      <c r="N246" s="93"/>
      <c r="O246" s="93"/>
      <c r="P246" s="93"/>
      <c r="Q246" s="93"/>
      <c r="R246" s="54">
        <v>1</v>
      </c>
      <c r="S246" s="94">
        <f t="shared" si="3"/>
        <v>9.0909090909090912E-2</v>
      </c>
      <c r="T246" s="53">
        <v>144</v>
      </c>
      <c r="U246" s="132">
        <f t="shared" si="4"/>
        <v>7.0038910505836577E-2</v>
      </c>
      <c r="V246" s="25"/>
      <c r="W246" s="25"/>
      <c r="X246" s="5"/>
    </row>
    <row r="247" spans="1:24" ht="15.6" x14ac:dyDescent="0.3">
      <c r="A247" s="24"/>
      <c r="B247" s="54" t="s">
        <v>92</v>
      </c>
      <c r="C247" s="93"/>
      <c r="D247" s="93"/>
      <c r="E247" s="93"/>
      <c r="F247" s="25"/>
      <c r="G247" s="94"/>
      <c r="H247" s="93"/>
      <c r="I247" s="93"/>
      <c r="J247" s="93"/>
      <c r="K247" s="93"/>
      <c r="L247" s="93"/>
      <c r="M247" s="93"/>
      <c r="N247" s="93"/>
      <c r="O247" s="93"/>
      <c r="P247" s="93"/>
      <c r="Q247" s="93"/>
      <c r="R247" s="54">
        <v>1</v>
      </c>
      <c r="S247" s="94">
        <f t="shared" si="3"/>
        <v>9.0909090909090912E-2</v>
      </c>
      <c r="T247" s="53">
        <v>199</v>
      </c>
      <c r="U247" s="132">
        <f t="shared" si="4"/>
        <v>9.6789883268482493E-2</v>
      </c>
      <c r="V247" s="25"/>
      <c r="W247" s="25"/>
      <c r="X247" s="5"/>
    </row>
    <row r="248" spans="1:24" ht="15.6" x14ac:dyDescent="0.3">
      <c r="A248" s="24"/>
      <c r="B248" s="54" t="s">
        <v>161</v>
      </c>
      <c r="C248" s="93"/>
      <c r="D248" s="93"/>
      <c r="E248" s="93"/>
      <c r="F248" s="25"/>
      <c r="G248" s="94"/>
      <c r="H248" s="93"/>
      <c r="I248" s="93"/>
      <c r="J248" s="93"/>
      <c r="K248" s="93"/>
      <c r="L248" s="93"/>
      <c r="M248" s="93"/>
      <c r="N248" s="93"/>
      <c r="O248" s="93"/>
      <c r="P248" s="93"/>
      <c r="Q248" s="93"/>
      <c r="R248" s="54">
        <v>0</v>
      </c>
      <c r="S248" s="94">
        <f t="shared" si="3"/>
        <v>0</v>
      </c>
      <c r="T248" s="53">
        <v>0</v>
      </c>
      <c r="U248" s="132">
        <f t="shared" si="4"/>
        <v>0</v>
      </c>
      <c r="V248" s="25"/>
      <c r="W248" s="25"/>
      <c r="X248" s="5"/>
    </row>
    <row r="249" spans="1:24" ht="15.6" x14ac:dyDescent="0.3">
      <c r="A249" s="24"/>
      <c r="B249" s="54" t="s">
        <v>162</v>
      </c>
      <c r="C249" s="93"/>
      <c r="D249" s="93"/>
      <c r="E249" s="93"/>
      <c r="F249" s="25"/>
      <c r="G249" s="94"/>
      <c r="H249" s="93"/>
      <c r="I249" s="93"/>
      <c r="J249" s="93"/>
      <c r="K249" s="93"/>
      <c r="L249" s="93"/>
      <c r="M249" s="93"/>
      <c r="N249" s="93"/>
      <c r="O249" s="93"/>
      <c r="P249" s="93"/>
      <c r="Q249" s="93"/>
      <c r="R249" s="54">
        <v>0</v>
      </c>
      <c r="S249" s="94">
        <f t="shared" si="3"/>
        <v>0</v>
      </c>
      <c r="T249" s="53">
        <v>0</v>
      </c>
      <c r="U249" s="132">
        <f t="shared" si="4"/>
        <v>0</v>
      </c>
      <c r="V249" s="25"/>
      <c r="W249" s="25"/>
      <c r="X249" s="5"/>
    </row>
    <row r="250" spans="1:24" ht="15.6" x14ac:dyDescent="0.3">
      <c r="A250" s="24"/>
      <c r="B250" s="54" t="s">
        <v>163</v>
      </c>
      <c r="C250" s="93"/>
      <c r="D250" s="93"/>
      <c r="E250" s="93"/>
      <c r="F250" s="25"/>
      <c r="G250" s="94"/>
      <c r="H250" s="93"/>
      <c r="I250" s="93"/>
      <c r="J250" s="93"/>
      <c r="K250" s="93"/>
      <c r="L250" s="93"/>
      <c r="M250" s="93"/>
      <c r="N250" s="93"/>
      <c r="O250" s="93"/>
      <c r="P250" s="93"/>
      <c r="Q250" s="93"/>
      <c r="R250" s="54">
        <v>0</v>
      </c>
      <c r="S250" s="94">
        <f t="shared" si="3"/>
        <v>0</v>
      </c>
      <c r="T250" s="53">
        <v>0</v>
      </c>
      <c r="U250" s="132">
        <f t="shared" si="4"/>
        <v>0</v>
      </c>
      <c r="V250" s="25"/>
      <c r="W250" s="25"/>
      <c r="X250" s="5"/>
    </row>
    <row r="251" spans="1:24" ht="15.6" x14ac:dyDescent="0.3">
      <c r="A251" s="24"/>
      <c r="B251" s="54" t="s">
        <v>164</v>
      </c>
      <c r="C251" s="93"/>
      <c r="D251" s="93"/>
      <c r="E251" s="93"/>
      <c r="F251" s="25"/>
      <c r="G251" s="94"/>
      <c r="H251" s="93"/>
      <c r="I251" s="93"/>
      <c r="J251" s="93"/>
      <c r="K251" s="93"/>
      <c r="L251" s="93"/>
      <c r="M251" s="93"/>
      <c r="N251" s="93"/>
      <c r="O251" s="93"/>
      <c r="P251" s="93"/>
      <c r="Q251" s="93"/>
      <c r="R251" s="54">
        <v>3</v>
      </c>
      <c r="S251" s="94">
        <f t="shared" si="3"/>
        <v>0.27272727272727271</v>
      </c>
      <c r="T251" s="53">
        <v>546</v>
      </c>
      <c r="U251" s="132">
        <f t="shared" si="4"/>
        <v>0.26556420233463035</v>
      </c>
      <c r="V251" s="25"/>
      <c r="W251" s="25"/>
      <c r="X251" s="5"/>
    </row>
    <row r="252" spans="1:24" ht="15.6" x14ac:dyDescent="0.3">
      <c r="A252" s="24"/>
      <c r="B252" s="54" t="s">
        <v>165</v>
      </c>
      <c r="C252" s="93"/>
      <c r="D252" s="93"/>
      <c r="E252" s="93"/>
      <c r="F252" s="25"/>
      <c r="G252" s="94"/>
      <c r="H252" s="93"/>
      <c r="I252" s="93"/>
      <c r="J252" s="93"/>
      <c r="K252" s="93"/>
      <c r="L252" s="93"/>
      <c r="M252" s="93"/>
      <c r="N252" s="93"/>
      <c r="O252" s="93"/>
      <c r="P252" s="93"/>
      <c r="Q252" s="93"/>
      <c r="R252" s="54">
        <v>1</v>
      </c>
      <c r="S252" s="94">
        <f t="shared" si="3"/>
        <v>9.0909090909090912E-2</v>
      </c>
      <c r="T252" s="53">
        <v>120</v>
      </c>
      <c r="U252" s="132">
        <f t="shared" si="4"/>
        <v>5.8365758754863814E-2</v>
      </c>
      <c r="V252" s="25"/>
      <c r="W252" s="25"/>
      <c r="X252" s="5"/>
    </row>
    <row r="253" spans="1:24" ht="15.6" x14ac:dyDescent="0.3">
      <c r="A253" s="24"/>
      <c r="B253" s="54"/>
      <c r="C253" s="93"/>
      <c r="D253" s="93"/>
      <c r="E253" s="93"/>
      <c r="F253" s="25"/>
      <c r="G253" s="94"/>
      <c r="H253" s="93"/>
      <c r="I253" s="93"/>
      <c r="J253" s="93"/>
      <c r="K253" s="93"/>
      <c r="L253" s="93"/>
      <c r="M253" s="93"/>
      <c r="N253" s="93"/>
      <c r="O253" s="93"/>
      <c r="P253" s="93"/>
      <c r="Q253" s="93"/>
      <c r="R253" s="54"/>
      <c r="S253" s="94"/>
      <c r="T253" s="53"/>
      <c r="U253" s="132"/>
      <c r="V253" s="25"/>
      <c r="W253" s="25"/>
      <c r="X253" s="5"/>
    </row>
    <row r="254" spans="1:24" ht="15.6" x14ac:dyDescent="0.3">
      <c r="A254" s="24"/>
      <c r="B254" s="25"/>
      <c r="C254" s="25"/>
      <c r="D254" s="25"/>
      <c r="E254" s="25"/>
      <c r="F254" s="25"/>
      <c r="G254" s="25"/>
      <c r="H254" s="95"/>
      <c r="I254" s="95"/>
      <c r="J254" s="95"/>
      <c r="K254" s="95"/>
      <c r="L254" s="95"/>
      <c r="M254" s="95"/>
      <c r="N254" s="95"/>
      <c r="O254" s="95"/>
      <c r="P254" s="95"/>
      <c r="Q254" s="95"/>
      <c r="R254" s="34">
        <f>SUM(R245:R253)</f>
        <v>11</v>
      </c>
      <c r="S254" s="132">
        <f>SUM(S245:S253)</f>
        <v>1</v>
      </c>
      <c r="T254" s="53">
        <f>SUM(T245:T253)</f>
        <v>2056</v>
      </c>
      <c r="U254" s="132">
        <f>SUM(U245:U253)</f>
        <v>1</v>
      </c>
      <c r="V254" s="25"/>
      <c r="W254" s="25"/>
      <c r="X254" s="5"/>
    </row>
    <row r="255" spans="1:24" ht="15.6" x14ac:dyDescent="0.3">
      <c r="A255" s="24"/>
      <c r="B255" s="25"/>
      <c r="C255" s="25"/>
      <c r="D255" s="25"/>
      <c r="E255" s="25"/>
      <c r="F255" s="25"/>
      <c r="G255" s="25"/>
      <c r="H255" s="95"/>
      <c r="I255" s="95"/>
      <c r="J255" s="95"/>
      <c r="K255" s="95"/>
      <c r="L255" s="95"/>
      <c r="M255" s="95"/>
      <c r="N255" s="95"/>
      <c r="O255" s="95"/>
      <c r="P255" s="95"/>
      <c r="Q255" s="95"/>
      <c r="R255" s="34"/>
      <c r="S255" s="132"/>
      <c r="T255" s="53"/>
      <c r="U255" s="132"/>
      <c r="V255" s="25"/>
      <c r="W255" s="25"/>
      <c r="X255" s="5"/>
    </row>
    <row r="256" spans="1:24" ht="15.6" x14ac:dyDescent="0.3">
      <c r="A256" s="141"/>
      <c r="B256" s="14" t="s">
        <v>169</v>
      </c>
      <c r="C256" s="139"/>
      <c r="D256" s="139"/>
      <c r="E256" s="139"/>
      <c r="F256" s="139"/>
      <c r="G256" s="139"/>
      <c r="H256" s="145"/>
      <c r="I256" s="145"/>
      <c r="J256" s="145"/>
      <c r="K256" s="145"/>
      <c r="L256" s="145"/>
      <c r="M256" s="145"/>
      <c r="N256" s="145"/>
      <c r="O256" s="145"/>
      <c r="P256" s="145"/>
      <c r="Q256" s="145"/>
      <c r="R256" s="83" t="s">
        <v>104</v>
      </c>
      <c r="S256" s="17" t="s">
        <v>105</v>
      </c>
      <c r="T256" s="83" t="s">
        <v>113</v>
      </c>
      <c r="U256" s="17" t="s">
        <v>105</v>
      </c>
      <c r="V256" s="139"/>
      <c r="W256" s="140"/>
      <c r="X256" s="5"/>
    </row>
    <row r="257" spans="1:24" ht="15.6" x14ac:dyDescent="0.3">
      <c r="A257" s="24"/>
      <c r="B257" s="54" t="s">
        <v>90</v>
      </c>
      <c r="C257" s="25"/>
      <c r="D257" s="25"/>
      <c r="E257" s="25"/>
      <c r="F257" s="25"/>
      <c r="G257" s="25"/>
      <c r="H257" s="95"/>
      <c r="I257" s="95"/>
      <c r="J257" s="95"/>
      <c r="K257" s="95"/>
      <c r="L257" s="95"/>
      <c r="M257" s="95"/>
      <c r="N257" s="95"/>
      <c r="O257" s="95"/>
      <c r="P257" s="95"/>
      <c r="Q257" s="95"/>
      <c r="R257" s="54">
        <v>0</v>
      </c>
      <c r="S257" s="94">
        <v>0</v>
      </c>
      <c r="T257" s="53">
        <v>0</v>
      </c>
      <c r="U257" s="132">
        <v>0</v>
      </c>
      <c r="V257" s="25"/>
      <c r="W257" s="25"/>
      <c r="X257" s="5"/>
    </row>
    <row r="258" spans="1:24" ht="15.6" x14ac:dyDescent="0.3">
      <c r="A258" s="24"/>
      <c r="B258" s="54" t="s">
        <v>91</v>
      </c>
      <c r="C258" s="25"/>
      <c r="D258" s="25"/>
      <c r="E258" s="25"/>
      <c r="F258" s="25"/>
      <c r="G258" s="25"/>
      <c r="H258" s="95"/>
      <c r="I258" s="95"/>
      <c r="J258" s="95"/>
      <c r="K258" s="95"/>
      <c r="L258" s="95"/>
      <c r="M258" s="95"/>
      <c r="N258" s="95"/>
      <c r="O258" s="95"/>
      <c r="P258" s="95"/>
      <c r="Q258" s="95"/>
      <c r="R258" s="54">
        <v>0</v>
      </c>
      <c r="S258" s="94">
        <v>0</v>
      </c>
      <c r="T258" s="53">
        <v>0</v>
      </c>
      <c r="U258" s="132">
        <v>0</v>
      </c>
      <c r="V258" s="25"/>
      <c r="W258" s="25"/>
      <c r="X258" s="5"/>
    </row>
    <row r="259" spans="1:24" ht="15.6" x14ac:dyDescent="0.3">
      <c r="A259" s="24"/>
      <c r="B259" s="54" t="s">
        <v>92</v>
      </c>
      <c r="C259" s="25"/>
      <c r="D259" s="25"/>
      <c r="E259" s="25"/>
      <c r="F259" s="25"/>
      <c r="G259" s="25"/>
      <c r="H259" s="95"/>
      <c r="I259" s="95"/>
      <c r="J259" s="95"/>
      <c r="K259" s="95"/>
      <c r="L259" s="95"/>
      <c r="M259" s="95"/>
      <c r="N259" s="95"/>
      <c r="O259" s="95"/>
      <c r="P259" s="95"/>
      <c r="Q259" s="95"/>
      <c r="R259" s="54">
        <v>0</v>
      </c>
      <c r="S259" s="94">
        <v>0</v>
      </c>
      <c r="T259" s="53">
        <v>0</v>
      </c>
      <c r="U259" s="132">
        <v>0</v>
      </c>
      <c r="V259" s="25"/>
      <c r="W259" s="25"/>
      <c r="X259" s="5"/>
    </row>
    <row r="260" spans="1:24" ht="15.6" x14ac:dyDescent="0.3">
      <c r="A260" s="24"/>
      <c r="B260" s="54" t="s">
        <v>161</v>
      </c>
      <c r="C260" s="25"/>
      <c r="D260" s="25"/>
      <c r="E260" s="25"/>
      <c r="F260" s="25"/>
      <c r="G260" s="25"/>
      <c r="H260" s="95"/>
      <c r="I260" s="95"/>
      <c r="J260" s="95"/>
      <c r="K260" s="95"/>
      <c r="L260" s="95"/>
      <c r="M260" s="95"/>
      <c r="N260" s="95"/>
      <c r="O260" s="95"/>
      <c r="P260" s="95"/>
      <c r="Q260" s="95"/>
      <c r="R260" s="54">
        <v>0</v>
      </c>
      <c r="S260" s="94">
        <v>0</v>
      </c>
      <c r="T260" s="53">
        <v>0</v>
      </c>
      <c r="U260" s="132">
        <v>0</v>
      </c>
      <c r="V260" s="25"/>
      <c r="W260" s="25"/>
      <c r="X260" s="5"/>
    </row>
    <row r="261" spans="1:24" ht="15.6" x14ac:dyDescent="0.3">
      <c r="A261" s="24"/>
      <c r="B261" s="54" t="s">
        <v>162</v>
      </c>
      <c r="C261" s="25"/>
      <c r="D261" s="25"/>
      <c r="E261" s="25"/>
      <c r="F261" s="25"/>
      <c r="G261" s="25"/>
      <c r="H261" s="95"/>
      <c r="I261" s="95"/>
      <c r="J261" s="95"/>
      <c r="K261" s="95"/>
      <c r="L261" s="95"/>
      <c r="M261" s="95"/>
      <c r="N261" s="95"/>
      <c r="O261" s="95"/>
      <c r="P261" s="95"/>
      <c r="Q261" s="95"/>
      <c r="R261" s="54">
        <v>0</v>
      </c>
      <c r="S261" s="94">
        <v>0</v>
      </c>
      <c r="T261" s="53">
        <v>0</v>
      </c>
      <c r="U261" s="132">
        <v>0</v>
      </c>
      <c r="V261" s="25"/>
      <c r="W261" s="25"/>
      <c r="X261" s="5"/>
    </row>
    <row r="262" spans="1:24" ht="15.6" x14ac:dyDescent="0.3">
      <c r="A262" s="24"/>
      <c r="B262" s="54" t="s">
        <v>163</v>
      </c>
      <c r="C262" s="25"/>
      <c r="D262" s="25"/>
      <c r="E262" s="25"/>
      <c r="F262" s="25"/>
      <c r="G262" s="25"/>
      <c r="H262" s="95"/>
      <c r="I262" s="95"/>
      <c r="J262" s="95"/>
      <c r="K262" s="95"/>
      <c r="L262" s="95"/>
      <c r="M262" s="95"/>
      <c r="N262" s="95"/>
      <c r="O262" s="95"/>
      <c r="P262" s="95"/>
      <c r="Q262" s="95"/>
      <c r="R262" s="54">
        <v>0</v>
      </c>
      <c r="S262" s="94">
        <v>0</v>
      </c>
      <c r="T262" s="53">
        <v>0</v>
      </c>
      <c r="U262" s="132">
        <v>0</v>
      </c>
      <c r="V262" s="25"/>
      <c r="W262" s="25"/>
      <c r="X262" s="5"/>
    </row>
    <row r="263" spans="1:24" ht="15.6" x14ac:dyDescent="0.3">
      <c r="A263" s="24"/>
      <c r="B263" s="54" t="s">
        <v>164</v>
      </c>
      <c r="C263" s="25"/>
      <c r="D263" s="25"/>
      <c r="E263" s="25"/>
      <c r="F263" s="25"/>
      <c r="G263" s="25"/>
      <c r="H263" s="95"/>
      <c r="I263" s="95"/>
      <c r="J263" s="95"/>
      <c r="K263" s="95"/>
      <c r="L263" s="95"/>
      <c r="M263" s="95"/>
      <c r="N263" s="95"/>
      <c r="O263" s="95"/>
      <c r="P263" s="95"/>
      <c r="Q263" s="95"/>
      <c r="R263" s="54">
        <v>0</v>
      </c>
      <c r="S263" s="94">
        <v>0</v>
      </c>
      <c r="T263" s="53">
        <v>0</v>
      </c>
      <c r="U263" s="132">
        <v>0</v>
      </c>
      <c r="V263" s="25"/>
      <c r="W263" s="25"/>
      <c r="X263" s="5"/>
    </row>
    <row r="264" spans="1:24" ht="15.6" x14ac:dyDescent="0.3">
      <c r="A264" s="24"/>
      <c r="B264" s="54" t="s">
        <v>165</v>
      </c>
      <c r="C264" s="25"/>
      <c r="D264" s="25"/>
      <c r="E264" s="25"/>
      <c r="F264" s="25"/>
      <c r="G264" s="25"/>
      <c r="H264" s="95"/>
      <c r="I264" s="95"/>
      <c r="J264" s="95"/>
      <c r="K264" s="95"/>
      <c r="L264" s="95"/>
      <c r="M264" s="95"/>
      <c r="N264" s="95"/>
      <c r="O264" s="95"/>
      <c r="P264" s="95"/>
      <c r="Q264" s="95"/>
      <c r="R264" s="54">
        <v>0</v>
      </c>
      <c r="S264" s="94">
        <v>0</v>
      </c>
      <c r="T264" s="53">
        <v>0</v>
      </c>
      <c r="U264" s="132">
        <v>0</v>
      </c>
      <c r="V264" s="25"/>
      <c r="W264" s="25"/>
      <c r="X264" s="5"/>
    </row>
    <row r="265" spans="1:24" ht="15.6" x14ac:dyDescent="0.3">
      <c r="A265" s="24"/>
      <c r="B265" s="54"/>
      <c r="C265" s="25"/>
      <c r="D265" s="25"/>
      <c r="E265" s="25"/>
      <c r="F265" s="25"/>
      <c r="G265" s="25"/>
      <c r="H265" s="95"/>
      <c r="I265" s="95"/>
      <c r="J265" s="95"/>
      <c r="K265" s="95"/>
      <c r="L265" s="95"/>
      <c r="M265" s="95"/>
      <c r="N265" s="95"/>
      <c r="O265" s="95"/>
      <c r="P265" s="95"/>
      <c r="Q265" s="95"/>
      <c r="R265" s="54"/>
      <c r="S265" s="94"/>
      <c r="T265" s="53"/>
      <c r="U265" s="132"/>
      <c r="V265" s="25"/>
      <c r="W265" s="25"/>
      <c r="X265" s="5"/>
    </row>
    <row r="266" spans="1:24" ht="15.6" x14ac:dyDescent="0.3">
      <c r="A266" s="24"/>
      <c r="B266" s="25" t="s">
        <v>119</v>
      </c>
      <c r="C266" s="25"/>
      <c r="D266" s="25"/>
      <c r="E266" s="25"/>
      <c r="F266" s="25"/>
      <c r="G266" s="25"/>
      <c r="H266" s="95"/>
      <c r="I266" s="95"/>
      <c r="J266" s="95"/>
      <c r="K266" s="95"/>
      <c r="L266" s="95"/>
      <c r="M266" s="95"/>
      <c r="N266" s="95"/>
      <c r="O266" s="95"/>
      <c r="P266" s="95"/>
      <c r="Q266" s="95"/>
      <c r="R266" s="34">
        <f>SUM(R257:R264)</f>
        <v>0</v>
      </c>
      <c r="S266" s="94">
        <f>SUM(S257:S264)</f>
        <v>0</v>
      </c>
      <c r="T266" s="53">
        <f>SUM(T257:T264)</f>
        <v>0</v>
      </c>
      <c r="U266" s="132">
        <f>SUM(U257:U264)</f>
        <v>0</v>
      </c>
      <c r="V266" s="25"/>
      <c r="W266" s="25"/>
      <c r="X266" s="5"/>
    </row>
    <row r="267" spans="1:24" ht="15.6" x14ac:dyDescent="0.3">
      <c r="A267" s="24"/>
      <c r="B267" s="25"/>
      <c r="C267" s="25"/>
      <c r="D267" s="25"/>
      <c r="E267" s="25"/>
      <c r="F267" s="25"/>
      <c r="G267" s="25"/>
      <c r="H267" s="95"/>
      <c r="I267" s="95"/>
      <c r="J267" s="95"/>
      <c r="K267" s="95"/>
      <c r="L267" s="95"/>
      <c r="M267" s="95"/>
      <c r="N267" s="95"/>
      <c r="O267" s="95"/>
      <c r="P267" s="95"/>
      <c r="Q267" s="95"/>
      <c r="R267" s="34"/>
      <c r="S267" s="132"/>
      <c r="T267" s="53"/>
      <c r="U267" s="132"/>
      <c r="V267" s="25"/>
      <c r="W267" s="25"/>
      <c r="X267" s="5"/>
    </row>
    <row r="268" spans="1:24" ht="15.6" x14ac:dyDescent="0.3">
      <c r="A268" s="24"/>
      <c r="B268" s="142" t="s">
        <v>170</v>
      </c>
      <c r="C268" s="25"/>
      <c r="D268" s="25"/>
      <c r="E268" s="25"/>
      <c r="F268" s="25"/>
      <c r="G268" s="25"/>
      <c r="H268" s="95"/>
      <c r="I268" s="95"/>
      <c r="J268" s="95"/>
      <c r="K268" s="95"/>
      <c r="L268" s="95"/>
      <c r="M268" s="95"/>
      <c r="N268" s="95"/>
      <c r="O268" s="95"/>
      <c r="P268" s="95"/>
      <c r="Q268" s="95"/>
      <c r="R268" s="161">
        <f>R266+R254+R242</f>
        <v>10717</v>
      </c>
      <c r="S268" s="143"/>
      <c r="T268" s="144">
        <f>+T266+T254+T242</f>
        <v>1423468</v>
      </c>
      <c r="U268" s="143"/>
      <c r="V268" s="25"/>
      <c r="W268" s="25"/>
      <c r="X268" s="5"/>
    </row>
    <row r="269" spans="1:24" ht="15.6" x14ac:dyDescent="0.3">
      <c r="A269" s="24"/>
      <c r="B269" s="25"/>
      <c r="C269" s="25"/>
      <c r="D269" s="25"/>
      <c r="E269" s="25"/>
      <c r="F269" s="25"/>
      <c r="G269" s="25"/>
      <c r="H269" s="95"/>
      <c r="I269" s="95"/>
      <c r="J269" s="95"/>
      <c r="K269" s="95"/>
      <c r="L269" s="95"/>
      <c r="M269" s="95"/>
      <c r="N269" s="95"/>
      <c r="O269" s="95"/>
      <c r="P269" s="95"/>
      <c r="Q269" s="95"/>
      <c r="R269" s="95"/>
      <c r="S269" s="95"/>
      <c r="T269" s="53"/>
      <c r="U269" s="95"/>
      <c r="V269" s="25"/>
      <c r="W269" s="25"/>
      <c r="X269" s="5"/>
    </row>
    <row r="270" spans="1:24" ht="15.6" x14ac:dyDescent="0.3">
      <c r="A270" s="6"/>
      <c r="B270" s="8"/>
      <c r="C270" s="8"/>
      <c r="D270" s="8"/>
      <c r="E270" s="8"/>
      <c r="F270" s="8"/>
      <c r="G270" s="8"/>
      <c r="H270" s="96"/>
      <c r="I270" s="96"/>
      <c r="J270" s="96"/>
      <c r="K270" s="96"/>
      <c r="L270" s="96"/>
      <c r="M270" s="96"/>
      <c r="N270" s="96"/>
      <c r="O270" s="96"/>
      <c r="P270" s="96"/>
      <c r="Q270" s="96"/>
      <c r="R270" s="96"/>
      <c r="S270" s="96"/>
      <c r="T270" s="97"/>
      <c r="U270" s="96"/>
      <c r="V270" s="8"/>
      <c r="W270" s="8"/>
      <c r="X270" s="5"/>
    </row>
    <row r="271" spans="1:24" ht="15.6" x14ac:dyDescent="0.3">
      <c r="A271" s="167"/>
      <c r="B271" s="14" t="s">
        <v>93</v>
      </c>
      <c r="C271" s="15"/>
      <c r="D271" s="15"/>
      <c r="E271" s="15"/>
      <c r="F271" s="17" t="s">
        <v>99</v>
      </c>
      <c r="G271" s="15"/>
      <c r="H271" s="14" t="s">
        <v>101</v>
      </c>
      <c r="I271" s="162"/>
      <c r="J271" s="162"/>
      <c r="K271" s="162"/>
      <c r="L271" s="162"/>
      <c r="M271" s="162"/>
      <c r="N271" s="162"/>
      <c r="O271" s="162"/>
      <c r="P271" s="162"/>
      <c r="Q271" s="162"/>
      <c r="R271" s="162"/>
      <c r="S271" s="162"/>
      <c r="T271" s="162"/>
      <c r="U271" s="162"/>
      <c r="V271" s="162"/>
      <c r="W271" s="162"/>
      <c r="X271" s="5"/>
    </row>
    <row r="272" spans="1:24" ht="15.6" x14ac:dyDescent="0.3">
      <c r="A272" s="167"/>
      <c r="B272" s="162"/>
      <c r="C272" s="8"/>
      <c r="D272" s="8"/>
      <c r="E272" s="8"/>
      <c r="F272" s="8"/>
      <c r="G272" s="8"/>
      <c r="H272" s="8"/>
      <c r="I272" s="162"/>
      <c r="J272" s="162"/>
      <c r="K272" s="162"/>
      <c r="L272" s="162"/>
      <c r="M272" s="162"/>
      <c r="N272" s="162"/>
      <c r="O272" s="162"/>
      <c r="P272" s="162"/>
      <c r="Q272" s="162"/>
      <c r="R272" s="162"/>
      <c r="S272" s="162"/>
      <c r="T272" s="162"/>
      <c r="U272" s="162"/>
      <c r="V272" s="162"/>
      <c r="W272" s="162"/>
      <c r="X272" s="5"/>
    </row>
    <row r="273" spans="1:24" ht="15.6" x14ac:dyDescent="0.3">
      <c r="A273" s="167"/>
      <c r="B273" s="13" t="s">
        <v>94</v>
      </c>
      <c r="C273" s="13"/>
      <c r="D273" s="13"/>
      <c r="E273" s="13"/>
      <c r="F273" s="130" t="s">
        <v>153</v>
      </c>
      <c r="G273" s="13"/>
      <c r="H273" s="13" t="s">
        <v>157</v>
      </c>
      <c r="I273" s="162"/>
      <c r="J273" s="162"/>
      <c r="K273" s="162"/>
      <c r="L273" s="162"/>
      <c r="M273" s="162"/>
      <c r="N273" s="162"/>
      <c r="O273" s="162"/>
      <c r="P273" s="162"/>
      <c r="Q273" s="162"/>
      <c r="R273" s="162"/>
      <c r="S273" s="162"/>
      <c r="T273" s="162"/>
      <c r="U273" s="162"/>
      <c r="V273" s="162"/>
      <c r="W273" s="162"/>
      <c r="X273" s="5"/>
    </row>
    <row r="274" spans="1:24" ht="15.6" x14ac:dyDescent="0.3">
      <c r="A274" s="167"/>
      <c r="B274" s="13" t="s">
        <v>277</v>
      </c>
      <c r="C274" s="13"/>
      <c r="D274" s="13"/>
      <c r="E274" s="13"/>
      <c r="F274" s="130" t="s">
        <v>278</v>
      </c>
      <c r="G274" s="13"/>
      <c r="H274" s="13" t="s">
        <v>279</v>
      </c>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95</v>
      </c>
      <c r="C275" s="13"/>
      <c r="D275" s="13"/>
      <c r="E275" s="13"/>
      <c r="F275" s="130" t="s">
        <v>152</v>
      </c>
      <c r="G275" s="13"/>
      <c r="H275" s="13" t="s">
        <v>158</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c r="C276" s="13"/>
      <c r="D276" s="13"/>
      <c r="E276" s="13"/>
      <c r="F276" s="13"/>
      <c r="G276" s="99"/>
      <c r="H276" s="162"/>
      <c r="I276" s="162"/>
      <c r="J276" s="162"/>
      <c r="K276" s="162"/>
      <c r="L276" s="162"/>
      <c r="M276" s="162"/>
      <c r="N276" s="162"/>
      <c r="O276" s="162"/>
      <c r="P276" s="162"/>
      <c r="Q276" s="162"/>
      <c r="R276" s="162"/>
      <c r="S276" s="162"/>
      <c r="T276" s="162"/>
      <c r="U276" s="162"/>
      <c r="V276" s="162"/>
      <c r="W276" s="162"/>
      <c r="X276" s="5"/>
    </row>
    <row r="277" spans="1:24" ht="18" thickBot="1" x14ac:dyDescent="0.35">
      <c r="A277" s="167"/>
      <c r="B277" s="49" t="str">
        <f>B194</f>
        <v>PM12 INVESTOR REPORT QUARTER ENDING APRIL 2007</v>
      </c>
      <c r="C277" s="13"/>
      <c r="D277" s="13"/>
      <c r="E277" s="13"/>
      <c r="F277" s="13"/>
      <c r="G277" s="99"/>
      <c r="H277" s="162"/>
      <c r="I277" s="162"/>
      <c r="J277" s="162"/>
      <c r="K277" s="162"/>
      <c r="L277" s="162"/>
      <c r="M277" s="162"/>
      <c r="N277" s="162"/>
      <c r="O277" s="162"/>
      <c r="P277" s="162"/>
      <c r="Q277" s="162"/>
      <c r="R277" s="162"/>
      <c r="S277" s="162"/>
      <c r="T277" s="162"/>
      <c r="U277" s="162"/>
      <c r="V277" s="162"/>
      <c r="W277" s="162"/>
      <c r="X277" s="5"/>
    </row>
    <row r="278" spans="1:24" x14ac:dyDescent="0.25">
      <c r="A278" s="100"/>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row>
  </sheetData>
  <phoneticPr fontId="0" type="noConversion"/>
  <hyperlinks>
    <hyperlink ref="P230" r:id="rId1" xr:uid="{00000000-0004-0000-0200-000000000000}"/>
    <hyperlink ref="I9" r:id="rId2" xr:uid="{00000000-0004-0000-02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5" max="14" man="1"/>
    <brk id="194" max="14" man="1"/>
  </rowBreaks>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2D2926"/>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0.64959999999999996</v>
      </c>
      <c r="T16" s="381" t="s">
        <v>145</v>
      </c>
      <c r="U16" s="380">
        <v>0.35039999999999999</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41694</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316</v>
      </c>
      <c r="E27" s="285"/>
      <c r="F27" s="285" t="s">
        <v>317</v>
      </c>
      <c r="G27" s="285"/>
      <c r="H27" s="285" t="s">
        <v>317</v>
      </c>
      <c r="I27" s="285"/>
      <c r="J27" s="285" t="s">
        <v>317</v>
      </c>
      <c r="K27" s="285"/>
      <c r="L27" s="285" t="s">
        <v>149</v>
      </c>
      <c r="M27" s="285"/>
      <c r="N27" s="285" t="s">
        <v>149</v>
      </c>
      <c r="O27" s="285"/>
      <c r="P27" s="285" t="s">
        <v>318</v>
      </c>
      <c r="Q27" s="285"/>
      <c r="R27" s="285" t="s">
        <v>318</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865188.29999999993</v>
      </c>
      <c r="E32" s="289"/>
      <c r="F32" s="290">
        <f>F31*F38</f>
        <v>83635.013999999996</v>
      </c>
      <c r="G32" s="290"/>
      <c r="H32" s="295">
        <f>H31*H38</f>
        <v>141314.334</v>
      </c>
      <c r="I32" s="295"/>
      <c r="J32" s="294">
        <f>J31*J38</f>
        <v>179382.37419999999</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854893.64999999991</v>
      </c>
      <c r="E33" s="301"/>
      <c r="F33" s="303">
        <f>F37*F31</f>
        <v>82639.879000000001</v>
      </c>
      <c r="G33" s="303"/>
      <c r="H33" s="384">
        <f>H31*H37</f>
        <v>139632.899</v>
      </c>
      <c r="I33" s="384"/>
      <c r="J33" s="383">
        <f>J37*J31</f>
        <v>177247.95009999999</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470210.80690739996</v>
      </c>
      <c r="E35" s="289"/>
      <c r="F35" s="290">
        <f>F34*F38</f>
        <v>83635.013999999996</v>
      </c>
      <c r="G35" s="290"/>
      <c r="H35" s="290">
        <f>H34*H38</f>
        <v>97458.439831199998</v>
      </c>
      <c r="I35" s="290"/>
      <c r="J35" s="290">
        <f>J34*J38</f>
        <v>97490.571228399989</v>
      </c>
      <c r="K35" s="290"/>
      <c r="L35" s="290">
        <f>+L34</f>
        <v>25000</v>
      </c>
      <c r="M35" s="290"/>
      <c r="N35" s="290">
        <f>+N34</f>
        <v>86897</v>
      </c>
      <c r="O35" s="290"/>
      <c r="P35" s="290">
        <f>+P34</f>
        <v>17000</v>
      </c>
      <c r="Q35" s="290"/>
      <c r="R35" s="290">
        <f>+R34</f>
        <v>73103</v>
      </c>
      <c r="S35" s="290"/>
      <c r="T35" s="290"/>
      <c r="U35" s="291"/>
      <c r="V35" s="290">
        <f>SUM(C35:R35)</f>
        <v>950794.83196700003</v>
      </c>
      <c r="W35" s="292"/>
      <c r="X35" s="5"/>
    </row>
    <row r="36" spans="1:24" ht="15.6" x14ac:dyDescent="0.3">
      <c r="A36" s="283"/>
      <c r="B36" s="288" t="s">
        <v>295</v>
      </c>
      <c r="C36" s="301"/>
      <c r="D36" s="303">
        <f>D34*D37</f>
        <v>464615.89111469995</v>
      </c>
      <c r="E36" s="301"/>
      <c r="F36" s="303">
        <f>F34*F37</f>
        <v>82639.879000000001</v>
      </c>
      <c r="G36" s="303"/>
      <c r="H36" s="303">
        <f>H34*H37</f>
        <v>96298.82617320001</v>
      </c>
      <c r="I36" s="303"/>
      <c r="J36" s="303">
        <f>J34*J37</f>
        <v>96330.556340199997</v>
      </c>
      <c r="K36" s="303"/>
      <c r="L36" s="303">
        <f>+L34</f>
        <v>25000</v>
      </c>
      <c r="M36" s="303"/>
      <c r="N36" s="303">
        <f>+N34</f>
        <v>86897</v>
      </c>
      <c r="O36" s="303"/>
      <c r="P36" s="303">
        <f>+P34</f>
        <v>17000</v>
      </c>
      <c r="Q36" s="303"/>
      <c r="R36" s="303">
        <f>+R34</f>
        <v>73103</v>
      </c>
      <c r="S36" s="302"/>
      <c r="T36" s="302"/>
      <c r="U36" s="291"/>
      <c r="V36" s="303">
        <f>SUM(C36:R36)</f>
        <v>941885.15262810001</v>
      </c>
      <c r="W36" s="292"/>
      <c r="X36" s="5"/>
    </row>
    <row r="37" spans="1:24" ht="15.6" x14ac:dyDescent="0.3">
      <c r="A37" s="278"/>
      <c r="B37" s="304" t="s">
        <v>135</v>
      </c>
      <c r="C37" s="305"/>
      <c r="D37" s="306">
        <v>0.56992909999999997</v>
      </c>
      <c r="E37" s="307"/>
      <c r="F37" s="306">
        <v>0.56993020000000005</v>
      </c>
      <c r="G37" s="306"/>
      <c r="H37" s="306">
        <v>0.56993020000000005</v>
      </c>
      <c r="I37" s="306"/>
      <c r="J37" s="306">
        <v>0.56992909999999997</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0.57679219999999998</v>
      </c>
      <c r="E38" s="307"/>
      <c r="F38" s="306">
        <v>0.57679320000000001</v>
      </c>
      <c r="G38" s="306"/>
      <c r="H38" s="306">
        <v>0.57679320000000001</v>
      </c>
      <c r="I38" s="306"/>
      <c r="J38" s="306">
        <v>0.57679219999999998</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4.0000000000000001E-3</v>
      </c>
      <c r="E40" s="279"/>
      <c r="F40" s="314">
        <v>7.6406E-3</v>
      </c>
      <c r="G40" s="313"/>
      <c r="H40" s="314">
        <v>4.5799999999999999E-3</v>
      </c>
      <c r="I40" s="314"/>
      <c r="J40" s="314">
        <v>4.6059999999999999E-3</v>
      </c>
      <c r="K40" s="313"/>
      <c r="L40" s="314">
        <v>1.00406E-2</v>
      </c>
      <c r="M40" s="313"/>
      <c r="N40" s="314">
        <v>6.9800000000000001E-3</v>
      </c>
      <c r="O40" s="313"/>
      <c r="P40" s="314">
        <v>1.44406E-2</v>
      </c>
      <c r="Q40" s="313"/>
      <c r="R40" s="314">
        <v>1.1379999999999999E-2</v>
      </c>
      <c r="S40" s="313"/>
      <c r="T40" s="314"/>
      <c r="U40" s="281"/>
      <c r="V40" s="287"/>
      <c r="W40" s="282"/>
      <c r="X40" s="5"/>
    </row>
    <row r="41" spans="1:24" ht="15.6" x14ac:dyDescent="0.3">
      <c r="A41" s="278"/>
      <c r="B41" s="279" t="s">
        <v>13</v>
      </c>
      <c r="C41" s="279"/>
      <c r="D41" s="314">
        <v>4.1399999999999996E-3</v>
      </c>
      <c r="E41" s="279"/>
      <c r="F41" s="314">
        <v>7.5249999999999996E-3</v>
      </c>
      <c r="G41" s="313"/>
      <c r="H41" s="314">
        <v>4.6499999999999996E-3</v>
      </c>
      <c r="I41" s="314"/>
      <c r="J41" s="314">
        <v>4.8419999999999999E-3</v>
      </c>
      <c r="K41" s="313"/>
      <c r="L41" s="314">
        <v>9.9249999999999998E-3</v>
      </c>
      <c r="M41" s="313"/>
      <c r="N41" s="314">
        <v>7.0499999999999998E-3</v>
      </c>
      <c r="O41" s="313"/>
      <c r="P41" s="314">
        <v>1.4324999999999999E-2</v>
      </c>
      <c r="Q41" s="313"/>
      <c r="R41" s="314">
        <v>1.145E-2</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7.8548999999999997E-3</v>
      </c>
      <c r="E43" s="314"/>
      <c r="F43" s="314">
        <f>+F40</f>
        <v>7.6406E-3</v>
      </c>
      <c r="G43" s="314"/>
      <c r="H43" s="314">
        <v>7.5626000000000001E-3</v>
      </c>
      <c r="I43" s="314"/>
      <c r="J43" s="314">
        <v>7.8046000000000001E-3</v>
      </c>
      <c r="K43" s="314"/>
      <c r="L43" s="314">
        <f>+L40</f>
        <v>1.00406E-2</v>
      </c>
      <c r="M43" s="314"/>
      <c r="N43" s="314">
        <v>1.0242599999999999E-2</v>
      </c>
      <c r="O43" s="314"/>
      <c r="P43" s="314">
        <f>+P40</f>
        <v>1.44406E-2</v>
      </c>
      <c r="Q43" s="313"/>
      <c r="R43" s="314">
        <v>1.49126E-2</v>
      </c>
      <c r="S43" s="287"/>
      <c r="T43" s="287"/>
      <c r="U43" s="281"/>
      <c r="V43" s="313">
        <f>SUMPRODUCT(D43:R43,D35:R35)/V35</f>
        <v>8.737013070670813E-3</v>
      </c>
      <c r="W43" s="282"/>
      <c r="X43" s="5"/>
    </row>
    <row r="44" spans="1:24" ht="15.6" x14ac:dyDescent="0.3">
      <c r="A44" s="278"/>
      <c r="B44" s="279" t="s">
        <v>298</v>
      </c>
      <c r="C44" s="315"/>
      <c r="D44" s="314">
        <v>7.7393000000000002E-3</v>
      </c>
      <c r="E44" s="314"/>
      <c r="F44" s="314">
        <f>+F41</f>
        <v>7.5249999999999996E-3</v>
      </c>
      <c r="G44" s="314"/>
      <c r="H44" s="314">
        <v>7.4469999999999996E-3</v>
      </c>
      <c r="I44" s="314"/>
      <c r="J44" s="314">
        <v>7.6889999999999997E-3</v>
      </c>
      <c r="K44" s="314"/>
      <c r="L44" s="314">
        <f>+L41</f>
        <v>9.9249999999999998E-3</v>
      </c>
      <c r="M44" s="314"/>
      <c r="N44" s="314">
        <v>1.0127000000000001E-2</v>
      </c>
      <c r="O44" s="314"/>
      <c r="P44" s="314">
        <f>+P41</f>
        <v>1.4324999999999999E-2</v>
      </c>
      <c r="Q44" s="313"/>
      <c r="R44" s="314">
        <v>1.4796999999999999E-2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0.27301534472274291</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41688</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92</v>
      </c>
      <c r="S57" s="279"/>
      <c r="T57" s="325">
        <v>41501</v>
      </c>
      <c r="U57" s="326"/>
      <c r="V57" s="325">
        <v>41592</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95</v>
      </c>
      <c r="S58" s="279"/>
      <c r="T58" s="325">
        <v>41593</v>
      </c>
      <c r="U58" s="326"/>
      <c r="V58" s="325">
        <v>41687</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41673</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330</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950795</v>
      </c>
      <c r="O68" s="329"/>
      <c r="P68" s="329">
        <f>8910+55+26</f>
        <v>8991</v>
      </c>
      <c r="Q68" s="329"/>
      <c r="R68" s="329">
        <f>55+26</f>
        <v>81</v>
      </c>
      <c r="S68" s="329"/>
      <c r="T68" s="329">
        <v>0</v>
      </c>
      <c r="U68" s="329"/>
      <c r="V68" s="330">
        <f>+N68-P68+R68-T68</f>
        <v>941885</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950795</v>
      </c>
      <c r="O71" s="329"/>
      <c r="P71" s="329">
        <f>SUM(P68:P70)</f>
        <v>8991</v>
      </c>
      <c r="Q71" s="329"/>
      <c r="R71" s="329">
        <f>SUM(R68:R70)</f>
        <v>81</v>
      </c>
      <c r="S71" s="329"/>
      <c r="T71" s="329">
        <f>SUM(T68:T70)</f>
        <v>0</v>
      </c>
      <c r="U71" s="329"/>
      <c r="V71" s="329">
        <f>SUM(V68:V70)</f>
        <v>941885</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950795</v>
      </c>
      <c r="O84" s="329"/>
      <c r="P84" s="329"/>
      <c r="Q84" s="329"/>
      <c r="R84" s="329"/>
      <c r="S84" s="329"/>
      <c r="T84" s="329"/>
      <c r="U84" s="329"/>
      <c r="V84" s="329">
        <f>SUM(V71:V83)</f>
        <v>941885</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41670</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8991-413</f>
        <v>8578</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5023+2340-1585-367</f>
        <v>5411</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69+21</f>
        <v>90</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42</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564</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8578</v>
      </c>
      <c r="U96" s="279"/>
      <c r="V96" s="329">
        <f>SUM(V88:V95)</f>
        <v>6107</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23</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8578</v>
      </c>
      <c r="U100" s="279"/>
      <c r="V100" s="329">
        <f>V96+V98+V97+V99</f>
        <v>6130</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-363-145-12</f>
        <v>-520</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-1517+166</f>
        <v>-1351</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-166</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-232</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-65</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-284</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-64</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413</v>
      </c>
      <c r="U114" s="279"/>
      <c r="V114" s="330">
        <v>-413</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-362</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-2663</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-81</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-5595</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-995</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-1160</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-1160</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-8991</v>
      </c>
      <c r="U132" s="329"/>
      <c r="V132" s="329">
        <f>SUM(V101:V129)</f>
        <v>-6130</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JANUARY 2014</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413</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413</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-413</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v>0</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941885</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941885</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+'Oct 13'!S182</f>
        <v>49518</v>
      </c>
      <c r="T180" s="330">
        <f>+'Oct 13'!T182</f>
        <v>6362</v>
      </c>
      <c r="U180" s="279"/>
      <c r="V180" s="330">
        <f>S180+T180</f>
        <v>55880</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26+55</f>
        <v>81</v>
      </c>
      <c r="T181" s="329">
        <v>0</v>
      </c>
      <c r="U181" s="279"/>
      <c r="V181" s="330">
        <f>S181+T181</f>
        <v>81</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49599</v>
      </c>
      <c r="T182" s="330">
        <f>T181+T180</f>
        <v>6362</v>
      </c>
      <c r="U182" s="279"/>
      <c r="V182" s="330">
        <f>S182+T182</f>
        <v>55961</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184071.80000000002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3.6967699406723797</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1.71</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13.774410774410775</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6.32</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10.902298850574713</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5.94</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JANUARY 2014</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41670</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2.2329999999999999E-2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8.737013070670813E-3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1.3592986929329186E-2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6.4472362601822684E-3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13.72</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9.4562970987436823E-3</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6.5299999999999997E-2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2</v>
      </c>
      <c r="T215" s="263">
        <v>810</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126</v>
      </c>
      <c r="T216" s="355">
        <f>+T268</f>
        <v>20749</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0</v>
      </c>
      <c r="T217" s="355">
        <f>+T280</f>
        <v>0</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413</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'Oct 13'!T222+'Jan 14'!T221</f>
        <v>5600</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0</v>
      </c>
      <c r="T224" s="355">
        <v>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0</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9</v>
      </c>
      <c r="T228" s="355">
        <v>832</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1.96</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7025</v>
      </c>
      <c r="S235" s="372">
        <f t="shared" ref="S235:S242" si="2">R235/$R$244</f>
        <v>0.99645390070921991</v>
      </c>
      <c r="T235" s="330">
        <f t="shared" ref="T235:T242" si="3">+T247+T259+T271</f>
        <v>937303</v>
      </c>
      <c r="U235" s="372">
        <f t="shared" ref="U235:U242" si="4">T235/$T$244</f>
        <v>0.99513528721659228</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10</v>
      </c>
      <c r="S236" s="372">
        <f t="shared" si="2"/>
        <v>1.4184397163120568E-3</v>
      </c>
      <c r="T236" s="330">
        <f t="shared" si="3"/>
        <v>1686</v>
      </c>
      <c r="U236" s="372">
        <f t="shared" si="4"/>
        <v>1.790027444964088E-3</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1</v>
      </c>
      <c r="S237" s="372">
        <f t="shared" si="2"/>
        <v>1.4184397163120567E-4</v>
      </c>
      <c r="T237" s="330">
        <f t="shared" si="3"/>
        <v>222</v>
      </c>
      <c r="U237" s="372">
        <f t="shared" si="4"/>
        <v>2.356975639276557E-4</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1</v>
      </c>
      <c r="S238" s="372">
        <f t="shared" si="2"/>
        <v>1.4184397163120567E-4</v>
      </c>
      <c r="T238" s="330">
        <f t="shared" si="3"/>
        <v>194</v>
      </c>
      <c r="U238" s="372">
        <f t="shared" si="4"/>
        <v>2.0596994325209554E-4</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0</v>
      </c>
      <c r="S239" s="372">
        <f t="shared" si="2"/>
        <v>0</v>
      </c>
      <c r="T239" s="330">
        <f t="shared" si="3"/>
        <v>0</v>
      </c>
      <c r="U239" s="372">
        <f t="shared" si="4"/>
        <v>0</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6</v>
      </c>
      <c r="S241" s="372">
        <f t="shared" si="2"/>
        <v>8.5106382978723403E-4</v>
      </c>
      <c r="T241" s="330">
        <f t="shared" si="3"/>
        <v>1468</v>
      </c>
      <c r="U241" s="372">
        <f t="shared" si="4"/>
        <v>1.5585766839900836E-3</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7</v>
      </c>
      <c r="S242" s="372">
        <f t="shared" si="2"/>
        <v>9.9290780141843976E-4</v>
      </c>
      <c r="T242" s="330">
        <f t="shared" si="3"/>
        <v>1012</v>
      </c>
      <c r="U242" s="372">
        <f t="shared" si="4"/>
        <v>1.0744411472738179E-3</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7050</v>
      </c>
      <c r="S244" s="372">
        <f>SUM(S235:S243)</f>
        <v>1</v>
      </c>
      <c r="T244" s="330">
        <f>SUM(T235:T243)</f>
        <v>941885</v>
      </c>
      <c r="U244" s="372">
        <f>SUM(U235:U243)</f>
        <v>0.99999999999999989</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6913</v>
      </c>
      <c r="S247" s="250">
        <f t="shared" ref="S247:S254" si="5">R247/$R$256</f>
        <v>0.99841132293471979</v>
      </c>
      <c r="T247" s="251">
        <v>918819</v>
      </c>
      <c r="U247" s="250">
        <f t="shared" ref="U247:U254" si="6">T247/$T$256</f>
        <v>0.99748462767712909</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7</v>
      </c>
      <c r="S248" s="372">
        <f t="shared" si="5"/>
        <v>1.0109763142692085E-3</v>
      </c>
      <c r="T248" s="330">
        <v>1340</v>
      </c>
      <c r="U248" s="372">
        <f t="shared" si="6"/>
        <v>1.4547254694203678E-3</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2</v>
      </c>
      <c r="S253" s="372">
        <f t="shared" si="5"/>
        <v>2.8885037550548814E-4</v>
      </c>
      <c r="T253" s="330">
        <v>807</v>
      </c>
      <c r="U253" s="372">
        <f t="shared" si="6"/>
        <v>8.7609212971808726E-4</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2</v>
      </c>
      <c r="S254" s="372">
        <f t="shared" si="5"/>
        <v>2.8885037550548814E-4</v>
      </c>
      <c r="T254" s="330">
        <v>170</v>
      </c>
      <c r="U254" s="372">
        <f t="shared" si="6"/>
        <v>1.8455472373243474E-4</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6924</v>
      </c>
      <c r="S256" s="372">
        <f>SUM(S247:S255)</f>
        <v>1</v>
      </c>
      <c r="T256" s="330">
        <f>SUM(T247:T255)</f>
        <v>921136</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112</v>
      </c>
      <c r="S259" s="250">
        <f t="shared" ref="S259:S266" si="7">R259/$R$268</f>
        <v>0.88888888888888884</v>
      </c>
      <c r="T259" s="251">
        <v>18484</v>
      </c>
      <c r="U259" s="250">
        <f t="shared" ref="U259:U266" si="8">T259/$T$268</f>
        <v>0.89083811268012913</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3</v>
      </c>
      <c r="S260" s="372">
        <f t="shared" si="7"/>
        <v>2.3809523809523808E-2</v>
      </c>
      <c r="T260" s="330">
        <v>346</v>
      </c>
      <c r="U260" s="372">
        <f t="shared" si="8"/>
        <v>1.6675502433852234E-2</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1</v>
      </c>
      <c r="S261" s="372">
        <f t="shared" si="7"/>
        <v>7.9365079365079361E-3</v>
      </c>
      <c r="T261" s="330">
        <v>222</v>
      </c>
      <c r="U261" s="372">
        <f t="shared" si="8"/>
        <v>1.0699310810159526E-2</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1</v>
      </c>
      <c r="S262" s="372">
        <f t="shared" si="7"/>
        <v>7.9365079365079361E-3</v>
      </c>
      <c r="T262" s="330">
        <v>194</v>
      </c>
      <c r="U262" s="372">
        <f t="shared" si="8"/>
        <v>9.3498481854547202E-3</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0</v>
      </c>
      <c r="S263" s="372">
        <f t="shared" si="7"/>
        <v>0</v>
      </c>
      <c r="T263" s="330">
        <v>0</v>
      </c>
      <c r="U263" s="372">
        <f t="shared" si="8"/>
        <v>0</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4</v>
      </c>
      <c r="S265" s="372">
        <f t="shared" si="7"/>
        <v>3.1746031746031744E-2</v>
      </c>
      <c r="T265" s="330">
        <v>661</v>
      </c>
      <c r="U265" s="372">
        <f t="shared" si="8"/>
        <v>3.1856956961781292E-2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5</v>
      </c>
      <c r="S266" s="372">
        <f t="shared" si="7"/>
        <v>3.968253968253968E-2</v>
      </c>
      <c r="T266" s="330">
        <v>842</v>
      </c>
      <c r="U266" s="372">
        <f t="shared" si="8"/>
        <v>4.0580268928623063E-2</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126</v>
      </c>
      <c r="S268" s="372">
        <f>SUM(S259:S267)</f>
        <v>0.99999999999999989</v>
      </c>
      <c r="T268" s="330">
        <f>SUM(T259:T267)</f>
        <v>20749</v>
      </c>
      <c r="U268" s="372">
        <f>SUM(U259:U267)</f>
        <v>0.99999999999999989</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0</v>
      </c>
      <c r="S278" s="372">
        <v>0</v>
      </c>
      <c r="T278" s="330">
        <v>0</v>
      </c>
      <c r="U278" s="372">
        <v>0</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0</v>
      </c>
      <c r="S280" s="372">
        <f>SUM(S271:S279)</f>
        <v>0</v>
      </c>
      <c r="T280" s="330">
        <f>SUM(T271:T278)</f>
        <v>0</v>
      </c>
      <c r="U280" s="372">
        <f>SUM(U271:U279)</f>
        <v>0</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7050</v>
      </c>
      <c r="S282" s="372"/>
      <c r="T282" s="397">
        <f>+T280+T268+T256</f>
        <v>941885</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JANUARY 2014</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1D00-000000000000}"/>
    <hyperlink ref="I9" r:id="rId2" xr:uid="{00000000-0004-0000-1D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89CB31"/>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0.64980000000000004</v>
      </c>
      <c r="T16" s="381" t="s">
        <v>145</v>
      </c>
      <c r="U16" s="380">
        <v>0.35020000000000001</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41781</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316</v>
      </c>
      <c r="E27" s="285"/>
      <c r="F27" s="285" t="s">
        <v>317</v>
      </c>
      <c r="G27" s="285"/>
      <c r="H27" s="285" t="s">
        <v>317</v>
      </c>
      <c r="I27" s="285"/>
      <c r="J27" s="285" t="s">
        <v>317</v>
      </c>
      <c r="K27" s="285"/>
      <c r="L27" s="285" t="s">
        <v>149</v>
      </c>
      <c r="M27" s="285"/>
      <c r="N27" s="285" t="s">
        <v>149</v>
      </c>
      <c r="O27" s="285"/>
      <c r="P27" s="285" t="s">
        <v>318</v>
      </c>
      <c r="Q27" s="285"/>
      <c r="R27" s="285" t="s">
        <v>318</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854893.64999999991</v>
      </c>
      <c r="E32" s="289"/>
      <c r="F32" s="290">
        <f>F31*F38</f>
        <v>82639.879000000001</v>
      </c>
      <c r="G32" s="290"/>
      <c r="H32" s="295">
        <f>H31*H38</f>
        <v>139632.899</v>
      </c>
      <c r="I32" s="295"/>
      <c r="J32" s="294">
        <f>J31*J38</f>
        <v>177247.95009999999</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843457.50000000012</v>
      </c>
      <c r="E33" s="301"/>
      <c r="F33" s="303">
        <f>F37*F31</f>
        <v>81534.39899999999</v>
      </c>
      <c r="G33" s="303"/>
      <c r="H33" s="384">
        <f>H31*H37</f>
        <v>137765.019</v>
      </c>
      <c r="I33" s="384"/>
      <c r="J33" s="383">
        <f>J37*J31</f>
        <v>174876.85500000001</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464615.89111469995</v>
      </c>
      <c r="E35" s="289"/>
      <c r="F35" s="290">
        <f>F34*F38</f>
        <v>82639.879000000001</v>
      </c>
      <c r="G35" s="290"/>
      <c r="H35" s="290">
        <f>H34*H38</f>
        <v>96298.82617320001</v>
      </c>
      <c r="I35" s="290"/>
      <c r="J35" s="290">
        <f>J34*J38</f>
        <v>96330.556340199997</v>
      </c>
      <c r="K35" s="290"/>
      <c r="L35" s="290">
        <f>+L34</f>
        <v>25000</v>
      </c>
      <c r="M35" s="290"/>
      <c r="N35" s="290">
        <f>+N34</f>
        <v>86897</v>
      </c>
      <c r="O35" s="290"/>
      <c r="P35" s="290">
        <f>+P34</f>
        <v>17000</v>
      </c>
      <c r="Q35" s="290"/>
      <c r="R35" s="290">
        <f>+R34</f>
        <v>73103</v>
      </c>
      <c r="S35" s="290"/>
      <c r="T35" s="290"/>
      <c r="U35" s="291"/>
      <c r="V35" s="290">
        <f>SUM(C35:R35)</f>
        <v>941885.15262810001</v>
      </c>
      <c r="W35" s="292"/>
      <c r="X35" s="5"/>
    </row>
    <row r="36" spans="1:24" ht="15.6" x14ac:dyDescent="0.3">
      <c r="A36" s="283"/>
      <c r="B36" s="288" t="s">
        <v>295</v>
      </c>
      <c r="C36" s="301"/>
      <c r="D36" s="303">
        <f>D34*D37</f>
        <v>458400.59518500004</v>
      </c>
      <c r="E36" s="301"/>
      <c r="F36" s="303">
        <f>F34*F37</f>
        <v>81534.39899999999</v>
      </c>
      <c r="G36" s="303"/>
      <c r="H36" s="303">
        <f>H34*H37</f>
        <v>95010.629389199996</v>
      </c>
      <c r="I36" s="303"/>
      <c r="J36" s="303">
        <f>J34*J37</f>
        <v>95041.915710000016</v>
      </c>
      <c r="K36" s="303"/>
      <c r="L36" s="303">
        <f>+L34</f>
        <v>25000</v>
      </c>
      <c r="M36" s="303"/>
      <c r="N36" s="303">
        <f>+N34</f>
        <v>86897</v>
      </c>
      <c r="O36" s="303"/>
      <c r="P36" s="303">
        <f>+P34</f>
        <v>17000</v>
      </c>
      <c r="Q36" s="303"/>
      <c r="R36" s="303">
        <f>+R34</f>
        <v>73103</v>
      </c>
      <c r="S36" s="302"/>
      <c r="T36" s="302"/>
      <c r="U36" s="291"/>
      <c r="V36" s="303">
        <f>SUM(C36:R36)-1</f>
        <v>931986.53928420006</v>
      </c>
      <c r="W36" s="292"/>
      <c r="X36" s="5"/>
    </row>
    <row r="37" spans="1:24" ht="15.6" x14ac:dyDescent="0.3">
      <c r="A37" s="278"/>
      <c r="B37" s="304" t="s">
        <v>135</v>
      </c>
      <c r="C37" s="305"/>
      <c r="D37" s="306">
        <v>0.56230500000000005</v>
      </c>
      <c r="E37" s="307"/>
      <c r="F37" s="306">
        <v>0.56230619999999998</v>
      </c>
      <c r="G37" s="306"/>
      <c r="H37" s="306">
        <v>0.56230619999999998</v>
      </c>
      <c r="I37" s="306"/>
      <c r="J37" s="306">
        <v>0.56230500000000005</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0.56992909999999997</v>
      </c>
      <c r="E38" s="307"/>
      <c r="F38" s="306">
        <v>0.56993020000000005</v>
      </c>
      <c r="G38" s="306"/>
      <c r="H38" s="306">
        <v>0.56993020000000005</v>
      </c>
      <c r="I38" s="306"/>
      <c r="J38" s="306">
        <v>0.56992909999999997</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3.9220000000000001E-3</v>
      </c>
      <c r="E40" s="279"/>
      <c r="F40" s="314">
        <v>7.6093999999999997E-3</v>
      </c>
      <c r="G40" s="313"/>
      <c r="H40" s="314">
        <v>5.2700000000000004E-3</v>
      </c>
      <c r="I40" s="314"/>
      <c r="J40" s="314">
        <v>4.5585000000000001E-3</v>
      </c>
      <c r="K40" s="313"/>
      <c r="L40" s="314">
        <v>1.00094E-2</v>
      </c>
      <c r="M40" s="313"/>
      <c r="N40" s="314">
        <v>7.6699999999999997E-3</v>
      </c>
      <c r="O40" s="313"/>
      <c r="P40" s="314">
        <v>1.4409399999999999E-2</v>
      </c>
      <c r="Q40" s="313"/>
      <c r="R40" s="314">
        <v>1.2070000000000001E-2</v>
      </c>
      <c r="S40" s="313"/>
      <c r="T40" s="314"/>
      <c r="U40" s="281"/>
      <c r="V40" s="287"/>
      <c r="W40" s="282"/>
      <c r="X40" s="5"/>
    </row>
    <row r="41" spans="1:24" ht="15.6" x14ac:dyDescent="0.3">
      <c r="A41" s="278"/>
      <c r="B41" s="279" t="s">
        <v>13</v>
      </c>
      <c r="C41" s="279"/>
      <c r="D41" s="314">
        <v>4.0000000000000001E-3</v>
      </c>
      <c r="E41" s="279"/>
      <c r="F41" s="314">
        <v>7.6406E-3</v>
      </c>
      <c r="G41" s="313"/>
      <c r="H41" s="314">
        <v>4.5799999999999999E-3</v>
      </c>
      <c r="I41" s="314"/>
      <c r="J41" s="314">
        <v>4.6059999999999999E-3</v>
      </c>
      <c r="K41" s="313"/>
      <c r="L41" s="314">
        <v>1.00406E-2</v>
      </c>
      <c r="M41" s="313"/>
      <c r="N41" s="314">
        <v>6.9800000000000001E-3</v>
      </c>
      <c r="O41" s="313"/>
      <c r="P41" s="314">
        <v>1.44406E-2</v>
      </c>
      <c r="Q41" s="313"/>
      <c r="R41" s="314">
        <v>1.1379999999999999E-2</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7.8236999999999994E-3</v>
      </c>
      <c r="E43" s="314"/>
      <c r="F43" s="314">
        <f>+F40</f>
        <v>7.6093999999999997E-3</v>
      </c>
      <c r="G43" s="314"/>
      <c r="H43" s="314">
        <v>7.5313999999999997E-3</v>
      </c>
      <c r="I43" s="314"/>
      <c r="J43" s="314">
        <v>7.7733999999999998E-3</v>
      </c>
      <c r="K43" s="314"/>
      <c r="L43" s="314">
        <f>+L40</f>
        <v>1.00094E-2</v>
      </c>
      <c r="M43" s="314"/>
      <c r="N43" s="314">
        <v>1.0211400000000001E-2</v>
      </c>
      <c r="O43" s="314"/>
      <c r="P43" s="314">
        <f>+P40</f>
        <v>1.4409399999999999E-2</v>
      </c>
      <c r="Q43" s="313"/>
      <c r="R43" s="314">
        <v>1.4881399999999999E-2</v>
      </c>
      <c r="S43" s="287"/>
      <c r="T43" s="287"/>
      <c r="U43" s="281"/>
      <c r="V43" s="313">
        <f>SUMPRODUCT(D43:R43,D35:R35)/V35</f>
        <v>8.7148055745109119E-3</v>
      </c>
      <c r="W43" s="282"/>
      <c r="X43" s="5"/>
    </row>
    <row r="44" spans="1:24" ht="15.6" x14ac:dyDescent="0.3">
      <c r="A44" s="278"/>
      <c r="B44" s="279" t="s">
        <v>298</v>
      </c>
      <c r="C44" s="315"/>
      <c r="D44" s="314">
        <v>7.8548999999999997E-3</v>
      </c>
      <c r="E44" s="314"/>
      <c r="F44" s="314">
        <f>+F41</f>
        <v>7.6406E-3</v>
      </c>
      <c r="G44" s="314"/>
      <c r="H44" s="314">
        <v>7.5626000000000001E-3</v>
      </c>
      <c r="I44" s="314"/>
      <c r="J44" s="314">
        <v>7.8046000000000001E-3</v>
      </c>
      <c r="K44" s="314"/>
      <c r="L44" s="314">
        <f>+L41</f>
        <v>1.00406E-2</v>
      </c>
      <c r="M44" s="314"/>
      <c r="N44" s="314">
        <v>1.0242599999999999E-2</v>
      </c>
      <c r="O44" s="314"/>
      <c r="P44" s="314">
        <f>+P41</f>
        <v>1.44406E-2</v>
      </c>
      <c r="Q44" s="313"/>
      <c r="R44" s="314">
        <v>1.49126E-2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0.27671705218156745</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41774</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95</v>
      </c>
      <c r="S57" s="279"/>
      <c r="T57" s="325">
        <v>41593</v>
      </c>
      <c r="U57" s="326"/>
      <c r="V57" s="325">
        <v>41687</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86</v>
      </c>
      <c r="S58" s="279"/>
      <c r="T58" s="325">
        <v>41688</v>
      </c>
      <c r="U58" s="326"/>
      <c r="V58" s="325">
        <v>41773</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41760</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331</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941885</v>
      </c>
      <c r="O68" s="329"/>
      <c r="P68" s="329">
        <f>9898+327+87</f>
        <v>10312</v>
      </c>
      <c r="Q68" s="329"/>
      <c r="R68" s="329">
        <f>327+87</f>
        <v>414</v>
      </c>
      <c r="S68" s="329"/>
      <c r="T68" s="329">
        <v>0</v>
      </c>
      <c r="U68" s="329"/>
      <c r="V68" s="330">
        <f>+N68-P68+R68-T68</f>
        <v>931987</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941885</v>
      </c>
      <c r="O71" s="329"/>
      <c r="P71" s="329">
        <f>SUM(P68:P70)</f>
        <v>10312</v>
      </c>
      <c r="Q71" s="329"/>
      <c r="R71" s="329">
        <f>SUM(R68:R70)</f>
        <v>414</v>
      </c>
      <c r="S71" s="329"/>
      <c r="T71" s="329">
        <f>SUM(T68:T70)</f>
        <v>0</v>
      </c>
      <c r="U71" s="329"/>
      <c r="V71" s="329">
        <f>SUM(V68:V70)</f>
        <v>931987</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941885</v>
      </c>
      <c r="O84" s="329"/>
      <c r="P84" s="329"/>
      <c r="Q84" s="329"/>
      <c r="R84" s="329"/>
      <c r="S84" s="329"/>
      <c r="T84" s="329"/>
      <c r="U84" s="329"/>
      <c r="V84" s="329">
        <f>SUM(V71:V83)</f>
        <v>931987</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41759</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10312-889</f>
        <v>9423</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4674+2506-1257-508</f>
        <v>5415</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104+37</f>
        <v>141</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47</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472</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9423</v>
      </c>
      <c r="U96" s="279"/>
      <c r="V96" s="329">
        <f>SUM(V88:V95)</f>
        <v>6075</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556</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9423</v>
      </c>
      <c r="U100" s="279"/>
      <c r="V100" s="329">
        <f>V96+V98+V97+V99</f>
        <v>6631</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-348-184-11</f>
        <v>-543</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-1352+148</f>
        <v>-1204</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-148</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-209</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-59</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-256</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-58</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889</v>
      </c>
      <c r="U114" s="279"/>
      <c r="V114" s="330">
        <v>-889</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-347</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-2908</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-414</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-6215</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-1106</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-1288</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-1289</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-10312</v>
      </c>
      <c r="U132" s="329"/>
      <c r="V132" s="329">
        <f>SUM(V101:V129)</f>
        <v>-6631</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APRIL 2014</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889</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889</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-889</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v>0</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931987</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931987</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+'Jan 14'!S182</f>
        <v>49599</v>
      </c>
      <c r="T180" s="330">
        <f>+'Jan 14'!T182</f>
        <v>6362</v>
      </c>
      <c r="U180" s="279"/>
      <c r="V180" s="330">
        <f>S180+T180</f>
        <v>55961</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87+327</f>
        <v>414</v>
      </c>
      <c r="T181" s="329">
        <v>0</v>
      </c>
      <c r="U181" s="279"/>
      <c r="V181" s="330">
        <f>S181+T181</f>
        <v>414</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50013</v>
      </c>
      <c r="T182" s="330">
        <f>T181+T180</f>
        <v>6362</v>
      </c>
      <c r="U182" s="279"/>
      <c r="V182" s="330">
        <f>S182+T182</f>
        <v>56375</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183657.80000000002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4.5014792899408285</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1.73</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17.664179104477611</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6.45</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14.222929936305732</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6.07</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APRIL 2014</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41759</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2.2329999999999999E-2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8.7148055745109119E-3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1.3615194425489087E-2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7.0401375964156982E-3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13.49</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1.0948258014513448E-2</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6.4600000000000005E-2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1</v>
      </c>
      <c r="T215" s="263">
        <v>681</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116</v>
      </c>
      <c r="T216" s="355">
        <f>+T268</f>
        <v>18770</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0</v>
      </c>
      <c r="T217" s="355">
        <f>+T280</f>
        <v>0</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889</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'Jan 14'!T222+'April 14'!T221</f>
        <v>6489</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0</v>
      </c>
      <c r="T224" s="355">
        <v>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0</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8</v>
      </c>
      <c r="T228" s="355">
        <v>1692</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1.91</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6967</v>
      </c>
      <c r="S235" s="372">
        <f t="shared" ref="S235:S242" si="2">R235/$R$244</f>
        <v>0.99628199628199632</v>
      </c>
      <c r="T235" s="330">
        <f t="shared" ref="T235:T242" si="3">+T247+T259+T271</f>
        <v>927511</v>
      </c>
      <c r="U235" s="372">
        <f t="shared" ref="U235:U242" si="4">T235/$T$244</f>
        <v>0.99519735790306085</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9</v>
      </c>
      <c r="S236" s="372">
        <f t="shared" si="2"/>
        <v>1.287001287001287E-3</v>
      </c>
      <c r="T236" s="330">
        <f t="shared" si="3"/>
        <v>1655</v>
      </c>
      <c r="U236" s="372">
        <f t="shared" si="4"/>
        <v>1.7757758423669E-3</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4</v>
      </c>
      <c r="S237" s="372">
        <f t="shared" si="2"/>
        <v>5.7200057200057204E-4</v>
      </c>
      <c r="T237" s="330">
        <f t="shared" si="3"/>
        <v>582</v>
      </c>
      <c r="U237" s="372">
        <f t="shared" si="4"/>
        <v>6.2447222976286145E-4</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2</v>
      </c>
      <c r="S238" s="372">
        <f t="shared" si="2"/>
        <v>2.8600028600028602E-4</v>
      </c>
      <c r="T238" s="330">
        <f t="shared" si="3"/>
        <v>256</v>
      </c>
      <c r="U238" s="372">
        <f t="shared" si="4"/>
        <v>2.7468194298847516E-4</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2</v>
      </c>
      <c r="S239" s="372">
        <f t="shared" si="2"/>
        <v>2.8600028600028602E-4</v>
      </c>
      <c r="T239" s="330">
        <f t="shared" si="3"/>
        <v>161</v>
      </c>
      <c r="U239" s="372">
        <f t="shared" si="4"/>
        <v>1.7274919070759569E-4</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2</v>
      </c>
      <c r="S241" s="372">
        <f t="shared" si="2"/>
        <v>2.8600028600028602E-4</v>
      </c>
      <c r="T241" s="330">
        <f t="shared" si="3"/>
        <v>752</v>
      </c>
      <c r="U241" s="372">
        <f t="shared" si="4"/>
        <v>8.0687820752864577E-4</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7</v>
      </c>
      <c r="S242" s="372">
        <f t="shared" si="2"/>
        <v>1.001001001001001E-3</v>
      </c>
      <c r="T242" s="330">
        <f t="shared" si="3"/>
        <v>1070</v>
      </c>
      <c r="U242" s="372">
        <f t="shared" si="4"/>
        <v>1.1480846835846422E-3</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6993</v>
      </c>
      <c r="S244" s="372">
        <f>SUM(S235:S243)</f>
        <v>0.99999999999999989</v>
      </c>
      <c r="T244" s="330">
        <f>SUM(T235:T243)</f>
        <v>931987</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6867</v>
      </c>
      <c r="S247" s="250">
        <f t="shared" ref="S247:S254" si="5">R247/$R$256</f>
        <v>0.99854587756289082</v>
      </c>
      <c r="T247" s="251">
        <v>910780</v>
      </c>
      <c r="U247" s="250">
        <f t="shared" ref="U247:U254" si="6">T247/$T$256</f>
        <v>0.99733141192071539</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6</v>
      </c>
      <c r="S248" s="372">
        <f t="shared" si="5"/>
        <v>8.7247346226552276E-4</v>
      </c>
      <c r="T248" s="330">
        <v>1401</v>
      </c>
      <c r="U248" s="372">
        <f t="shared" si="6"/>
        <v>1.534137012342083E-3</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1</v>
      </c>
      <c r="S250" s="372">
        <f t="shared" si="5"/>
        <v>1.4541224371092046E-4</v>
      </c>
      <c r="T250" s="330">
        <v>127</v>
      </c>
      <c r="U250" s="372">
        <f t="shared" si="6"/>
        <v>1.39068808399318E-4</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1</v>
      </c>
      <c r="S253" s="372">
        <f t="shared" si="5"/>
        <v>1.4541224371092046E-4</v>
      </c>
      <c r="T253" s="330">
        <v>681</v>
      </c>
      <c r="U253" s="372">
        <f t="shared" si="6"/>
        <v>7.4571542141681549E-4</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2</v>
      </c>
      <c r="S254" s="372">
        <f t="shared" si="5"/>
        <v>2.9082448742184092E-4</v>
      </c>
      <c r="T254" s="330">
        <v>228</v>
      </c>
      <c r="U254" s="372">
        <f t="shared" si="6"/>
        <v>2.4966683712633473E-4</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6877</v>
      </c>
      <c r="S256" s="372">
        <f>SUM(S247:S255)</f>
        <v>0.99999999999999989</v>
      </c>
      <c r="T256" s="330">
        <f>SUM(T247:T255)</f>
        <v>913217</v>
      </c>
      <c r="U256" s="372">
        <f>SUM(U247:U255)</f>
        <v>0.99999999999999989</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100</v>
      </c>
      <c r="S259" s="250">
        <f t="shared" ref="S259:S266" si="7">R259/$R$268</f>
        <v>0.86206896551724133</v>
      </c>
      <c r="T259" s="251">
        <v>16731</v>
      </c>
      <c r="U259" s="250">
        <f t="shared" ref="U259:U266" si="8">T259/$T$268</f>
        <v>0.89136920618007454</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3</v>
      </c>
      <c r="S260" s="372">
        <f t="shared" si="7"/>
        <v>2.5862068965517241E-2</v>
      </c>
      <c r="T260" s="330">
        <v>254</v>
      </c>
      <c r="U260" s="372">
        <f t="shared" si="8"/>
        <v>1.3532232285562067E-2</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4</v>
      </c>
      <c r="S261" s="372">
        <f t="shared" si="7"/>
        <v>3.4482758620689655E-2</v>
      </c>
      <c r="T261" s="330">
        <v>582</v>
      </c>
      <c r="U261" s="372">
        <f t="shared" si="8"/>
        <v>3.1006925945657966E-2</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1</v>
      </c>
      <c r="S262" s="372">
        <f t="shared" si="7"/>
        <v>8.6206896551724137E-3</v>
      </c>
      <c r="T262" s="330">
        <v>129</v>
      </c>
      <c r="U262" s="372">
        <f t="shared" si="8"/>
        <v>6.8726691529035697E-3</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2</v>
      </c>
      <c r="S263" s="372">
        <f t="shared" si="7"/>
        <v>1.7241379310344827E-2</v>
      </c>
      <c r="T263" s="330">
        <v>161</v>
      </c>
      <c r="U263" s="372">
        <f t="shared" si="8"/>
        <v>8.577517314864145E-3</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1</v>
      </c>
      <c r="S265" s="372">
        <f t="shared" si="7"/>
        <v>8.6206896551724137E-3</v>
      </c>
      <c r="T265" s="330">
        <v>71</v>
      </c>
      <c r="U265" s="372">
        <f t="shared" si="8"/>
        <v>3.7826318593500267E-3</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5</v>
      </c>
      <c r="S266" s="372">
        <f t="shared" si="7"/>
        <v>4.3103448275862072E-2</v>
      </c>
      <c r="T266" s="330">
        <v>842</v>
      </c>
      <c r="U266" s="372">
        <f t="shared" si="8"/>
        <v>4.4858817261587643E-2</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116</v>
      </c>
      <c r="S268" s="372">
        <f>SUM(S259:S267)</f>
        <v>0.99999999999999989</v>
      </c>
      <c r="T268" s="330">
        <f>SUM(T259:T267)</f>
        <v>18770</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0</v>
      </c>
      <c r="S278" s="372">
        <v>0</v>
      </c>
      <c r="T278" s="330">
        <v>0</v>
      </c>
      <c r="U278" s="372">
        <v>0</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0</v>
      </c>
      <c r="S280" s="372">
        <f>SUM(S271:S279)</f>
        <v>0</v>
      </c>
      <c r="T280" s="330">
        <f>SUM(T271:T278)</f>
        <v>0</v>
      </c>
      <c r="U280" s="372">
        <f>SUM(U271:U279)</f>
        <v>0</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6993</v>
      </c>
      <c r="S282" s="372"/>
      <c r="T282" s="397">
        <f>+T280+T268+T256</f>
        <v>931987</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APRIL 2014</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1E00-000000000000}"/>
    <hyperlink ref="I9" r:id="rId2" xr:uid="{00000000-0004-0000-1E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2D2926"/>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0.65159999999999996</v>
      </c>
      <c r="T16" s="381" t="s">
        <v>145</v>
      </c>
      <c r="U16" s="380">
        <v>0.34839999999999999</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41871</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316</v>
      </c>
      <c r="E27" s="285"/>
      <c r="F27" s="285" t="s">
        <v>317</v>
      </c>
      <c r="G27" s="285"/>
      <c r="H27" s="285" t="s">
        <v>317</v>
      </c>
      <c r="I27" s="285"/>
      <c r="J27" s="285" t="s">
        <v>317</v>
      </c>
      <c r="K27" s="285"/>
      <c r="L27" s="285" t="s">
        <v>149</v>
      </c>
      <c r="M27" s="285"/>
      <c r="N27" s="285" t="s">
        <v>149</v>
      </c>
      <c r="O27" s="285"/>
      <c r="P27" s="285" t="s">
        <v>318</v>
      </c>
      <c r="Q27" s="285"/>
      <c r="R27" s="285" t="s">
        <v>318</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843457.50000000012</v>
      </c>
      <c r="E32" s="289"/>
      <c r="F32" s="290">
        <f>F31*F38</f>
        <v>81534.39899999999</v>
      </c>
      <c r="G32" s="290"/>
      <c r="H32" s="295">
        <f>H31*H38</f>
        <v>137765.019</v>
      </c>
      <c r="I32" s="295"/>
      <c r="J32" s="294">
        <f>J31*J38</f>
        <v>174876.85500000001</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833152.04999999993</v>
      </c>
      <c r="E33" s="301"/>
      <c r="F33" s="303">
        <f>F37*F31</f>
        <v>80538.22</v>
      </c>
      <c r="G33" s="303"/>
      <c r="H33" s="384">
        <f>H31*H37</f>
        <v>136081.82</v>
      </c>
      <c r="I33" s="384"/>
      <c r="J33" s="383">
        <f>J37*J31</f>
        <v>172740.1917</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458400.59518500004</v>
      </c>
      <c r="E35" s="289"/>
      <c r="F35" s="290">
        <f>F34*F38</f>
        <v>81534.39899999999</v>
      </c>
      <c r="G35" s="290"/>
      <c r="H35" s="290">
        <f>H34*H38</f>
        <v>95010.629389199996</v>
      </c>
      <c r="I35" s="290"/>
      <c r="J35" s="290">
        <f>J34*J38</f>
        <v>95041.915710000016</v>
      </c>
      <c r="K35" s="290"/>
      <c r="L35" s="290">
        <f>+L34</f>
        <v>25000</v>
      </c>
      <c r="M35" s="290"/>
      <c r="N35" s="290">
        <f>+N34</f>
        <v>86897</v>
      </c>
      <c r="O35" s="290"/>
      <c r="P35" s="290">
        <f>+P34</f>
        <v>17000</v>
      </c>
      <c r="Q35" s="290"/>
      <c r="R35" s="290">
        <f>+R34</f>
        <v>73103</v>
      </c>
      <c r="S35" s="290"/>
      <c r="T35" s="290"/>
      <c r="U35" s="291"/>
      <c r="V35" s="290">
        <f>SUM(C35:R35)-1</f>
        <v>931986.53928420006</v>
      </c>
      <c r="W35" s="292"/>
      <c r="X35" s="5"/>
    </row>
    <row r="36" spans="1:24" ht="15.6" x14ac:dyDescent="0.3">
      <c r="A36" s="283"/>
      <c r="B36" s="288" t="s">
        <v>295</v>
      </c>
      <c r="C36" s="301"/>
      <c r="D36" s="303">
        <f>D34*D37</f>
        <v>452799.80982989998</v>
      </c>
      <c r="E36" s="301"/>
      <c r="F36" s="303">
        <f>F34*F37</f>
        <v>80538.22</v>
      </c>
      <c r="G36" s="303"/>
      <c r="H36" s="303">
        <f>H34*H37</f>
        <v>93849.799176</v>
      </c>
      <c r="I36" s="303"/>
      <c r="J36" s="303">
        <f>J34*J37</f>
        <v>93880.683863399987</v>
      </c>
      <c r="K36" s="303"/>
      <c r="L36" s="303">
        <f>+L34</f>
        <v>25000</v>
      </c>
      <c r="M36" s="303"/>
      <c r="N36" s="303">
        <f>+N34</f>
        <v>86897</v>
      </c>
      <c r="O36" s="303"/>
      <c r="P36" s="303">
        <f>+P34</f>
        <v>17000</v>
      </c>
      <c r="Q36" s="303"/>
      <c r="R36" s="303">
        <f>+R34</f>
        <v>73103</v>
      </c>
      <c r="S36" s="302"/>
      <c r="T36" s="302"/>
      <c r="U36" s="291"/>
      <c r="V36" s="303">
        <f>SUM(C36:R36)-1</f>
        <v>923067.51286930009</v>
      </c>
      <c r="W36" s="292"/>
      <c r="X36" s="5"/>
    </row>
    <row r="37" spans="1:24" ht="15.6" x14ac:dyDescent="0.3">
      <c r="A37" s="278"/>
      <c r="B37" s="304" t="s">
        <v>135</v>
      </c>
      <c r="C37" s="305"/>
      <c r="D37" s="306">
        <v>0.55543469999999995</v>
      </c>
      <c r="E37" s="307"/>
      <c r="F37" s="306">
        <v>0.55543600000000004</v>
      </c>
      <c r="G37" s="306"/>
      <c r="H37" s="306">
        <v>0.55543600000000004</v>
      </c>
      <c r="I37" s="306"/>
      <c r="J37" s="306">
        <v>0.55543469999999995</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0.56230500000000005</v>
      </c>
      <c r="E38" s="307"/>
      <c r="F38" s="306">
        <v>0.56230619999999998</v>
      </c>
      <c r="G38" s="306"/>
      <c r="H38" s="306">
        <v>0.56230619999999998</v>
      </c>
      <c r="I38" s="306"/>
      <c r="J38" s="306">
        <v>0.56230500000000005</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3.9199999999999999E-3</v>
      </c>
      <c r="E40" s="279"/>
      <c r="F40" s="314">
        <v>7.6505999999999996E-3</v>
      </c>
      <c r="G40" s="313"/>
      <c r="H40" s="314">
        <v>5.7499999999999999E-3</v>
      </c>
      <c r="I40" s="314"/>
      <c r="J40" s="314">
        <v>4.4384999999999997E-3</v>
      </c>
      <c r="K40" s="313"/>
      <c r="L40" s="314">
        <v>1.00506E-2</v>
      </c>
      <c r="M40" s="313"/>
      <c r="N40" s="314">
        <v>8.1499999999999993E-3</v>
      </c>
      <c r="O40" s="313"/>
      <c r="P40" s="314">
        <v>1.4450599999999999E-2</v>
      </c>
      <c r="Q40" s="313"/>
      <c r="R40" s="314">
        <v>1.255E-2</v>
      </c>
      <c r="S40" s="313"/>
      <c r="T40" s="314"/>
      <c r="U40" s="281"/>
      <c r="V40" s="287"/>
      <c r="W40" s="282"/>
      <c r="X40" s="5"/>
    </row>
    <row r="41" spans="1:24" ht="15.6" x14ac:dyDescent="0.3">
      <c r="A41" s="278"/>
      <c r="B41" s="279" t="s">
        <v>13</v>
      </c>
      <c r="C41" s="279"/>
      <c r="D41" s="314">
        <v>3.9220000000000001E-3</v>
      </c>
      <c r="E41" s="279"/>
      <c r="F41" s="314">
        <v>7.6093999999999997E-3</v>
      </c>
      <c r="G41" s="313"/>
      <c r="H41" s="314">
        <v>5.2700000000000004E-3</v>
      </c>
      <c r="I41" s="314"/>
      <c r="J41" s="314">
        <v>4.5585000000000001E-3</v>
      </c>
      <c r="K41" s="313"/>
      <c r="L41" s="314">
        <v>1.00094E-2</v>
      </c>
      <c r="M41" s="313"/>
      <c r="N41" s="314">
        <v>7.6699999999999997E-3</v>
      </c>
      <c r="O41" s="313"/>
      <c r="P41" s="314">
        <v>1.4409399999999999E-2</v>
      </c>
      <c r="Q41" s="313"/>
      <c r="R41" s="314">
        <v>1.2070000000000001E-2</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7.8648999999999993E-3</v>
      </c>
      <c r="E43" s="314"/>
      <c r="F43" s="314">
        <f>+F40</f>
        <v>7.6505999999999996E-3</v>
      </c>
      <c r="G43" s="314"/>
      <c r="H43" s="314">
        <v>7.5725999999999996E-3</v>
      </c>
      <c r="I43" s="314"/>
      <c r="J43" s="314">
        <v>7.8145999999999997E-3</v>
      </c>
      <c r="K43" s="314"/>
      <c r="L43" s="314">
        <f>+L40</f>
        <v>1.00506E-2</v>
      </c>
      <c r="M43" s="314"/>
      <c r="N43" s="314">
        <v>1.0252600000000001E-2</v>
      </c>
      <c r="O43" s="314"/>
      <c r="P43" s="314">
        <f>+P40</f>
        <v>1.4450599999999999E-2</v>
      </c>
      <c r="Q43" s="313"/>
      <c r="R43" s="314">
        <v>1.4922599999999999E-2</v>
      </c>
      <c r="S43" s="287"/>
      <c r="T43" s="287"/>
      <c r="U43" s="281"/>
      <c r="V43" s="313">
        <f>SUMPRODUCT(D43:R43,D35:R35)/V35</f>
        <v>8.7662061910838088E-3</v>
      </c>
      <c r="W43" s="282"/>
      <c r="X43" s="5"/>
    </row>
    <row r="44" spans="1:24" ht="15.6" x14ac:dyDescent="0.3">
      <c r="A44" s="278"/>
      <c r="B44" s="279" t="s">
        <v>298</v>
      </c>
      <c r="C44" s="315"/>
      <c r="D44" s="314">
        <v>7.8236999999999994E-3</v>
      </c>
      <c r="E44" s="314"/>
      <c r="F44" s="314">
        <f>+F41</f>
        <v>7.6093999999999997E-3</v>
      </c>
      <c r="G44" s="314"/>
      <c r="H44" s="314">
        <v>7.5313999999999997E-3</v>
      </c>
      <c r="I44" s="314"/>
      <c r="J44" s="314">
        <v>7.7733999999999998E-3</v>
      </c>
      <c r="K44" s="314"/>
      <c r="L44" s="314">
        <f>+L41</f>
        <v>1.00094E-2</v>
      </c>
      <c r="M44" s="314"/>
      <c r="N44" s="314">
        <v>1.0211400000000001E-2</v>
      </c>
      <c r="O44" s="314"/>
      <c r="P44" s="314">
        <f>+P41</f>
        <v>1.4409399999999999E-2</v>
      </c>
      <c r="Q44" s="313"/>
      <c r="R44" s="314">
        <v>1.4881399999999999E-2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0.28013981528079046</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41866</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86</v>
      </c>
      <c r="S57" s="279"/>
      <c r="T57" s="325">
        <v>41688</v>
      </c>
      <c r="U57" s="326"/>
      <c r="V57" s="325">
        <v>41773</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41774</v>
      </c>
      <c r="U58" s="326"/>
      <c r="V58" s="325">
        <v>41865</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41852</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332</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931987</v>
      </c>
      <c r="O68" s="329"/>
      <c r="P68" s="329">
        <f>8919+192+58</f>
        <v>9169</v>
      </c>
      <c r="Q68" s="329"/>
      <c r="R68" s="329">
        <f>192+58</f>
        <v>250</v>
      </c>
      <c r="S68" s="329"/>
      <c r="T68" s="329">
        <v>0</v>
      </c>
      <c r="U68" s="329"/>
      <c r="V68" s="330">
        <f>+N68-P68+R68-T68</f>
        <v>923068</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931987</v>
      </c>
      <c r="O71" s="329"/>
      <c r="P71" s="329">
        <f>SUM(P68:P70)</f>
        <v>9169</v>
      </c>
      <c r="Q71" s="329"/>
      <c r="R71" s="329">
        <f>SUM(R68:R70)</f>
        <v>250</v>
      </c>
      <c r="S71" s="329"/>
      <c r="T71" s="329">
        <f>SUM(T68:T70)</f>
        <v>0</v>
      </c>
      <c r="U71" s="329"/>
      <c r="V71" s="329">
        <f>SUM(V68:V70)</f>
        <v>923068</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931987</v>
      </c>
      <c r="O84" s="329"/>
      <c r="P84" s="329"/>
      <c r="Q84" s="329"/>
      <c r="R84" s="329"/>
      <c r="S84" s="329"/>
      <c r="T84" s="329"/>
      <c r="U84" s="329"/>
      <c r="V84" s="329">
        <f>SUM(V71:V83)</f>
        <v>923068</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41851</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9169-56</f>
        <v>9113</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4139+2398-685-471</f>
        <v>5381</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72+41</f>
        <v>113</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40</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523</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9113</v>
      </c>
      <c r="U96" s="279"/>
      <c r="V96" s="329">
        <f>SUM(V88:V95)</f>
        <v>6057</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-74</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9113</v>
      </c>
      <c r="U100" s="279"/>
      <c r="V100" s="329">
        <f>V96+V98+V97+V99</f>
        <v>5983</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-356-105-12</f>
        <v>-473</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-1434+157</f>
        <v>-1277</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-157</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-225</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-63</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-275</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-62</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56</v>
      </c>
      <c r="U114" s="279"/>
      <c r="V114" s="330">
        <v>-56</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-356</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-3029</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-250</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-5601</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-996</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-1161</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-1161</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-9169</v>
      </c>
      <c r="U132" s="329"/>
      <c r="V132" s="329">
        <f>SUM(V101:V129)</f>
        <v>-5983</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JULY 2014</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56</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56</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-56</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f>-V99</f>
        <v>74</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923068</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923068</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+'April 14'!S182</f>
        <v>50013</v>
      </c>
      <c r="T180" s="330">
        <f>+'April 14'!T182</f>
        <v>6362</v>
      </c>
      <c r="U180" s="279"/>
      <c r="V180" s="330">
        <f>S180+T180</f>
        <v>56375</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58+192</f>
        <v>250</v>
      </c>
      <c r="T181" s="329">
        <v>0</v>
      </c>
      <c r="U181" s="279"/>
      <c r="V181" s="330">
        <f>S181+T181</f>
        <v>250</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50263</v>
      </c>
      <c r="T182" s="330">
        <f>T181+T180</f>
        <v>6362</v>
      </c>
      <c r="U182" s="279"/>
      <c r="V182" s="330">
        <f>S182+T182</f>
        <v>56625</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183407.80000000002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3.8410041841004183</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1.74</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14.145833333333334</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6.54</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11.234421364985163</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6.15</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JULY 2014</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41851</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2.2370000000000001E-2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8.7662061910838088E-3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1.3603793808916192E-2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6.4196174410158079E-3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13.25</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9.8381200596145656E-3</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6.3799999999999996E-2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1</v>
      </c>
      <c r="T215" s="263">
        <v>681</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112</v>
      </c>
      <c r="T216" s="355">
        <f>+T268</f>
        <v>18592</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0</v>
      </c>
      <c r="T217" s="355">
        <f>+T280</f>
        <v>0</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56</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'April 14'!T222+'July 14'!T221</f>
        <v>6545</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0</v>
      </c>
      <c r="T224" s="355">
        <v>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0</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5</v>
      </c>
      <c r="T228" s="355">
        <v>415</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0.93</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6893</v>
      </c>
      <c r="S235" s="372">
        <f t="shared" ref="S235:S242" si="2">R235/$R$244</f>
        <v>0.99638623879734023</v>
      </c>
      <c r="T235" s="330">
        <f t="shared" ref="T235:T242" si="3">+T247+T259+T271</f>
        <v>918470</v>
      </c>
      <c r="U235" s="372">
        <f t="shared" ref="U235:U242" si="4">T235/$T$244</f>
        <v>0.99501878518159004</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11</v>
      </c>
      <c r="S236" s="372">
        <f t="shared" si="2"/>
        <v>1.5900549291702805E-3</v>
      </c>
      <c r="T236" s="330">
        <f t="shared" si="3"/>
        <v>2106</v>
      </c>
      <c r="U236" s="372">
        <f t="shared" si="4"/>
        <v>2.2815220547131956E-3</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2</v>
      </c>
      <c r="S237" s="372">
        <f t="shared" si="2"/>
        <v>2.8910089621277829E-4</v>
      </c>
      <c r="T237" s="330">
        <f t="shared" si="3"/>
        <v>162</v>
      </c>
      <c r="U237" s="372">
        <f t="shared" si="4"/>
        <v>1.7550169651639965E-4</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2</v>
      </c>
      <c r="S238" s="372">
        <f t="shared" si="2"/>
        <v>2.8910089621277829E-4</v>
      </c>
      <c r="T238" s="330">
        <f t="shared" si="3"/>
        <v>225</v>
      </c>
      <c r="U238" s="372">
        <f t="shared" si="4"/>
        <v>2.437523562727773E-4</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2</v>
      </c>
      <c r="S239" s="372">
        <f t="shared" si="2"/>
        <v>2.8910089621277829E-4</v>
      </c>
      <c r="T239" s="330">
        <f t="shared" si="3"/>
        <v>348</v>
      </c>
      <c r="U239" s="372">
        <f t="shared" si="4"/>
        <v>3.7700364436856225E-4</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3</v>
      </c>
      <c r="S241" s="372">
        <f t="shared" si="2"/>
        <v>4.3365134431916737E-4</v>
      </c>
      <c r="T241" s="330">
        <f t="shared" si="3"/>
        <v>977</v>
      </c>
      <c r="U241" s="372">
        <f t="shared" si="4"/>
        <v>1.0584268981266819E-3</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5</v>
      </c>
      <c r="S242" s="372">
        <f t="shared" si="2"/>
        <v>7.2275224053194561E-4</v>
      </c>
      <c r="T242" s="330">
        <f t="shared" si="3"/>
        <v>780</v>
      </c>
      <c r="U242" s="372">
        <f t="shared" si="4"/>
        <v>8.450081684122947E-4</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6918</v>
      </c>
      <c r="S244" s="372">
        <f>SUM(S235:S243)</f>
        <v>1</v>
      </c>
      <c r="T244" s="330">
        <f>SUM(T235:T243)</f>
        <v>923068</v>
      </c>
      <c r="U244" s="372">
        <f>SUM(U235:U243)</f>
        <v>0.99999999999999989</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6797</v>
      </c>
      <c r="S247" s="250">
        <f t="shared" ref="S247:S254" si="5">R247/$R$256</f>
        <v>0.99867763737878346</v>
      </c>
      <c r="T247" s="251">
        <v>902051</v>
      </c>
      <c r="U247" s="250">
        <f t="shared" ref="U247:U254" si="6">T247/$T$256</f>
        <v>0.99731888961122239</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6</v>
      </c>
      <c r="S248" s="372">
        <f t="shared" si="5"/>
        <v>8.8157508081104904E-4</v>
      </c>
      <c r="T248" s="330">
        <v>1454</v>
      </c>
      <c r="U248" s="372">
        <f t="shared" si="6"/>
        <v>1.6075606207350997E-3</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1</v>
      </c>
      <c r="S251" s="372">
        <f t="shared" si="5"/>
        <v>1.4692918013517486E-4</v>
      </c>
      <c r="T251" s="330">
        <v>127</v>
      </c>
      <c r="U251" s="372">
        <f t="shared" si="6"/>
        <v>1.4041279149474393E-4</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1</v>
      </c>
      <c r="S253" s="372">
        <f t="shared" si="5"/>
        <v>1.4692918013517486E-4</v>
      </c>
      <c r="T253" s="330">
        <v>680</v>
      </c>
      <c r="U253" s="372">
        <f t="shared" si="6"/>
        <v>7.5181652138918008E-4</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1</v>
      </c>
      <c r="S254" s="372">
        <f t="shared" si="5"/>
        <v>1.4692918013517486E-4</v>
      </c>
      <c r="T254" s="330">
        <v>164</v>
      </c>
      <c r="U254" s="372">
        <f t="shared" si="6"/>
        <v>1.8132045515856696E-4</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6806</v>
      </c>
      <c r="S256" s="372">
        <f>SUM(S247:S255)</f>
        <v>1</v>
      </c>
      <c r="T256" s="330">
        <f>SUM(T247:T255)</f>
        <v>904476</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96</v>
      </c>
      <c r="S259" s="250">
        <f t="shared" ref="S259:S266" si="7">R259/$R$268</f>
        <v>0.8571428571428571</v>
      </c>
      <c r="T259" s="251">
        <v>16419</v>
      </c>
      <c r="U259" s="250">
        <f t="shared" ref="U259:U266" si="8">T259/$T$268</f>
        <v>0.88312177280550774</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5</v>
      </c>
      <c r="S260" s="372">
        <f t="shared" si="7"/>
        <v>4.4642857142857144E-2</v>
      </c>
      <c r="T260" s="330">
        <v>652</v>
      </c>
      <c r="U260" s="372">
        <f t="shared" si="8"/>
        <v>3.5068846815834769E-2</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2</v>
      </c>
      <c r="S261" s="372">
        <f t="shared" si="7"/>
        <v>1.7857142857142856E-2</v>
      </c>
      <c r="T261" s="330">
        <v>162</v>
      </c>
      <c r="U261" s="372">
        <f t="shared" si="8"/>
        <v>8.713425129087779E-3</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2</v>
      </c>
      <c r="S262" s="372">
        <f t="shared" si="7"/>
        <v>1.7857142857142856E-2</v>
      </c>
      <c r="T262" s="330">
        <v>225</v>
      </c>
      <c r="U262" s="372">
        <f t="shared" si="8"/>
        <v>1.2101979345955249E-2</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1</v>
      </c>
      <c r="S263" s="372">
        <f t="shared" si="7"/>
        <v>8.9285714285714281E-3</v>
      </c>
      <c r="T263" s="330">
        <v>221</v>
      </c>
      <c r="U263" s="372">
        <f t="shared" si="8"/>
        <v>1.18868330464716E-2</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2</v>
      </c>
      <c r="S265" s="372">
        <f t="shared" si="7"/>
        <v>1.7857142857142856E-2</v>
      </c>
      <c r="T265" s="330">
        <v>297</v>
      </c>
      <c r="U265" s="372">
        <f t="shared" si="8"/>
        <v>1.5974612736660929E-2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4</v>
      </c>
      <c r="S266" s="372">
        <f t="shared" si="7"/>
        <v>3.5714285714285712E-2</v>
      </c>
      <c r="T266" s="330">
        <v>616</v>
      </c>
      <c r="U266" s="372">
        <f t="shared" si="8"/>
        <v>3.313253012048193E-2</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112</v>
      </c>
      <c r="S268" s="372">
        <f>SUM(S259:S267)</f>
        <v>1</v>
      </c>
      <c r="T268" s="330">
        <f>SUM(T259:T267)</f>
        <v>18592</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0</v>
      </c>
      <c r="S278" s="372">
        <v>0</v>
      </c>
      <c r="T278" s="330">
        <v>0</v>
      </c>
      <c r="U278" s="372">
        <v>0</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0</v>
      </c>
      <c r="S280" s="372">
        <f>SUM(S271:S279)</f>
        <v>0</v>
      </c>
      <c r="T280" s="330">
        <f>SUM(T271:T278)</f>
        <v>0</v>
      </c>
      <c r="U280" s="372">
        <f>SUM(U271:U279)</f>
        <v>0</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6918</v>
      </c>
      <c r="S282" s="372"/>
      <c r="T282" s="397">
        <f>+T280+T268+T256</f>
        <v>923068</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JULY 2014</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1F00-000000000000}"/>
    <hyperlink ref="I9" r:id="rId2" xr:uid="{00000000-0004-0000-1F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9CB31"/>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0.6532</v>
      </c>
      <c r="T16" s="381" t="s">
        <v>145</v>
      </c>
      <c r="U16" s="380">
        <v>0.3468</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41964</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316</v>
      </c>
      <c r="E27" s="285"/>
      <c r="F27" s="285" t="s">
        <v>317</v>
      </c>
      <c r="G27" s="285"/>
      <c r="H27" s="285" t="s">
        <v>317</v>
      </c>
      <c r="I27" s="285"/>
      <c r="J27" s="285" t="s">
        <v>317</v>
      </c>
      <c r="K27" s="285"/>
      <c r="L27" s="285" t="s">
        <v>149</v>
      </c>
      <c r="M27" s="285"/>
      <c r="N27" s="285" t="s">
        <v>149</v>
      </c>
      <c r="O27" s="285"/>
      <c r="P27" s="285" t="s">
        <v>318</v>
      </c>
      <c r="Q27" s="285"/>
      <c r="R27" s="285" t="s">
        <v>318</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833152.04999999993</v>
      </c>
      <c r="E32" s="289"/>
      <c r="F32" s="290">
        <f>F31*F38</f>
        <v>80538.22</v>
      </c>
      <c r="G32" s="290"/>
      <c r="H32" s="295">
        <f>H31*H38</f>
        <v>136081.82</v>
      </c>
      <c r="I32" s="295"/>
      <c r="J32" s="294">
        <f>J31*J38</f>
        <v>172740.1917</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822104.70000000007</v>
      </c>
      <c r="E33" s="301"/>
      <c r="F33" s="303">
        <f>F37*F31</f>
        <v>79470.323999999993</v>
      </c>
      <c r="G33" s="303"/>
      <c r="H33" s="384">
        <f>H31*H37</f>
        <v>134277.44399999999</v>
      </c>
      <c r="I33" s="384"/>
      <c r="J33" s="383">
        <f>J37*J31</f>
        <v>170449.7078</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452799.80982989998</v>
      </c>
      <c r="E35" s="289"/>
      <c r="F35" s="290">
        <f>F34*F38</f>
        <v>80538.22</v>
      </c>
      <c r="G35" s="290"/>
      <c r="H35" s="290">
        <f>H34*H38</f>
        <v>93849.799176</v>
      </c>
      <c r="I35" s="290"/>
      <c r="J35" s="290">
        <f>J34*J38</f>
        <v>93880.683863399987</v>
      </c>
      <c r="K35" s="290"/>
      <c r="L35" s="290">
        <f>+L34</f>
        <v>25000</v>
      </c>
      <c r="M35" s="290"/>
      <c r="N35" s="290">
        <f>+N34</f>
        <v>86897</v>
      </c>
      <c r="O35" s="290"/>
      <c r="P35" s="290">
        <f>+P34</f>
        <v>17000</v>
      </c>
      <c r="Q35" s="290"/>
      <c r="R35" s="290">
        <f>+R34</f>
        <v>73103</v>
      </c>
      <c r="S35" s="290"/>
      <c r="T35" s="290"/>
      <c r="U35" s="291"/>
      <c r="V35" s="290">
        <f>SUM(C35:R35)-1</f>
        <v>923067.51286930009</v>
      </c>
      <c r="W35" s="292"/>
      <c r="X35" s="5"/>
    </row>
    <row r="36" spans="1:24" ht="15.6" x14ac:dyDescent="0.3">
      <c r="A36" s="283"/>
      <c r="B36" s="288" t="s">
        <v>295</v>
      </c>
      <c r="C36" s="301"/>
      <c r="D36" s="303">
        <f>D34*D37</f>
        <v>446795.81814660004</v>
      </c>
      <c r="E36" s="301"/>
      <c r="F36" s="303">
        <f>F34*F37</f>
        <v>79470.323999999993</v>
      </c>
      <c r="G36" s="303"/>
      <c r="H36" s="303">
        <f>H34*H37</f>
        <v>92605.398379199993</v>
      </c>
      <c r="I36" s="303"/>
      <c r="J36" s="303">
        <f>J34*J37</f>
        <v>92635.853735600002</v>
      </c>
      <c r="K36" s="303"/>
      <c r="L36" s="303">
        <f>+L34</f>
        <v>25000</v>
      </c>
      <c r="M36" s="303"/>
      <c r="N36" s="303">
        <f>+N34</f>
        <v>86897</v>
      </c>
      <c r="O36" s="303"/>
      <c r="P36" s="303">
        <f>+P34</f>
        <v>17000</v>
      </c>
      <c r="Q36" s="303"/>
      <c r="R36" s="303">
        <f>+R34</f>
        <v>73103</v>
      </c>
      <c r="S36" s="302"/>
      <c r="T36" s="302"/>
      <c r="U36" s="291"/>
      <c r="V36" s="303">
        <f>SUM(C36:R36)</f>
        <v>913507.3942614001</v>
      </c>
      <c r="W36" s="292"/>
      <c r="X36" s="5"/>
    </row>
    <row r="37" spans="1:24" ht="15.6" x14ac:dyDescent="0.3">
      <c r="A37" s="278"/>
      <c r="B37" s="304" t="s">
        <v>135</v>
      </c>
      <c r="C37" s="305"/>
      <c r="D37" s="306">
        <v>0.54806980000000005</v>
      </c>
      <c r="E37" s="307"/>
      <c r="F37" s="306">
        <v>0.54807119999999998</v>
      </c>
      <c r="G37" s="306"/>
      <c r="H37" s="306">
        <v>0.54807119999999998</v>
      </c>
      <c r="I37" s="306"/>
      <c r="J37" s="306">
        <v>0.54806980000000005</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0.55543469999999995</v>
      </c>
      <c r="E38" s="307"/>
      <c r="F38" s="306">
        <v>0.55543600000000004</v>
      </c>
      <c r="G38" s="306"/>
      <c r="H38" s="306">
        <v>0.55543600000000004</v>
      </c>
      <c r="I38" s="306"/>
      <c r="J38" s="306">
        <v>0.55543469999999995</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3.9329999999999999E-3</v>
      </c>
      <c r="E40" s="279"/>
      <c r="F40" s="314">
        <v>7.9962999999999996E-3</v>
      </c>
      <c r="G40" s="313"/>
      <c r="H40" s="314">
        <v>4.3899999999999998E-3</v>
      </c>
      <c r="I40" s="314"/>
      <c r="J40" s="314">
        <v>4.5360000000000001E-3</v>
      </c>
      <c r="K40" s="313"/>
      <c r="L40" s="314">
        <v>1.0396300000000001E-2</v>
      </c>
      <c r="M40" s="313"/>
      <c r="N40" s="314">
        <v>6.79E-3</v>
      </c>
      <c r="O40" s="313"/>
      <c r="P40" s="314">
        <v>1.47963E-2</v>
      </c>
      <c r="Q40" s="313"/>
      <c r="R40" s="314">
        <v>1.119E-2</v>
      </c>
      <c r="S40" s="313"/>
      <c r="T40" s="314"/>
      <c r="U40" s="281"/>
      <c r="V40" s="287"/>
      <c r="W40" s="282"/>
      <c r="X40" s="5"/>
    </row>
    <row r="41" spans="1:24" ht="15.6" x14ac:dyDescent="0.3">
      <c r="A41" s="278"/>
      <c r="B41" s="279" t="s">
        <v>13</v>
      </c>
      <c r="C41" s="279"/>
      <c r="D41" s="314">
        <v>3.9199999999999999E-3</v>
      </c>
      <c r="E41" s="279"/>
      <c r="F41" s="314">
        <v>7.6505999999999996E-3</v>
      </c>
      <c r="G41" s="313"/>
      <c r="H41" s="314">
        <v>5.7499999999999999E-3</v>
      </c>
      <c r="I41" s="314"/>
      <c r="J41" s="314">
        <v>4.4384999999999997E-3</v>
      </c>
      <c r="K41" s="313"/>
      <c r="L41" s="314">
        <v>1.00506E-2</v>
      </c>
      <c r="M41" s="313"/>
      <c r="N41" s="314">
        <v>8.1499999999999993E-3</v>
      </c>
      <c r="O41" s="313"/>
      <c r="P41" s="314">
        <v>1.4450599999999999E-2</v>
      </c>
      <c r="Q41" s="313"/>
      <c r="R41" s="314">
        <v>1.255E-2</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8.2106000000000002E-3</v>
      </c>
      <c r="E43" s="314"/>
      <c r="F43" s="314">
        <f>+F40</f>
        <v>7.9962999999999996E-3</v>
      </c>
      <c r="G43" s="314"/>
      <c r="H43" s="314">
        <v>7.9182999999999996E-3</v>
      </c>
      <c r="I43" s="314"/>
      <c r="J43" s="314">
        <v>8.1603000000000005E-3</v>
      </c>
      <c r="K43" s="314"/>
      <c r="L43" s="314">
        <f>+L40</f>
        <v>1.0396300000000001E-2</v>
      </c>
      <c r="M43" s="314"/>
      <c r="N43" s="314">
        <v>1.05983E-2</v>
      </c>
      <c r="O43" s="314"/>
      <c r="P43" s="314">
        <f>+P40</f>
        <v>1.47963E-2</v>
      </c>
      <c r="Q43" s="313"/>
      <c r="R43" s="314">
        <v>1.52683E-2</v>
      </c>
      <c r="S43" s="287"/>
      <c r="T43" s="287"/>
      <c r="U43" s="281"/>
      <c r="V43" s="313">
        <f>SUMPRODUCT(D43:R43,D35:R35)/V35</f>
        <v>9.1212774679389572E-3</v>
      </c>
      <c r="W43" s="282"/>
      <c r="X43" s="5"/>
    </row>
    <row r="44" spans="1:24" ht="15.6" x14ac:dyDescent="0.3">
      <c r="A44" s="278"/>
      <c r="B44" s="279" t="s">
        <v>298</v>
      </c>
      <c r="C44" s="315"/>
      <c r="D44" s="314">
        <v>7.8648999999999993E-3</v>
      </c>
      <c r="E44" s="314"/>
      <c r="F44" s="314">
        <f>+F41</f>
        <v>7.6505999999999996E-3</v>
      </c>
      <c r="G44" s="314"/>
      <c r="H44" s="314">
        <v>7.5725999999999996E-3</v>
      </c>
      <c r="I44" s="314"/>
      <c r="J44" s="314">
        <v>7.8145999999999997E-3</v>
      </c>
      <c r="K44" s="314"/>
      <c r="L44" s="314">
        <f>+L41</f>
        <v>1.00506E-2</v>
      </c>
      <c r="M44" s="314"/>
      <c r="N44" s="314">
        <v>1.0252600000000001E-2</v>
      </c>
      <c r="O44" s="314"/>
      <c r="P44" s="314">
        <f>+P41</f>
        <v>1.4450599999999999E-2</v>
      </c>
      <c r="Q44" s="313"/>
      <c r="R44" s="314">
        <v>1.4922599999999999E-2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0.28390428775472065</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41960</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92</v>
      </c>
      <c r="S57" s="279"/>
      <c r="T57" s="325">
        <v>41774</v>
      </c>
      <c r="U57" s="326"/>
      <c r="V57" s="325">
        <v>41865</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94</v>
      </c>
      <c r="S58" s="279"/>
      <c r="T58" s="325">
        <v>41866</v>
      </c>
      <c r="U58" s="326"/>
      <c r="V58" s="325">
        <v>41959</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41946</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333</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923068</v>
      </c>
      <c r="O68" s="329"/>
      <c r="P68" s="329">
        <f>9561+46+39</f>
        <v>9646</v>
      </c>
      <c r="Q68" s="329"/>
      <c r="R68" s="329">
        <f>46+39</f>
        <v>85</v>
      </c>
      <c r="S68" s="329"/>
      <c r="T68" s="329">
        <v>0</v>
      </c>
      <c r="U68" s="329"/>
      <c r="V68" s="330">
        <f>+N68-P68+R68-T68</f>
        <v>913507</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923068</v>
      </c>
      <c r="O71" s="329"/>
      <c r="P71" s="329">
        <f>SUM(P68:P70)</f>
        <v>9646</v>
      </c>
      <c r="Q71" s="329"/>
      <c r="R71" s="329">
        <f>SUM(R68:R70)</f>
        <v>85</v>
      </c>
      <c r="S71" s="329"/>
      <c r="T71" s="329">
        <f>SUM(T68:T70)</f>
        <v>0</v>
      </c>
      <c r="U71" s="329"/>
      <c r="V71" s="329">
        <f>SUM(V68:V70)</f>
        <v>913507</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923068</v>
      </c>
      <c r="O84" s="329"/>
      <c r="P84" s="329"/>
      <c r="Q84" s="329"/>
      <c r="R84" s="329"/>
      <c r="S84" s="329"/>
      <c r="T84" s="329"/>
      <c r="U84" s="329"/>
      <c r="V84" s="329">
        <f>SUM(V71:V83)</f>
        <v>913507</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41943</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9646-16</f>
        <v>9630</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4190+2442-751-555</f>
        <v>5326</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59+25</f>
        <v>84</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43</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600</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9630</v>
      </c>
      <c r="U96" s="279"/>
      <c r="V96" s="329">
        <f>SUM(V88:V95)</f>
        <v>6053</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14</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9630</v>
      </c>
      <c r="U100" s="279"/>
      <c r="V100" s="329">
        <f>V96+V98+V97+V99</f>
        <v>6067</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-353-129-12</f>
        <v>-494</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-1512+166</f>
        <v>-1346</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-166</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-237</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-67</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-287</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-65</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16</v>
      </c>
      <c r="U114" s="279"/>
      <c r="V114" s="330">
        <v>-16</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-352</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-3027</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-85</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-6004</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-1068</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-1244</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-1245</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-9646</v>
      </c>
      <c r="U132" s="329"/>
      <c r="V132" s="329">
        <f>SUM(V101:V129)</f>
        <v>-6067</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OCTOBER 2014</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16</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16</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-16</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v>0</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913507</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913507</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+'July 14'!S182</f>
        <v>50263</v>
      </c>
      <c r="T180" s="330">
        <f>+'July 14'!T182</f>
        <v>6362</v>
      </c>
      <c r="U180" s="279"/>
      <c r="V180" s="330">
        <f>S180+T180</f>
        <v>56625</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46+39</f>
        <v>85</v>
      </c>
      <c r="T181" s="329">
        <v>0</v>
      </c>
      <c r="U181" s="279"/>
      <c r="V181" s="330">
        <f>S181+T181</f>
        <v>85</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50348</v>
      </c>
      <c r="T182" s="330">
        <f>T181+T180</f>
        <v>6362</v>
      </c>
      <c r="U182" s="279"/>
      <c r="V182" s="330">
        <f>S182+T182</f>
        <v>56710</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183322.80000000002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3.6845238095238093</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1.76</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13.351973684210526</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6.63</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10.667613636363637</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6.22</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OCTOBER 2014</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41943</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2.2519999999999998E-2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9.1212774679389572E-3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1.3398722532061041E-2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6.5726468689197327E-3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13</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1.0449934349365378E-2</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6.3100000000000003E-2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1</v>
      </c>
      <c r="T215" s="263">
        <v>681</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109</v>
      </c>
      <c r="T216" s="355">
        <f>+T268</f>
        <v>18219</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2</v>
      </c>
      <c r="T217" s="355">
        <f>+T280</f>
        <v>291</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16</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'July 14'!T222+'Oct 14'!T221</f>
        <v>6561</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0</v>
      </c>
      <c r="T224" s="355">
        <v>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0</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2</v>
      </c>
      <c r="T228" s="355">
        <v>168</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1.07</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6822</v>
      </c>
      <c r="S235" s="372">
        <f t="shared" ref="S235:S242" si="2">R235/$R$244</f>
        <v>0.99663988312636964</v>
      </c>
      <c r="T235" s="330">
        <f t="shared" ref="T235:T242" si="3">+T247+T259+T271</f>
        <v>909341</v>
      </c>
      <c r="U235" s="372">
        <f t="shared" ref="U235:U242" si="4">T235/$T$244</f>
        <v>0.99543955328202194</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9</v>
      </c>
      <c r="S236" s="372">
        <f t="shared" si="2"/>
        <v>1.314828341855369E-3</v>
      </c>
      <c r="T236" s="330">
        <f t="shared" si="3"/>
        <v>1448</v>
      </c>
      <c r="U236" s="372">
        <f t="shared" si="4"/>
        <v>1.5851000594412521E-3</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1</v>
      </c>
      <c r="S237" s="372">
        <f t="shared" si="2"/>
        <v>1.4609203798392987E-4</v>
      </c>
      <c r="T237" s="330">
        <f t="shared" si="3"/>
        <v>146</v>
      </c>
      <c r="U237" s="372">
        <f t="shared" si="4"/>
        <v>1.5982362477791632E-4</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0</v>
      </c>
      <c r="S238" s="372">
        <f t="shared" si="2"/>
        <v>0</v>
      </c>
      <c r="T238" s="330">
        <f t="shared" si="3"/>
        <v>0</v>
      </c>
      <c r="U238" s="372">
        <f t="shared" si="4"/>
        <v>0</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2</v>
      </c>
      <c r="S239" s="372">
        <f t="shared" si="2"/>
        <v>2.9218407596785974E-4</v>
      </c>
      <c r="T239" s="330">
        <f t="shared" si="3"/>
        <v>371</v>
      </c>
      <c r="U239" s="372">
        <f t="shared" si="4"/>
        <v>4.0612715611374628E-4</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1</v>
      </c>
      <c r="S240" s="372">
        <f t="shared" si="2"/>
        <v>1.4609203798392987E-4</v>
      </c>
      <c r="T240" s="330">
        <f t="shared" si="3"/>
        <v>221</v>
      </c>
      <c r="U240" s="372">
        <f t="shared" si="4"/>
        <v>2.4192480188985963E-4</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6</v>
      </c>
      <c r="S241" s="372">
        <f t="shared" si="2"/>
        <v>8.7655222790357921E-4</v>
      </c>
      <c r="T241" s="330">
        <f t="shared" si="3"/>
        <v>811</v>
      </c>
      <c r="U241" s="372">
        <f t="shared" si="4"/>
        <v>8.8778739517048034E-4</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4</v>
      </c>
      <c r="S242" s="372">
        <f t="shared" si="2"/>
        <v>5.8436815193571947E-4</v>
      </c>
      <c r="T242" s="330">
        <f t="shared" si="3"/>
        <v>1169</v>
      </c>
      <c r="U242" s="372">
        <f t="shared" si="4"/>
        <v>1.2796836805848231E-3</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6845</v>
      </c>
      <c r="S244" s="372">
        <f>SUM(S235:S243)</f>
        <v>1</v>
      </c>
      <c r="T244" s="330">
        <f>SUM(T235:T243)</f>
        <v>913507</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6724</v>
      </c>
      <c r="S247" s="250">
        <f t="shared" ref="S247:S254" si="5">R247/$R$256</f>
        <v>0.99851499851499848</v>
      </c>
      <c r="T247" s="251">
        <v>892790</v>
      </c>
      <c r="U247" s="250">
        <f t="shared" ref="U247:U254" si="6">T247/$T$256</f>
        <v>0.99753406994660321</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8</v>
      </c>
      <c r="S248" s="372">
        <f t="shared" si="5"/>
        <v>1.1880011880011879E-3</v>
      </c>
      <c r="T248" s="330">
        <v>1380</v>
      </c>
      <c r="U248" s="372">
        <f t="shared" si="6"/>
        <v>1.541904609736122E-3</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1</v>
      </c>
      <c r="S249" s="372">
        <f t="shared" si="5"/>
        <v>1.4850014850014849E-4</v>
      </c>
      <c r="T249" s="330">
        <v>146</v>
      </c>
      <c r="U249" s="372">
        <f t="shared" si="6"/>
        <v>1.6312903842135784E-4</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1</v>
      </c>
      <c r="S254" s="372">
        <f t="shared" si="5"/>
        <v>1.4850014850014849E-4</v>
      </c>
      <c r="T254" s="330">
        <v>681</v>
      </c>
      <c r="U254" s="372">
        <f t="shared" si="6"/>
        <v>7.6089640523934713E-4</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6734</v>
      </c>
      <c r="S256" s="372">
        <f>SUM(S247:S255)</f>
        <v>0.99999999999999989</v>
      </c>
      <c r="T256" s="330">
        <f>SUM(T247:T255)</f>
        <v>894997</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98</v>
      </c>
      <c r="S259" s="250">
        <f t="shared" ref="S259:S266" si="7">R259/$R$268</f>
        <v>0.8990825688073395</v>
      </c>
      <c r="T259" s="251">
        <v>16551</v>
      </c>
      <c r="U259" s="250">
        <f t="shared" ref="U259:U266" si="8">T259/$T$268</f>
        <v>0.90844722542400791</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1</v>
      </c>
      <c r="S260" s="372">
        <f t="shared" si="7"/>
        <v>9.1743119266055051E-3</v>
      </c>
      <c r="T260" s="330">
        <v>68</v>
      </c>
      <c r="U260" s="372">
        <f t="shared" si="8"/>
        <v>3.732367308853395E-3</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0</v>
      </c>
      <c r="S261" s="372">
        <f t="shared" si="7"/>
        <v>0</v>
      </c>
      <c r="T261" s="330">
        <v>0</v>
      </c>
      <c r="U261" s="372">
        <f t="shared" si="8"/>
        <v>0</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0</v>
      </c>
      <c r="S262" s="372">
        <f t="shared" si="7"/>
        <v>0</v>
      </c>
      <c r="T262" s="330">
        <v>0</v>
      </c>
      <c r="U262" s="372">
        <f t="shared" si="8"/>
        <v>0</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2</v>
      </c>
      <c r="S263" s="372">
        <f t="shared" si="7"/>
        <v>1.834862385321101E-2</v>
      </c>
      <c r="T263" s="330">
        <v>371</v>
      </c>
      <c r="U263" s="372">
        <f t="shared" si="8"/>
        <v>2.0363356935067786E-2</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1</v>
      </c>
      <c r="S264" s="372">
        <f t="shared" si="7"/>
        <v>9.1743119266055051E-3</v>
      </c>
      <c r="T264" s="330">
        <v>221</v>
      </c>
      <c r="U264" s="372">
        <f t="shared" si="8"/>
        <v>1.2130193753773532E-2</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5</v>
      </c>
      <c r="S265" s="372">
        <f t="shared" si="7"/>
        <v>4.5871559633027525E-2</v>
      </c>
      <c r="T265" s="330">
        <v>684</v>
      </c>
      <c r="U265" s="372">
        <f t="shared" si="8"/>
        <v>3.7543224106701793E-2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2</v>
      </c>
      <c r="S266" s="372">
        <f t="shared" si="7"/>
        <v>1.834862385321101E-2</v>
      </c>
      <c r="T266" s="330">
        <v>324</v>
      </c>
      <c r="U266" s="372">
        <f t="shared" si="8"/>
        <v>1.7783632471595586E-2</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109</v>
      </c>
      <c r="S268" s="372">
        <f>SUM(S259:S267)</f>
        <v>1</v>
      </c>
      <c r="T268" s="330">
        <f>SUM(T259:T267)</f>
        <v>18219</v>
      </c>
      <c r="U268" s="372">
        <f>SUM(U259:U267)</f>
        <v>0.99999999999999989</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1</v>
      </c>
      <c r="S277" s="372">
        <v>0.5</v>
      </c>
      <c r="T277" s="330">
        <v>127</v>
      </c>
      <c r="U277" s="372">
        <f>T277/T280</f>
        <v>0.43642611683848798</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1</v>
      </c>
      <c r="S278" s="372">
        <v>0.5</v>
      </c>
      <c r="T278" s="330">
        <v>164</v>
      </c>
      <c r="U278" s="372">
        <f>T278/T280</f>
        <v>0.56357388316151202</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2</v>
      </c>
      <c r="S280" s="372">
        <f>SUM(S271:S279)</f>
        <v>1</v>
      </c>
      <c r="T280" s="330">
        <f>SUM(T271:T278)</f>
        <v>291</v>
      </c>
      <c r="U280" s="372">
        <f>SUM(U271:U279)</f>
        <v>1</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6845</v>
      </c>
      <c r="S282" s="372"/>
      <c r="T282" s="397">
        <f>+T280+T268+T256</f>
        <v>913507</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OCTOBER 2014</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2000-000000000000}"/>
    <hyperlink ref="I9" r:id="rId2" xr:uid="{00000000-0004-0000-20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2D2926"/>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0.65469999999999995</v>
      </c>
      <c r="T16" s="381" t="s">
        <v>145</v>
      </c>
      <c r="U16" s="380">
        <v>0.3453</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42059</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316</v>
      </c>
      <c r="E27" s="285"/>
      <c r="F27" s="285" t="s">
        <v>317</v>
      </c>
      <c r="G27" s="285"/>
      <c r="H27" s="285" t="s">
        <v>317</v>
      </c>
      <c r="I27" s="285"/>
      <c r="J27" s="285" t="s">
        <v>317</v>
      </c>
      <c r="K27" s="285"/>
      <c r="L27" s="285" t="s">
        <v>149</v>
      </c>
      <c r="M27" s="285"/>
      <c r="N27" s="285" t="s">
        <v>149</v>
      </c>
      <c r="O27" s="285"/>
      <c r="P27" s="285" t="s">
        <v>318</v>
      </c>
      <c r="Q27" s="285"/>
      <c r="R27" s="285" t="s">
        <v>318</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822104.70000000007</v>
      </c>
      <c r="E32" s="289"/>
      <c r="F32" s="290">
        <f>F31*F38</f>
        <v>79470.323999999993</v>
      </c>
      <c r="G32" s="290"/>
      <c r="H32" s="295">
        <f>H31*H38</f>
        <v>134277.44399999999</v>
      </c>
      <c r="I32" s="295"/>
      <c r="J32" s="294">
        <f>J31*J38</f>
        <v>170449.7078</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812815.65</v>
      </c>
      <c r="E33" s="301"/>
      <c r="F33" s="303">
        <f>F37*F31</f>
        <v>78572.396999999997</v>
      </c>
      <c r="G33" s="303"/>
      <c r="H33" s="384">
        <f>H31*H37</f>
        <v>132760.25699999998</v>
      </c>
      <c r="I33" s="384"/>
      <c r="J33" s="383">
        <f>J37*J31</f>
        <v>168523.7781</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446795.81814660004</v>
      </c>
      <c r="E35" s="289"/>
      <c r="F35" s="290">
        <f>F34*F38</f>
        <v>79470.323999999993</v>
      </c>
      <c r="G35" s="290"/>
      <c r="H35" s="290">
        <f>H34*H38</f>
        <v>92605.398379199993</v>
      </c>
      <c r="I35" s="290"/>
      <c r="J35" s="290">
        <f>J34*J38</f>
        <v>92635.853735600002</v>
      </c>
      <c r="K35" s="290"/>
      <c r="L35" s="290">
        <f>+L34</f>
        <v>25000</v>
      </c>
      <c r="M35" s="290"/>
      <c r="N35" s="290">
        <f>+N34</f>
        <v>86897</v>
      </c>
      <c r="O35" s="290"/>
      <c r="P35" s="290">
        <f>+P34</f>
        <v>17000</v>
      </c>
      <c r="Q35" s="290"/>
      <c r="R35" s="290">
        <f>+R34</f>
        <v>73103</v>
      </c>
      <c r="S35" s="290"/>
      <c r="T35" s="290"/>
      <c r="U35" s="291"/>
      <c r="V35" s="290">
        <f>SUM(C35:R35)</f>
        <v>913507.3942614001</v>
      </c>
      <c r="W35" s="292"/>
      <c r="X35" s="5"/>
    </row>
    <row r="36" spans="1:24" ht="15.6" x14ac:dyDescent="0.3">
      <c r="A36" s="283"/>
      <c r="B36" s="288" t="s">
        <v>295</v>
      </c>
      <c r="C36" s="301"/>
      <c r="D36" s="303">
        <f>D34*D37</f>
        <v>441747.42383069999</v>
      </c>
      <c r="E36" s="301"/>
      <c r="F36" s="303">
        <f>F34*F37</f>
        <v>78572.396999999997</v>
      </c>
      <c r="G36" s="303"/>
      <c r="H36" s="303">
        <f>H34*H37</f>
        <v>91559.059527599995</v>
      </c>
      <c r="I36" s="303"/>
      <c r="J36" s="303">
        <f>J34*J37</f>
        <v>91589.151196199993</v>
      </c>
      <c r="K36" s="303"/>
      <c r="L36" s="303">
        <f>+L34</f>
        <v>25000</v>
      </c>
      <c r="M36" s="303"/>
      <c r="N36" s="303">
        <f>+N34</f>
        <v>86897</v>
      </c>
      <c r="O36" s="303"/>
      <c r="P36" s="303">
        <f>+P34</f>
        <v>17000</v>
      </c>
      <c r="Q36" s="303"/>
      <c r="R36" s="303">
        <f>+R34</f>
        <v>73103</v>
      </c>
      <c r="S36" s="302"/>
      <c r="T36" s="302"/>
      <c r="U36" s="291"/>
      <c r="V36" s="303">
        <f>SUM(C36:R36)</f>
        <v>905468.03155449987</v>
      </c>
      <c r="W36" s="292"/>
      <c r="X36" s="5"/>
    </row>
    <row r="37" spans="1:24" ht="15.6" x14ac:dyDescent="0.3">
      <c r="A37" s="278"/>
      <c r="B37" s="304" t="s">
        <v>135</v>
      </c>
      <c r="C37" s="305"/>
      <c r="D37" s="306">
        <v>0.5418771</v>
      </c>
      <c r="E37" s="307"/>
      <c r="F37" s="306">
        <v>0.54187859999999999</v>
      </c>
      <c r="G37" s="306"/>
      <c r="H37" s="306">
        <v>0.54187859999999999</v>
      </c>
      <c r="I37" s="306"/>
      <c r="J37" s="306">
        <v>0.5418771</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0.54806980000000005</v>
      </c>
      <c r="E38" s="307"/>
      <c r="F38" s="306">
        <v>0.54807119999999998</v>
      </c>
      <c r="G38" s="306"/>
      <c r="H38" s="306">
        <v>0.54807119999999998</v>
      </c>
      <c r="I38" s="306"/>
      <c r="J38" s="306">
        <v>0.54806980000000005</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4.065E-3</v>
      </c>
      <c r="E40" s="279"/>
      <c r="F40" s="314">
        <v>7.9524999999999995E-3</v>
      </c>
      <c r="G40" s="313"/>
      <c r="H40" s="314">
        <v>3.1800000000000001E-3</v>
      </c>
      <c r="I40" s="314"/>
      <c r="J40" s="314">
        <v>4.5209999999999998E-3</v>
      </c>
      <c r="K40" s="313"/>
      <c r="L40" s="314">
        <v>1.0352500000000001E-2</v>
      </c>
      <c r="M40" s="313"/>
      <c r="N40" s="314">
        <v>5.5799999999999999E-3</v>
      </c>
      <c r="O40" s="313"/>
      <c r="P40" s="314">
        <v>1.47525E-2</v>
      </c>
      <c r="Q40" s="313"/>
      <c r="R40" s="314">
        <v>9.9799999999999993E-3</v>
      </c>
      <c r="S40" s="313"/>
      <c r="T40" s="314"/>
      <c r="U40" s="281"/>
      <c r="V40" s="287"/>
      <c r="W40" s="282"/>
      <c r="X40" s="5"/>
    </row>
    <row r="41" spans="1:24" ht="15.6" x14ac:dyDescent="0.3">
      <c r="A41" s="278"/>
      <c r="B41" s="279" t="s">
        <v>13</v>
      </c>
      <c r="C41" s="279"/>
      <c r="D41" s="314">
        <v>3.9329999999999999E-3</v>
      </c>
      <c r="E41" s="279"/>
      <c r="F41" s="314">
        <v>7.9962999999999996E-3</v>
      </c>
      <c r="G41" s="313"/>
      <c r="H41" s="314">
        <v>4.3899999999999998E-3</v>
      </c>
      <c r="I41" s="314"/>
      <c r="J41" s="314">
        <v>4.5360000000000001E-3</v>
      </c>
      <c r="K41" s="313"/>
      <c r="L41" s="314">
        <v>1.0396300000000001E-2</v>
      </c>
      <c r="M41" s="313"/>
      <c r="N41" s="314">
        <v>6.79E-3</v>
      </c>
      <c r="O41" s="313"/>
      <c r="P41" s="314">
        <v>1.47963E-2</v>
      </c>
      <c r="Q41" s="313"/>
      <c r="R41" s="314">
        <v>1.119E-2</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8.1668000000000001E-3</v>
      </c>
      <c r="E43" s="314"/>
      <c r="F43" s="314">
        <f>+F40</f>
        <v>7.9524999999999995E-3</v>
      </c>
      <c r="G43" s="314"/>
      <c r="H43" s="314">
        <v>7.8744999999999996E-3</v>
      </c>
      <c r="I43" s="314"/>
      <c r="J43" s="314">
        <v>8.1165000000000005E-3</v>
      </c>
      <c r="K43" s="314"/>
      <c r="L43" s="314">
        <f>+L40</f>
        <v>1.0352500000000001E-2</v>
      </c>
      <c r="M43" s="314"/>
      <c r="N43" s="314">
        <v>1.05545E-2</v>
      </c>
      <c r="O43" s="314"/>
      <c r="P43" s="314">
        <f>+P40</f>
        <v>1.47525E-2</v>
      </c>
      <c r="Q43" s="313"/>
      <c r="R43" s="314">
        <v>1.52245E-2</v>
      </c>
      <c r="S43" s="287"/>
      <c r="T43" s="287"/>
      <c r="U43" s="281"/>
      <c r="V43" s="313">
        <f>SUMPRODUCT(D43:R43,D35:R35)/V35</f>
        <v>9.0877162218745335E-3</v>
      </c>
      <c r="W43" s="282"/>
      <c r="X43" s="5"/>
    </row>
    <row r="44" spans="1:24" ht="15.6" x14ac:dyDescent="0.3">
      <c r="A44" s="278"/>
      <c r="B44" s="279" t="s">
        <v>298</v>
      </c>
      <c r="C44" s="315"/>
      <c r="D44" s="314">
        <v>8.2106000000000002E-3</v>
      </c>
      <c r="E44" s="314"/>
      <c r="F44" s="314">
        <f>+F41</f>
        <v>7.9962999999999996E-3</v>
      </c>
      <c r="G44" s="314"/>
      <c r="H44" s="314">
        <v>7.9182999999999996E-3</v>
      </c>
      <c r="I44" s="314"/>
      <c r="J44" s="314">
        <v>8.1603000000000005E-3</v>
      </c>
      <c r="K44" s="314"/>
      <c r="L44" s="314">
        <f>+L41</f>
        <v>1.0396300000000001E-2</v>
      </c>
      <c r="M44" s="314"/>
      <c r="N44" s="314">
        <v>1.05983E-2</v>
      </c>
      <c r="O44" s="314"/>
      <c r="P44" s="314">
        <f>+P41</f>
        <v>1.47963E-2</v>
      </c>
      <c r="Q44" s="313"/>
      <c r="R44" s="314">
        <v>1.52683E-2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0.28714879843740337</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42052</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94</v>
      </c>
      <c r="S57" s="279"/>
      <c r="T57" s="325">
        <v>41866</v>
      </c>
      <c r="U57" s="326"/>
      <c r="V57" s="325">
        <v>41959</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41960</v>
      </c>
      <c r="U58" s="326"/>
      <c r="V58" s="325">
        <v>42051</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42037</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334</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913507</v>
      </c>
      <c r="O68" s="329"/>
      <c r="P68" s="329">
        <f>8039+96+45</f>
        <v>8180</v>
      </c>
      <c r="Q68" s="329"/>
      <c r="R68" s="329">
        <f>96+45</f>
        <v>141</v>
      </c>
      <c r="S68" s="329"/>
      <c r="T68" s="329">
        <v>0</v>
      </c>
      <c r="U68" s="329"/>
      <c r="V68" s="330">
        <f>+N68-P68+R68-T68</f>
        <v>905468</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913507</v>
      </c>
      <c r="O71" s="329"/>
      <c r="P71" s="329">
        <f>SUM(P68:P70)</f>
        <v>8180</v>
      </c>
      <c r="Q71" s="329"/>
      <c r="R71" s="329">
        <f>SUM(R68:R70)</f>
        <v>141</v>
      </c>
      <c r="S71" s="329"/>
      <c r="T71" s="329">
        <f>SUM(T68:T70)</f>
        <v>0</v>
      </c>
      <c r="U71" s="329"/>
      <c r="V71" s="329">
        <f>SUM(V68:V70)</f>
        <v>905468</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913507</v>
      </c>
      <c r="O84" s="329"/>
      <c r="P84" s="329"/>
      <c r="Q84" s="329"/>
      <c r="R84" s="329"/>
      <c r="S84" s="329"/>
      <c r="T84" s="329"/>
      <c r="U84" s="329"/>
      <c r="V84" s="329">
        <f>SUM(V71:V83)</f>
        <v>905468</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42034</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8180-235</f>
        <v>7945</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4036+2269-711-420</f>
        <v>5174</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90+52</f>
        <v>142</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40</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517</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7945</v>
      </c>
      <c r="U96" s="279"/>
      <c r="V96" s="329">
        <f>SUM(V88:V95)</f>
        <v>5873</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50</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7945</v>
      </c>
      <c r="U100" s="279"/>
      <c r="V100" s="329">
        <f>V96+V98+V97+V99</f>
        <v>5923</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-349-147-12</f>
        <v>-508</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-1452+159</f>
        <v>-1293</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-159</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-231</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-65</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-281</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-63</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235</v>
      </c>
      <c r="U114" s="279"/>
      <c r="V114" s="330">
        <v>-235</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-349</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-2729</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-141</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-5048</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-898</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-1046</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-1047</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-8180</v>
      </c>
      <c r="U132" s="329"/>
      <c r="V132" s="329">
        <f>SUM(V101:V129)</f>
        <v>-5923</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JANUARY 2015</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235</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235</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-235</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v>0</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905468</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905468</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+'Oct 14'!S182</f>
        <v>50348</v>
      </c>
      <c r="T180" s="330">
        <f>+'Oct 14'!T182</f>
        <v>6362</v>
      </c>
      <c r="U180" s="279"/>
      <c r="V180" s="330">
        <f>S180+T180</f>
        <v>56710</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96+45</f>
        <v>141</v>
      </c>
      <c r="T181" s="329">
        <v>0</v>
      </c>
      <c r="U181" s="279"/>
      <c r="V181" s="330">
        <f>S181+T181</f>
        <v>141</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50489</v>
      </c>
      <c r="T182" s="330">
        <f>T181+T180</f>
        <v>6362</v>
      </c>
      <c r="U182" s="279"/>
      <c r="V182" s="330">
        <f>S182+T182</f>
        <v>56851</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183181.80000000002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3.7279614325068873</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1.77</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13.381756756756756</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6.71</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10.654069767441861</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6.29</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JANUARY 2015</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42034</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2.2499999999999999E-2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9.0877162218745335E-3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1.3412283778125466E-2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6.4838036271205367E-3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12.75</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8.9545017170092837E-3</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6.2300000000000001E-2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0</v>
      </c>
      <c r="T215" s="263">
        <v>0</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105</v>
      </c>
      <c r="T216" s="355">
        <f>+T268</f>
        <v>17885</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3</v>
      </c>
      <c r="T217" s="355">
        <f>+T280</f>
        <v>972</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235</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'Oct 14'!T222+'Jan 15'!T221</f>
        <v>6796</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0</v>
      </c>
      <c r="T224" s="355">
        <v>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0</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7</v>
      </c>
      <c r="T228" s="355">
        <v>869</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1.55</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6769</v>
      </c>
      <c r="S235" s="372">
        <f t="shared" ref="S235:S242" si="2">R235/$R$244</f>
        <v>0.9976418570375829</v>
      </c>
      <c r="T235" s="330">
        <f t="shared" ref="T235:T242" si="3">+T247+T259+T271</f>
        <v>902338</v>
      </c>
      <c r="U235" s="372">
        <f t="shared" ref="U235:U242" si="4">T235/$T$244</f>
        <v>0.99654322405650997</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4</v>
      </c>
      <c r="S236" s="372">
        <f t="shared" si="2"/>
        <v>5.8953574060427417E-4</v>
      </c>
      <c r="T236" s="330">
        <f t="shared" si="3"/>
        <v>817</v>
      </c>
      <c r="U236" s="372">
        <f t="shared" si="4"/>
        <v>9.0229582933908212E-4</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0</v>
      </c>
      <c r="S237" s="372">
        <f t="shared" si="2"/>
        <v>0</v>
      </c>
      <c r="T237" s="330">
        <f t="shared" si="3"/>
        <v>0</v>
      </c>
      <c r="U237" s="372">
        <f t="shared" si="4"/>
        <v>0</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0</v>
      </c>
      <c r="S238" s="372">
        <f t="shared" si="2"/>
        <v>0</v>
      </c>
      <c r="T238" s="330">
        <f t="shared" si="3"/>
        <v>0</v>
      </c>
      <c r="U238" s="372">
        <f t="shared" si="4"/>
        <v>0</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1</v>
      </c>
      <c r="S239" s="372">
        <f t="shared" si="2"/>
        <v>1.4738393515106854E-4</v>
      </c>
      <c r="T239" s="330">
        <f t="shared" si="3"/>
        <v>68</v>
      </c>
      <c r="U239" s="372">
        <f t="shared" si="4"/>
        <v>7.5099285673265094E-5</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7</v>
      </c>
      <c r="S241" s="372">
        <f t="shared" si="2"/>
        <v>1.0316875460574797E-3</v>
      </c>
      <c r="T241" s="330">
        <f t="shared" si="3"/>
        <v>1076</v>
      </c>
      <c r="U241" s="372">
        <f t="shared" si="4"/>
        <v>1.18833575565343E-3</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4</v>
      </c>
      <c r="S242" s="372">
        <f t="shared" si="2"/>
        <v>5.8953574060427417E-4</v>
      </c>
      <c r="T242" s="330">
        <f t="shared" si="3"/>
        <v>1169</v>
      </c>
      <c r="U242" s="372">
        <f t="shared" si="4"/>
        <v>1.2910450728242191E-3</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6785</v>
      </c>
      <c r="S244" s="372">
        <f>SUM(S235:S243)</f>
        <v>0.99999999999999989</v>
      </c>
      <c r="T244" s="330">
        <f>SUM(T235:T243)</f>
        <v>905468</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6675</v>
      </c>
      <c r="S247" s="250">
        <f t="shared" ref="S247:S254" si="5">R247/$R$256</f>
        <v>0.99970046428036541</v>
      </c>
      <c r="T247" s="251">
        <v>885962</v>
      </c>
      <c r="U247" s="250">
        <f t="shared" ref="U247:U254" si="6">T247/$T$256</f>
        <v>0.99926799915633802</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2</v>
      </c>
      <c r="S248" s="372">
        <f t="shared" si="5"/>
        <v>2.9953571963456643E-4</v>
      </c>
      <c r="T248" s="330">
        <v>649</v>
      </c>
      <c r="U248" s="372">
        <f t="shared" si="6"/>
        <v>7.3200084366198935E-4</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0</v>
      </c>
      <c r="S254" s="372">
        <f t="shared" si="5"/>
        <v>0</v>
      </c>
      <c r="T254" s="330">
        <v>0</v>
      </c>
      <c r="U254" s="372">
        <f t="shared" si="6"/>
        <v>0</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6677</v>
      </c>
      <c r="S256" s="372">
        <f>SUM(S247:S255)</f>
        <v>1</v>
      </c>
      <c r="T256" s="330">
        <f>SUM(T247:T255)</f>
        <v>886611</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94</v>
      </c>
      <c r="S259" s="250">
        <f t="shared" ref="S259:S266" si="7">R259/$R$268</f>
        <v>0.89523809523809528</v>
      </c>
      <c r="T259" s="251">
        <v>16376</v>
      </c>
      <c r="U259" s="250">
        <f t="shared" ref="U259:U266" si="8">T259/$T$268</f>
        <v>0.91562762091137828</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2</v>
      </c>
      <c r="S260" s="372">
        <f t="shared" si="7"/>
        <v>1.9047619047619049E-2</v>
      </c>
      <c r="T260" s="330">
        <v>168</v>
      </c>
      <c r="U260" s="372">
        <f t="shared" si="8"/>
        <v>9.3933463796477493E-3</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0</v>
      </c>
      <c r="S261" s="372">
        <f t="shared" si="7"/>
        <v>0</v>
      </c>
      <c r="T261" s="330">
        <v>0</v>
      </c>
      <c r="U261" s="372">
        <f t="shared" si="8"/>
        <v>0</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0</v>
      </c>
      <c r="S262" s="372">
        <f t="shared" si="7"/>
        <v>0</v>
      </c>
      <c r="T262" s="330">
        <v>0</v>
      </c>
      <c r="U262" s="372">
        <f t="shared" si="8"/>
        <v>0</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1</v>
      </c>
      <c r="S263" s="372">
        <f t="shared" si="7"/>
        <v>9.5238095238095247E-3</v>
      </c>
      <c r="T263" s="330">
        <v>68</v>
      </c>
      <c r="U263" s="372">
        <f t="shared" si="8"/>
        <v>3.8020687727145651E-3</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6</v>
      </c>
      <c r="S265" s="372">
        <f t="shared" si="7"/>
        <v>5.7142857142857141E-2</v>
      </c>
      <c r="T265" s="330">
        <v>949</v>
      </c>
      <c r="U265" s="372">
        <f t="shared" si="8"/>
        <v>5.3061224489795916E-2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2</v>
      </c>
      <c r="S266" s="372">
        <f t="shared" si="7"/>
        <v>1.9047619047619049E-2</v>
      </c>
      <c r="T266" s="330">
        <v>324</v>
      </c>
      <c r="U266" s="372">
        <f t="shared" si="8"/>
        <v>1.8115739446463518E-2</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105</v>
      </c>
      <c r="S268" s="372">
        <f>SUM(S259:S267)</f>
        <v>1</v>
      </c>
      <c r="T268" s="330">
        <f>SUM(T259:T267)</f>
        <v>17885</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1</v>
      </c>
      <c r="S277" s="372">
        <f>+R277/$R$280</f>
        <v>0.33333333333333331</v>
      </c>
      <c r="T277" s="330">
        <v>127</v>
      </c>
      <c r="U277" s="372">
        <f>T277/T280</f>
        <v>0.13065843621399176</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2</v>
      </c>
      <c r="S278" s="372">
        <f>+R278/$R$280</f>
        <v>0.66666666666666663</v>
      </c>
      <c r="T278" s="330">
        <v>845</v>
      </c>
      <c r="U278" s="372">
        <f>T278/T280</f>
        <v>0.86934156378600824</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3</v>
      </c>
      <c r="S280" s="372">
        <f>SUM(S271:S279)</f>
        <v>1</v>
      </c>
      <c r="T280" s="330">
        <f>SUM(T271:T278)</f>
        <v>972</v>
      </c>
      <c r="U280" s="372">
        <f>SUM(U271:U279)</f>
        <v>1</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6785</v>
      </c>
      <c r="S282" s="372"/>
      <c r="T282" s="397">
        <f>+T280+T268+T256</f>
        <v>905468</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JANUARY 2015</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2100-000000000000}"/>
    <hyperlink ref="I9" r:id="rId2" xr:uid="{00000000-0004-0000-21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89CB31"/>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0.65549999999999997</v>
      </c>
      <c r="T16" s="381" t="s">
        <v>145</v>
      </c>
      <c r="U16" s="380">
        <v>0.34449999999999997</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42146</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316</v>
      </c>
      <c r="E27" s="285"/>
      <c r="F27" s="285" t="s">
        <v>317</v>
      </c>
      <c r="G27" s="285"/>
      <c r="H27" s="285" t="s">
        <v>317</v>
      </c>
      <c r="I27" s="285"/>
      <c r="J27" s="285" t="s">
        <v>317</v>
      </c>
      <c r="K27" s="285"/>
      <c r="L27" s="285" t="s">
        <v>149</v>
      </c>
      <c r="M27" s="285"/>
      <c r="N27" s="285" t="s">
        <v>149</v>
      </c>
      <c r="O27" s="285"/>
      <c r="P27" s="285" t="s">
        <v>318</v>
      </c>
      <c r="Q27" s="285"/>
      <c r="R27" s="285" t="s">
        <v>318</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317</v>
      </c>
      <c r="M28" s="285"/>
      <c r="N28" s="285" t="s">
        <v>317</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812815.65</v>
      </c>
      <c r="E32" s="289"/>
      <c r="F32" s="290">
        <f>F31*F38</f>
        <v>78572.396999999997</v>
      </c>
      <c r="G32" s="290"/>
      <c r="H32" s="295">
        <f>H31*H38</f>
        <v>132760.25699999998</v>
      </c>
      <c r="I32" s="295"/>
      <c r="J32" s="294">
        <f>J31*J38</f>
        <v>168523.7781</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803732.70000000007</v>
      </c>
      <c r="E33" s="301"/>
      <c r="F33" s="303">
        <f>F37*F31</f>
        <v>77694.392999999996</v>
      </c>
      <c r="G33" s="303"/>
      <c r="H33" s="384">
        <f>H31*H37</f>
        <v>131276.73299999998</v>
      </c>
      <c r="I33" s="384"/>
      <c r="J33" s="383">
        <f>J37*J31</f>
        <v>166640.57980000001</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441747.42383069999</v>
      </c>
      <c r="E35" s="289"/>
      <c r="F35" s="290">
        <f>F34*F38</f>
        <v>78572.396999999997</v>
      </c>
      <c r="G35" s="290"/>
      <c r="H35" s="290">
        <f>H34*H38</f>
        <v>91559.059527599995</v>
      </c>
      <c r="I35" s="290"/>
      <c r="J35" s="290">
        <f>J34*J38</f>
        <v>91589.151196199993</v>
      </c>
      <c r="K35" s="290"/>
      <c r="L35" s="290">
        <f>+L34</f>
        <v>25000</v>
      </c>
      <c r="M35" s="290"/>
      <c r="N35" s="290">
        <f>+N34</f>
        <v>86897</v>
      </c>
      <c r="O35" s="290"/>
      <c r="P35" s="290">
        <f>+P34</f>
        <v>17000</v>
      </c>
      <c r="Q35" s="290"/>
      <c r="R35" s="290">
        <f>+R34</f>
        <v>73103</v>
      </c>
      <c r="S35" s="290"/>
      <c r="T35" s="290"/>
      <c r="U35" s="291"/>
      <c r="V35" s="290">
        <f>SUM(C35:R35)</f>
        <v>905468.03155449987</v>
      </c>
      <c r="W35" s="292"/>
      <c r="X35" s="5"/>
    </row>
    <row r="36" spans="1:24" ht="15.6" x14ac:dyDescent="0.3">
      <c r="A36" s="283"/>
      <c r="B36" s="288" t="s">
        <v>295</v>
      </c>
      <c r="C36" s="301"/>
      <c r="D36" s="303">
        <f>D34*D37</f>
        <v>436811.04033059999</v>
      </c>
      <c r="E36" s="301"/>
      <c r="F36" s="303">
        <f>F34*F37</f>
        <v>77694.392999999996</v>
      </c>
      <c r="G36" s="303"/>
      <c r="H36" s="303">
        <f>H34*H37</f>
        <v>90535.936604399991</v>
      </c>
      <c r="I36" s="303"/>
      <c r="J36" s="303">
        <f>J34*J37</f>
        <v>90565.672279599996</v>
      </c>
      <c r="K36" s="303"/>
      <c r="L36" s="303">
        <f>+L34</f>
        <v>25000</v>
      </c>
      <c r="M36" s="303"/>
      <c r="N36" s="303">
        <f>+N34</f>
        <v>86897</v>
      </c>
      <c r="O36" s="303"/>
      <c r="P36" s="303">
        <f>+P34</f>
        <v>17000</v>
      </c>
      <c r="Q36" s="303"/>
      <c r="R36" s="303">
        <f>+R34</f>
        <v>73103</v>
      </c>
      <c r="S36" s="302"/>
      <c r="T36" s="302"/>
      <c r="U36" s="291"/>
      <c r="V36" s="303">
        <f>SUM(C36:R36)</f>
        <v>897607.0422145999</v>
      </c>
      <c r="W36" s="292"/>
      <c r="X36" s="5"/>
    </row>
    <row r="37" spans="1:24" ht="15.6" x14ac:dyDescent="0.3">
      <c r="A37" s="278"/>
      <c r="B37" s="304" t="s">
        <v>135</v>
      </c>
      <c r="C37" s="305"/>
      <c r="D37" s="306">
        <v>0.53582180000000001</v>
      </c>
      <c r="E37" s="307"/>
      <c r="F37" s="306">
        <v>0.53582339999999995</v>
      </c>
      <c r="G37" s="306"/>
      <c r="H37" s="306">
        <v>0.53582339999999995</v>
      </c>
      <c r="I37" s="306"/>
      <c r="J37" s="306">
        <v>0.53582180000000001</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0.5418771</v>
      </c>
      <c r="E38" s="307"/>
      <c r="F38" s="306">
        <v>0.54187859999999999</v>
      </c>
      <c r="G38" s="306"/>
      <c r="H38" s="306">
        <v>0.54187859999999999</v>
      </c>
      <c r="I38" s="306"/>
      <c r="J38" s="306">
        <v>0.5418771</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4.215E-3</v>
      </c>
      <c r="E40" s="279"/>
      <c r="F40" s="314">
        <v>8.0149999999999996E-3</v>
      </c>
      <c r="G40" s="313"/>
      <c r="H40" s="314">
        <v>2.8800000000000002E-3</v>
      </c>
      <c r="I40" s="314"/>
      <c r="J40" s="314">
        <v>4.7710000000000001E-3</v>
      </c>
      <c r="K40" s="313"/>
      <c r="L40" s="314">
        <v>1.0415000000000001E-2</v>
      </c>
      <c r="M40" s="313"/>
      <c r="N40" s="314">
        <v>5.28E-3</v>
      </c>
      <c r="O40" s="313"/>
      <c r="P40" s="314">
        <v>1.4815E-2</v>
      </c>
      <c r="Q40" s="313"/>
      <c r="R40" s="314">
        <v>9.6799999999999994E-3</v>
      </c>
      <c r="S40" s="313"/>
      <c r="T40" s="314"/>
      <c r="U40" s="281"/>
      <c r="V40" s="287"/>
      <c r="W40" s="282"/>
      <c r="X40" s="5"/>
    </row>
    <row r="41" spans="1:24" ht="15.6" x14ac:dyDescent="0.3">
      <c r="A41" s="278"/>
      <c r="B41" s="279" t="s">
        <v>13</v>
      </c>
      <c r="C41" s="279"/>
      <c r="D41" s="314">
        <v>4.065E-3</v>
      </c>
      <c r="E41" s="279"/>
      <c r="F41" s="314">
        <v>7.9524999999999995E-3</v>
      </c>
      <c r="G41" s="313"/>
      <c r="H41" s="314">
        <v>3.1800000000000001E-3</v>
      </c>
      <c r="I41" s="314"/>
      <c r="J41" s="314">
        <v>4.5209999999999998E-3</v>
      </c>
      <c r="K41" s="313"/>
      <c r="L41" s="314">
        <v>1.0352500000000001E-2</v>
      </c>
      <c r="M41" s="313"/>
      <c r="N41" s="314">
        <v>5.5799999999999999E-3</v>
      </c>
      <c r="O41" s="313"/>
      <c r="P41" s="314">
        <v>1.47525E-2</v>
      </c>
      <c r="Q41" s="313"/>
      <c r="R41" s="314">
        <v>9.9799999999999993E-3</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8.2293000000000002E-3</v>
      </c>
      <c r="E43" s="314"/>
      <c r="F43" s="314">
        <f>+F40</f>
        <v>8.0149999999999996E-3</v>
      </c>
      <c r="G43" s="314"/>
      <c r="H43" s="314">
        <v>7.9369999999999996E-3</v>
      </c>
      <c r="I43" s="314"/>
      <c r="J43" s="314">
        <v>8.1790000000000005E-3</v>
      </c>
      <c r="K43" s="314"/>
      <c r="L43" s="314">
        <f>+L40</f>
        <v>1.0415000000000001E-2</v>
      </c>
      <c r="M43" s="314"/>
      <c r="N43" s="314">
        <v>1.0617E-2</v>
      </c>
      <c r="O43" s="314"/>
      <c r="P43" s="314">
        <f>+P40</f>
        <v>1.4815E-2</v>
      </c>
      <c r="Q43" s="313"/>
      <c r="R43" s="314">
        <v>1.5287E-2</v>
      </c>
      <c r="S43" s="287"/>
      <c r="T43" s="287"/>
      <c r="U43" s="281"/>
      <c r="V43" s="313">
        <f>SUMPRODUCT(D43:R43,D35:R35)/V35</f>
        <v>9.1590011805845802E-3</v>
      </c>
      <c r="W43" s="282"/>
      <c r="X43" s="5"/>
    </row>
    <row r="44" spans="1:24" ht="15.6" x14ac:dyDescent="0.3">
      <c r="A44" s="278"/>
      <c r="B44" s="279" t="s">
        <v>298</v>
      </c>
      <c r="C44" s="315"/>
      <c r="D44" s="314">
        <v>8.1668000000000001E-3</v>
      </c>
      <c r="E44" s="314"/>
      <c r="F44" s="314">
        <f>+F41</f>
        <v>7.9524999999999995E-3</v>
      </c>
      <c r="G44" s="314"/>
      <c r="H44" s="314">
        <v>7.8744999999999996E-3</v>
      </c>
      <c r="I44" s="314"/>
      <c r="J44" s="314">
        <v>8.1165000000000005E-3</v>
      </c>
      <c r="K44" s="314"/>
      <c r="L44" s="314">
        <f>+L41</f>
        <v>1.0352500000000001E-2</v>
      </c>
      <c r="M44" s="314"/>
      <c r="N44" s="314">
        <v>1.05545E-2</v>
      </c>
      <c r="O44" s="314"/>
      <c r="P44" s="314">
        <f>+P41</f>
        <v>1.47525E-2</v>
      </c>
      <c r="Q44" s="313"/>
      <c r="R44" s="314">
        <v>1.52245E-2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0.29039383982786293</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42139</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92</v>
      </c>
      <c r="S57" s="279"/>
      <c r="T57" s="325">
        <v>41960</v>
      </c>
      <c r="U57" s="326"/>
      <c r="V57" s="325">
        <v>42051</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87</v>
      </c>
      <c r="S58" s="279"/>
      <c r="T58" s="325">
        <v>42052</v>
      </c>
      <c r="U58" s="326"/>
      <c r="V58" s="325">
        <v>42138</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42125</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335</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905468</v>
      </c>
      <c r="O68" s="329"/>
      <c r="P68" s="329">
        <f>7861+43+246</f>
        <v>8150</v>
      </c>
      <c r="Q68" s="329"/>
      <c r="R68" s="329">
        <f>43+246</f>
        <v>289</v>
      </c>
      <c r="S68" s="329"/>
      <c r="T68" s="329">
        <v>0</v>
      </c>
      <c r="U68" s="329"/>
      <c r="V68" s="330">
        <f>+N68-P68+R68-T68</f>
        <v>897607</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905468</v>
      </c>
      <c r="O71" s="329"/>
      <c r="P71" s="329">
        <f>SUM(P68:P70)</f>
        <v>8150</v>
      </c>
      <c r="Q71" s="329"/>
      <c r="R71" s="329">
        <f>SUM(R68:R70)</f>
        <v>289</v>
      </c>
      <c r="S71" s="329"/>
      <c r="T71" s="329">
        <f>SUM(T68:T70)</f>
        <v>0</v>
      </c>
      <c r="U71" s="329"/>
      <c r="V71" s="329">
        <f>SUM(V68:V70)</f>
        <v>897607</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905468</v>
      </c>
      <c r="O84" s="329"/>
      <c r="P84" s="329"/>
      <c r="Q84" s="329"/>
      <c r="R84" s="329"/>
      <c r="S84" s="329"/>
      <c r="T84" s="329"/>
      <c r="U84" s="329"/>
      <c r="V84" s="329">
        <f>SUM(V71:V83)</f>
        <v>897607</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42124</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8150-229</f>
        <v>7921</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4161+2408-805-638</f>
        <v>5126</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80+142</f>
        <v>222</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45</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414</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7921</v>
      </c>
      <c r="U96" s="279"/>
      <c r="V96" s="329">
        <f>SUM(V88:V95)</f>
        <v>5807</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-18</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7921</v>
      </c>
      <c r="U100" s="279"/>
      <c r="V100" s="329">
        <f>V96+V98+V97+V99</f>
        <v>5789</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-335-192-11</f>
        <v>-538</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-1369+150</f>
        <v>-1219</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-150</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-220</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-62</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-266</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-60</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229</v>
      </c>
      <c r="U114" s="279"/>
      <c r="V114" s="330">
        <v>-229</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-334</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-2701</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-289</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-4937</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-878</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-1023</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-1023</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-8150</v>
      </c>
      <c r="U132" s="329"/>
      <c r="V132" s="329">
        <f>SUM(V101:V129)</f>
        <v>-5789</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APRIL 2015</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229</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229</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-229</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f>-V99</f>
        <v>18</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897607</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897607</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+'Jan 15'!S182</f>
        <v>50489</v>
      </c>
      <c r="T180" s="330">
        <f>+'Jan 15'!T182</f>
        <v>6362</v>
      </c>
      <c r="U180" s="279"/>
      <c r="V180" s="330">
        <f>S180+T180</f>
        <v>56851</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246+43</f>
        <v>289</v>
      </c>
      <c r="T181" s="329">
        <v>0</v>
      </c>
      <c r="U181" s="279"/>
      <c r="V181" s="330">
        <f>S181+T181</f>
        <v>289</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50778</v>
      </c>
      <c r="T182" s="330">
        <f>T181+T180</f>
        <v>6362</v>
      </c>
      <c r="U182" s="279"/>
      <c r="V182" s="330">
        <f>S182+T182</f>
        <v>57140</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182892.80000000002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3.8341855368882394</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1.79</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13.75886524822695</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6.79</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11.036809815950921</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6.36</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APRIL 2015</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42124</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2.2540000000000001E-2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9.1590011805845802E-3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1.3380998819415421E-2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6.3933788935666416E-3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12.51</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9.0008702681928024E-3</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6.1499999999999999E-2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1</v>
      </c>
      <c r="T215" s="263">
        <v>128</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98</v>
      </c>
      <c r="T216" s="355">
        <f>+T268</f>
        <v>16925</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1</v>
      </c>
      <c r="T217" s="355">
        <f>+T280</f>
        <v>681</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229</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'Jan 15'!T222+'April 15'!T221</f>
        <v>7025</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2</v>
      </c>
      <c r="T224" s="355">
        <v>291</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23.34</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5.5</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8</v>
      </c>
      <c r="T228" s="355">
        <v>1089</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3.17</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6698</v>
      </c>
      <c r="S235" s="372">
        <f t="shared" ref="S235:S242" si="2">R235/$R$244</f>
        <v>0.99761691986893064</v>
      </c>
      <c r="T235" s="330">
        <f t="shared" ref="T235:T242" si="3">+T247+T259+T271</f>
        <v>894572</v>
      </c>
      <c r="U235" s="372">
        <f t="shared" ref="U235:U242" si="4">T235/$T$244</f>
        <v>0.99661878750945565</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7</v>
      </c>
      <c r="S236" s="372">
        <f t="shared" si="2"/>
        <v>1.0425975573428656E-3</v>
      </c>
      <c r="T236" s="330">
        <f t="shared" si="3"/>
        <v>1255</v>
      </c>
      <c r="U236" s="372">
        <f t="shared" si="4"/>
        <v>1.3981620018560462E-3</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1</v>
      </c>
      <c r="S237" s="372">
        <f t="shared" si="2"/>
        <v>1.4894250819183795E-4</v>
      </c>
      <c r="T237" s="330">
        <f t="shared" si="3"/>
        <v>130</v>
      </c>
      <c r="U237" s="372">
        <f t="shared" si="4"/>
        <v>1.4482953007273784E-4</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1</v>
      </c>
      <c r="S238" s="372">
        <f t="shared" si="2"/>
        <v>1.4894250819183795E-4</v>
      </c>
      <c r="T238" s="330">
        <f t="shared" si="3"/>
        <v>226</v>
      </c>
      <c r="U238" s="372">
        <f t="shared" si="4"/>
        <v>2.5178056766491351E-4</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2</v>
      </c>
      <c r="S239" s="372">
        <f t="shared" si="2"/>
        <v>2.9788501638367589E-4</v>
      </c>
      <c r="T239" s="330">
        <f t="shared" si="3"/>
        <v>190</v>
      </c>
      <c r="U239" s="372">
        <f t="shared" si="4"/>
        <v>2.1167392856784762E-4</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3</v>
      </c>
      <c r="S241" s="372">
        <f t="shared" si="2"/>
        <v>4.4682752457551384E-4</v>
      </c>
      <c r="T241" s="330">
        <f t="shared" si="3"/>
        <v>485</v>
      </c>
      <c r="U241" s="372">
        <f t="shared" si="4"/>
        <v>5.4032555450213738E-4</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2</v>
      </c>
      <c r="S242" s="372">
        <f t="shared" si="2"/>
        <v>2.9788501638367589E-4</v>
      </c>
      <c r="T242" s="330">
        <f t="shared" si="3"/>
        <v>749</v>
      </c>
      <c r="U242" s="372">
        <f t="shared" si="4"/>
        <v>8.3444090788062039E-4</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6714</v>
      </c>
      <c r="S244" s="372">
        <f>SUM(S235:S243)</f>
        <v>1</v>
      </c>
      <c r="T244" s="330">
        <f>SUM(T235:T243)</f>
        <v>897607</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6609</v>
      </c>
      <c r="S247" s="250">
        <f t="shared" ref="S247:S254" si="5">R247/$R$256</f>
        <v>0.999092970521542</v>
      </c>
      <c r="T247" s="251">
        <v>878843</v>
      </c>
      <c r="U247" s="250">
        <f t="shared" ref="U247:U254" si="6">T247/$T$256</f>
        <v>0.99868409240444045</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6</v>
      </c>
      <c r="S248" s="372">
        <f t="shared" si="5"/>
        <v>9.0702947845804993E-4</v>
      </c>
      <c r="T248" s="330">
        <v>1158</v>
      </c>
      <c r="U248" s="372">
        <f t="shared" si="6"/>
        <v>1.3159075955595505E-3</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0</v>
      </c>
      <c r="S254" s="372">
        <f t="shared" si="5"/>
        <v>0</v>
      </c>
      <c r="T254" s="330">
        <v>0</v>
      </c>
      <c r="U254" s="372">
        <f t="shared" si="6"/>
        <v>0</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6615</v>
      </c>
      <c r="S256" s="372">
        <f>SUM(S247:S255)</f>
        <v>1</v>
      </c>
      <c r="T256" s="330">
        <f>SUM(T247:T255)</f>
        <v>880001</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89</v>
      </c>
      <c r="S259" s="250">
        <f t="shared" ref="S259:S266" si="7">R259/$R$268</f>
        <v>0.90816326530612246</v>
      </c>
      <c r="T259" s="251">
        <v>15729</v>
      </c>
      <c r="U259" s="250">
        <f t="shared" ref="U259:U266" si="8">T259/$T$268</f>
        <v>0.92933530280649923</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1</v>
      </c>
      <c r="S260" s="372">
        <f t="shared" si="7"/>
        <v>1.020408163265306E-2</v>
      </c>
      <c r="T260" s="330">
        <v>97</v>
      </c>
      <c r="U260" s="372">
        <f t="shared" si="8"/>
        <v>5.7311669128508125E-3</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1</v>
      </c>
      <c r="S261" s="372">
        <f t="shared" si="7"/>
        <v>1.020408163265306E-2</v>
      </c>
      <c r="T261" s="330">
        <v>130</v>
      </c>
      <c r="U261" s="372">
        <f t="shared" si="8"/>
        <v>7.6809453471196453E-3</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1</v>
      </c>
      <c r="S262" s="372">
        <f t="shared" si="7"/>
        <v>1.020408163265306E-2</v>
      </c>
      <c r="T262" s="330">
        <v>226</v>
      </c>
      <c r="U262" s="372">
        <f t="shared" si="8"/>
        <v>1.3353028064992615E-2</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2</v>
      </c>
      <c r="S263" s="372">
        <f t="shared" si="7"/>
        <v>2.0408163265306121E-2</v>
      </c>
      <c r="T263" s="330">
        <v>190</v>
      </c>
      <c r="U263" s="372">
        <f t="shared" si="8"/>
        <v>1.1225997045790252E-2</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3</v>
      </c>
      <c r="S265" s="372">
        <f t="shared" si="7"/>
        <v>3.0612244897959183E-2</v>
      </c>
      <c r="T265" s="330">
        <v>485</v>
      </c>
      <c r="U265" s="372">
        <f t="shared" si="8"/>
        <v>2.8655834564254062E-2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1</v>
      </c>
      <c r="S266" s="372">
        <f t="shared" si="7"/>
        <v>1.020408163265306E-2</v>
      </c>
      <c r="T266" s="330">
        <v>68</v>
      </c>
      <c r="U266" s="372">
        <f t="shared" si="8"/>
        <v>4.0177252584933532E-3</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98</v>
      </c>
      <c r="S268" s="372">
        <f>SUM(S259:S267)</f>
        <v>1</v>
      </c>
      <c r="T268" s="330">
        <f>SUM(T259:T267)</f>
        <v>16925</v>
      </c>
      <c r="U268" s="372">
        <f>SUM(U259:U267)</f>
        <v>0.99999999999999989</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f>+R277/$R$280</f>
        <v>0</v>
      </c>
      <c r="T277" s="330">
        <v>0</v>
      </c>
      <c r="U277" s="372">
        <f>T277/T280</f>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1</v>
      </c>
      <c r="S278" s="372">
        <f>+R278/$R$280</f>
        <v>1</v>
      </c>
      <c r="T278" s="330">
        <v>681</v>
      </c>
      <c r="U278" s="372">
        <f>T278/T280</f>
        <v>1</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1</v>
      </c>
      <c r="S280" s="372">
        <f>SUM(S271:S279)</f>
        <v>1</v>
      </c>
      <c r="T280" s="330">
        <f>SUM(T271:T278)</f>
        <v>681</v>
      </c>
      <c r="U280" s="372">
        <f>SUM(U271:U279)</f>
        <v>1</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6714</v>
      </c>
      <c r="S282" s="372"/>
      <c r="T282" s="397">
        <f>+T280+T268+T256</f>
        <v>897607</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APRIL 2015</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2200-000000000000}"/>
    <hyperlink ref="I9" r:id="rId2" xr:uid="{00000000-0004-0000-22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2D2926"/>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0.65580000000000005</v>
      </c>
      <c r="T16" s="381" t="s">
        <v>145</v>
      </c>
      <c r="U16" s="380">
        <v>0.34420000000000001</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42236</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338</v>
      </c>
      <c r="E27" s="285"/>
      <c r="F27" s="285" t="s">
        <v>317</v>
      </c>
      <c r="G27" s="285"/>
      <c r="H27" s="285" t="s">
        <v>317</v>
      </c>
      <c r="I27" s="285"/>
      <c r="J27" s="285" t="s">
        <v>317</v>
      </c>
      <c r="K27" s="285"/>
      <c r="L27" s="285" t="s">
        <v>149</v>
      </c>
      <c r="M27" s="285"/>
      <c r="N27" s="285" t="s">
        <v>149</v>
      </c>
      <c r="O27" s="285"/>
      <c r="P27" s="285" t="s">
        <v>337</v>
      </c>
      <c r="Q27" s="285"/>
      <c r="R27" s="285" t="s">
        <v>337</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317</v>
      </c>
      <c r="M28" s="285"/>
      <c r="N28" s="285" t="s">
        <v>317</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803732.70000000007</v>
      </c>
      <c r="E32" s="289"/>
      <c r="F32" s="290">
        <f>F31*F38</f>
        <v>77694.392999999996</v>
      </c>
      <c r="G32" s="290"/>
      <c r="H32" s="295">
        <f>H31*H38</f>
        <v>131276.73299999998</v>
      </c>
      <c r="I32" s="295"/>
      <c r="J32" s="294">
        <f>J31*J38</f>
        <v>166640.57980000001</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785541.45</v>
      </c>
      <c r="E33" s="301"/>
      <c r="F33" s="303">
        <f>F37*F31</f>
        <v>75935.920000000013</v>
      </c>
      <c r="G33" s="303"/>
      <c r="H33" s="384">
        <f>H31*H37</f>
        <v>128305.52000000002</v>
      </c>
      <c r="I33" s="384"/>
      <c r="J33" s="383">
        <f>J37*J31</f>
        <v>162868.92729999998</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436811.04033059999</v>
      </c>
      <c r="E35" s="289"/>
      <c r="F35" s="290">
        <f>F34*F38</f>
        <v>77694.392999999996</v>
      </c>
      <c r="G35" s="290"/>
      <c r="H35" s="290">
        <f>H34*H38</f>
        <v>90535.936604399991</v>
      </c>
      <c r="I35" s="290"/>
      <c r="J35" s="290">
        <f>J34*J38</f>
        <v>90565.672279599996</v>
      </c>
      <c r="K35" s="290"/>
      <c r="L35" s="290">
        <f>+L34</f>
        <v>25000</v>
      </c>
      <c r="M35" s="290"/>
      <c r="N35" s="290">
        <f>+N34</f>
        <v>86897</v>
      </c>
      <c r="O35" s="290"/>
      <c r="P35" s="290">
        <f>+P34</f>
        <v>17000</v>
      </c>
      <c r="Q35" s="290"/>
      <c r="R35" s="290">
        <f>+R34</f>
        <v>73103</v>
      </c>
      <c r="S35" s="290"/>
      <c r="T35" s="290"/>
      <c r="U35" s="291"/>
      <c r="V35" s="290">
        <f>SUM(C35:R35)</f>
        <v>897607.0422145999</v>
      </c>
      <c r="W35" s="292"/>
      <c r="X35" s="5"/>
    </row>
    <row r="36" spans="1:24" ht="15.6" x14ac:dyDescent="0.3">
      <c r="A36" s="283"/>
      <c r="B36" s="288" t="s">
        <v>295</v>
      </c>
      <c r="C36" s="301"/>
      <c r="D36" s="303">
        <f>D34*D37</f>
        <v>426924.49616309995</v>
      </c>
      <c r="E36" s="301"/>
      <c r="F36" s="303">
        <f>F34*F37</f>
        <v>75935.920000000013</v>
      </c>
      <c r="G36" s="303"/>
      <c r="H36" s="303">
        <f>H34*H37</f>
        <v>88486.818336000011</v>
      </c>
      <c r="I36" s="303"/>
      <c r="J36" s="303">
        <f>J34*J37</f>
        <v>88515.857974599989</v>
      </c>
      <c r="K36" s="303"/>
      <c r="L36" s="303">
        <f>+L34</f>
        <v>25000</v>
      </c>
      <c r="M36" s="303"/>
      <c r="N36" s="303">
        <f>+N34</f>
        <v>86897</v>
      </c>
      <c r="O36" s="303"/>
      <c r="P36" s="303">
        <f>+P34</f>
        <v>17000</v>
      </c>
      <c r="Q36" s="303"/>
      <c r="R36" s="303">
        <f>+R34</f>
        <v>73103</v>
      </c>
      <c r="S36" s="302"/>
      <c r="T36" s="302"/>
      <c r="U36" s="291"/>
      <c r="V36" s="303">
        <f>SUM(C36:R36)</f>
        <v>881863.09247369994</v>
      </c>
      <c r="W36" s="292"/>
      <c r="X36" s="5"/>
    </row>
    <row r="37" spans="1:24" ht="15.6" x14ac:dyDescent="0.3">
      <c r="A37" s="278"/>
      <c r="B37" s="304" t="s">
        <v>135</v>
      </c>
      <c r="C37" s="305"/>
      <c r="D37" s="306">
        <v>0.52369429999999995</v>
      </c>
      <c r="E37" s="307"/>
      <c r="F37" s="306">
        <v>0.52369600000000005</v>
      </c>
      <c r="G37" s="306"/>
      <c r="H37" s="306">
        <v>0.52369600000000005</v>
      </c>
      <c r="I37" s="306"/>
      <c r="J37" s="306">
        <v>0.52369429999999995</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0.53582180000000001</v>
      </c>
      <c r="E38" s="307"/>
      <c r="F38" s="306">
        <v>0.53582339999999995</v>
      </c>
      <c r="G38" s="306"/>
      <c r="H38" s="306">
        <v>0.53582339999999995</v>
      </c>
      <c r="I38" s="306"/>
      <c r="J38" s="306">
        <v>0.53582180000000001</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4.2729999999999999E-3</v>
      </c>
      <c r="E40" s="279"/>
      <c r="F40" s="314">
        <v>8.0687999999999992E-3</v>
      </c>
      <c r="G40" s="313"/>
      <c r="H40" s="314">
        <v>2.31E-3</v>
      </c>
      <c r="I40" s="314"/>
      <c r="J40" s="314">
        <v>4.9389999999999998E-3</v>
      </c>
      <c r="K40" s="313"/>
      <c r="L40" s="314">
        <v>1.04688E-2</v>
      </c>
      <c r="M40" s="313"/>
      <c r="N40" s="314">
        <v>4.7099999999999998E-3</v>
      </c>
      <c r="O40" s="313"/>
      <c r="P40" s="314">
        <v>1.48688E-2</v>
      </c>
      <c r="Q40" s="313"/>
      <c r="R40" s="314">
        <v>9.11E-3</v>
      </c>
      <c r="S40" s="313"/>
      <c r="T40" s="314"/>
      <c r="U40" s="281"/>
      <c r="V40" s="287"/>
      <c r="W40" s="282"/>
      <c r="X40" s="5"/>
    </row>
    <row r="41" spans="1:24" ht="15.6" x14ac:dyDescent="0.3">
      <c r="A41" s="278"/>
      <c r="B41" s="279" t="s">
        <v>13</v>
      </c>
      <c r="C41" s="279"/>
      <c r="D41" s="314">
        <v>4.215E-3</v>
      </c>
      <c r="E41" s="279"/>
      <c r="F41" s="314">
        <v>8.0149999999999996E-3</v>
      </c>
      <c r="G41" s="313"/>
      <c r="H41" s="314">
        <v>2.8800000000000002E-3</v>
      </c>
      <c r="I41" s="314"/>
      <c r="J41" s="314">
        <v>4.7710000000000001E-3</v>
      </c>
      <c r="K41" s="313"/>
      <c r="L41" s="314">
        <v>1.0415000000000001E-2</v>
      </c>
      <c r="M41" s="313"/>
      <c r="N41" s="314">
        <v>5.28E-3</v>
      </c>
      <c r="O41" s="313"/>
      <c r="P41" s="314">
        <v>1.4815E-2</v>
      </c>
      <c r="Q41" s="313"/>
      <c r="R41" s="314">
        <v>9.6799999999999994E-3</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8.2830999999999998E-3</v>
      </c>
      <c r="E43" s="314"/>
      <c r="F43" s="314">
        <f>+F40</f>
        <v>8.0687999999999992E-3</v>
      </c>
      <c r="G43" s="314"/>
      <c r="H43" s="314">
        <v>7.9907999999999993E-3</v>
      </c>
      <c r="I43" s="314"/>
      <c r="J43" s="314">
        <v>8.2328000000000002E-3</v>
      </c>
      <c r="K43" s="314"/>
      <c r="L43" s="314">
        <f>+L40</f>
        <v>1.04688E-2</v>
      </c>
      <c r="M43" s="314"/>
      <c r="N43" s="314">
        <v>1.0670799999999999E-2</v>
      </c>
      <c r="O43" s="314"/>
      <c r="P43" s="314">
        <f>+P40</f>
        <v>1.48688E-2</v>
      </c>
      <c r="Q43" s="313"/>
      <c r="R43" s="314">
        <v>1.53408E-2</v>
      </c>
      <c r="S43" s="287"/>
      <c r="T43" s="287"/>
      <c r="U43" s="281"/>
      <c r="V43" s="313">
        <f>SUMPRODUCT(D43:R43,D35:R35)/V35</f>
        <v>9.221543388229992E-3</v>
      </c>
      <c r="W43" s="282"/>
      <c r="X43" s="5"/>
    </row>
    <row r="44" spans="1:24" ht="15.6" x14ac:dyDescent="0.3">
      <c r="A44" s="278"/>
      <c r="B44" s="279" t="s">
        <v>298</v>
      </c>
      <c r="C44" s="315"/>
      <c r="D44" s="314">
        <v>8.2293000000000002E-3</v>
      </c>
      <c r="E44" s="314"/>
      <c r="F44" s="314">
        <f>+F41</f>
        <v>8.0149999999999996E-3</v>
      </c>
      <c r="G44" s="314"/>
      <c r="H44" s="314">
        <v>7.9369999999999996E-3</v>
      </c>
      <c r="I44" s="314"/>
      <c r="J44" s="314">
        <v>8.1790000000000005E-3</v>
      </c>
      <c r="K44" s="314"/>
      <c r="L44" s="314">
        <f>+L41</f>
        <v>1.0415000000000001E-2</v>
      </c>
      <c r="M44" s="314"/>
      <c r="N44" s="314">
        <v>1.0617E-2</v>
      </c>
      <c r="O44" s="314"/>
      <c r="P44" s="314">
        <f>+P41</f>
        <v>1.4815E-2</v>
      </c>
      <c r="Q44" s="313"/>
      <c r="R44" s="314">
        <v>1.5287E-2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0.29711864379196939</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42233</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87</v>
      </c>
      <c r="S57" s="279"/>
      <c r="T57" s="325">
        <v>42052</v>
      </c>
      <c r="U57" s="326"/>
      <c r="V57" s="325">
        <v>42138</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94</v>
      </c>
      <c r="S58" s="279"/>
      <c r="T58" s="325">
        <v>42139</v>
      </c>
      <c r="U58" s="326"/>
      <c r="V58" s="325">
        <v>42232</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42219</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336</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897607</v>
      </c>
      <c r="O68" s="329"/>
      <c r="P68" s="329">
        <f>15744+380+5</f>
        <v>16129</v>
      </c>
      <c r="Q68" s="329"/>
      <c r="R68" s="329">
        <v>385</v>
      </c>
      <c r="S68" s="329"/>
      <c r="T68" s="329">
        <v>0</v>
      </c>
      <c r="U68" s="329"/>
      <c r="V68" s="330">
        <f>+N68-P68+R68-T68</f>
        <v>881863</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897607</v>
      </c>
      <c r="O71" s="329"/>
      <c r="P71" s="329">
        <f>SUM(P68:P70)</f>
        <v>16129</v>
      </c>
      <c r="Q71" s="329"/>
      <c r="R71" s="329">
        <f>SUM(R68:R70)</f>
        <v>385</v>
      </c>
      <c r="S71" s="329"/>
      <c r="T71" s="329">
        <f>SUM(T68:T70)</f>
        <v>0</v>
      </c>
      <c r="U71" s="329"/>
      <c r="V71" s="329">
        <f>SUM(V68:V70)</f>
        <v>881863</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897607</v>
      </c>
      <c r="O84" s="329"/>
      <c r="P84" s="329"/>
      <c r="Q84" s="329"/>
      <c r="R84" s="329"/>
      <c r="S84" s="329"/>
      <c r="T84" s="329"/>
      <c r="U84" s="329"/>
      <c r="V84" s="329">
        <f>SUM(V71:V83)</f>
        <v>881863</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42216</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16129-17</f>
        <v>16112</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4298+2121-1021-343</f>
        <v>5055</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290+86</f>
        <v>376</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38</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286</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16112</v>
      </c>
      <c r="U96" s="279"/>
      <c r="V96" s="329">
        <f>SUM(V88:V95)</f>
        <v>5755</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48</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16112</v>
      </c>
      <c r="U100" s="279"/>
      <c r="V100" s="329">
        <f>V96+V98+V97+V99</f>
        <v>5803</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-343-119-12</f>
        <v>-474</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-1471+161</f>
        <v>-1310</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-161</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-239</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-67</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-289</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-65</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17</v>
      </c>
      <c r="U114" s="279"/>
      <c r="V114" s="330">
        <v>-17</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-343</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-2828</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-5</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-380</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-9887</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-1758</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-2049</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-2050</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-16129</v>
      </c>
      <c r="U132" s="329"/>
      <c r="V132" s="329">
        <f>SUM(V101:V129)</f>
        <v>-5803</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JULY 2015</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17</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17</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-17</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v>0</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881863</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881863</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+'April 15'!S182</f>
        <v>50778</v>
      </c>
      <c r="T180" s="330">
        <f>+'April 15'!T182</f>
        <v>6362</v>
      </c>
      <c r="U180" s="279"/>
      <c r="V180" s="330">
        <f>S180+T180</f>
        <v>57140</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v>380</v>
      </c>
      <c r="T181" s="329">
        <v>5</v>
      </c>
      <c r="U181" s="279"/>
      <c r="V181" s="330">
        <f>S181+T181</f>
        <v>385</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51158</v>
      </c>
      <c r="T182" s="330">
        <f>T181+T180</f>
        <v>6367</v>
      </c>
      <c r="U182" s="279"/>
      <c r="V182" s="330">
        <f>S182+T182</f>
        <v>57525</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182507.80000000002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3.6213460231135284</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1.8</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12.601307189542483</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6.86</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10.028248587570621</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6.41</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JULY 2015</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42216</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2.256E-2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9.221543388229992E-3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1.3338456611770008E-2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6.4649674077853674E-3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12.26</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1.796888838879376E-2</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6.1800000000000001E-2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0</v>
      </c>
      <c r="T215" s="263">
        <v>0</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94</v>
      </c>
      <c r="T216" s="355">
        <f>+T268</f>
        <v>16270</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1</v>
      </c>
      <c r="T217" s="355">
        <f>+T280</f>
        <v>681</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17</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'April 15'!T222+'July 15'!T221</f>
        <v>7042</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0</v>
      </c>
      <c r="T224" s="355">
        <v>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0</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4</v>
      </c>
      <c r="T228" s="355">
        <v>649</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0.75</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6603</v>
      </c>
      <c r="S235" s="372">
        <f t="shared" ref="S235:S242" si="2">R235/$R$244</f>
        <v>0.99758271642242036</v>
      </c>
      <c r="T235" s="330">
        <f t="shared" ref="T235:T242" si="3">+T247+T259+T271</f>
        <v>878933</v>
      </c>
      <c r="U235" s="372">
        <f t="shared" ref="U235:U242" si="4">T235/$T$244</f>
        <v>0.99667748845342186</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9</v>
      </c>
      <c r="S236" s="372">
        <f t="shared" si="2"/>
        <v>1.3597220123885783E-3</v>
      </c>
      <c r="T236" s="330">
        <f t="shared" si="3"/>
        <v>1434</v>
      </c>
      <c r="U236" s="372">
        <f t="shared" si="4"/>
        <v>1.6261029207484609E-3</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1</v>
      </c>
      <c r="S237" s="372">
        <f t="shared" si="2"/>
        <v>1.5108022359873092E-4</v>
      </c>
      <c r="T237" s="330">
        <f t="shared" si="3"/>
        <v>128</v>
      </c>
      <c r="U237" s="372">
        <f t="shared" si="4"/>
        <v>1.4514726210307043E-4</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0</v>
      </c>
      <c r="S238" s="372">
        <f t="shared" si="2"/>
        <v>0</v>
      </c>
      <c r="T238" s="330">
        <f t="shared" si="3"/>
        <v>0</v>
      </c>
      <c r="U238" s="372">
        <f t="shared" si="4"/>
        <v>0</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2</v>
      </c>
      <c r="S239" s="372">
        <f t="shared" si="2"/>
        <v>3.0216044719746184E-4</v>
      </c>
      <c r="T239" s="330">
        <f t="shared" si="3"/>
        <v>292</v>
      </c>
      <c r="U239" s="372">
        <f t="shared" si="4"/>
        <v>3.311171916726294E-4</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1</v>
      </c>
      <c r="S241" s="372">
        <f t="shared" si="2"/>
        <v>1.5108022359873092E-4</v>
      </c>
      <c r="T241" s="330">
        <f t="shared" si="3"/>
        <v>255</v>
      </c>
      <c r="U241" s="372">
        <f t="shared" si="4"/>
        <v>2.891605612209606E-4</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3</v>
      </c>
      <c r="S242" s="372">
        <f t="shared" si="2"/>
        <v>4.5324067079619278E-4</v>
      </c>
      <c r="T242" s="330">
        <f t="shared" si="3"/>
        <v>821</v>
      </c>
      <c r="U242" s="372">
        <f t="shared" si="4"/>
        <v>9.3098361083297516E-4</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6619</v>
      </c>
      <c r="S244" s="372">
        <f>SUM(S235:S243)</f>
        <v>1</v>
      </c>
      <c r="T244" s="330">
        <f>SUM(T235:T243)</f>
        <v>881863</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6516</v>
      </c>
      <c r="S247" s="250">
        <f t="shared" ref="S247:S254" si="5">R247/$R$256</f>
        <v>0.99877375843041083</v>
      </c>
      <c r="T247" s="251">
        <v>863671</v>
      </c>
      <c r="U247" s="250">
        <f t="shared" ref="U247:U254" si="6">T247/$T$256</f>
        <v>0.99856517194812888</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7</v>
      </c>
      <c r="S248" s="372">
        <f t="shared" si="5"/>
        <v>1.0729613733905579E-3</v>
      </c>
      <c r="T248" s="330">
        <v>1113</v>
      </c>
      <c r="U248" s="372">
        <f t="shared" si="6"/>
        <v>1.2868361174316E-3</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1</v>
      </c>
      <c r="S249" s="372">
        <f t="shared" si="5"/>
        <v>1.5328019619865113E-4</v>
      </c>
      <c r="T249" s="330">
        <v>128</v>
      </c>
      <c r="U249" s="372">
        <f t="shared" si="6"/>
        <v>1.4799193443957304E-4</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0</v>
      </c>
      <c r="S254" s="372">
        <f t="shared" si="5"/>
        <v>0</v>
      </c>
      <c r="T254" s="330">
        <v>0</v>
      </c>
      <c r="U254" s="372">
        <f t="shared" si="6"/>
        <v>0</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6524</v>
      </c>
      <c r="S256" s="372">
        <f>SUM(S247:S255)</f>
        <v>1</v>
      </c>
      <c r="T256" s="330">
        <f>SUM(T247:T255)</f>
        <v>864912</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87</v>
      </c>
      <c r="S259" s="250">
        <f t="shared" ref="S259:S266" si="7">R259/$R$268</f>
        <v>0.92553191489361697</v>
      </c>
      <c r="T259" s="251">
        <v>15262</v>
      </c>
      <c r="U259" s="250">
        <f t="shared" ref="U259:U266" si="8">T259/$T$268</f>
        <v>0.93804548248309771</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2</v>
      </c>
      <c r="S260" s="372">
        <f t="shared" si="7"/>
        <v>2.1276595744680851E-2</v>
      </c>
      <c r="T260" s="330">
        <v>321</v>
      </c>
      <c r="U260" s="372">
        <f t="shared" si="8"/>
        <v>1.9729563614013523E-2</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0</v>
      </c>
      <c r="S261" s="372">
        <f t="shared" si="7"/>
        <v>0</v>
      </c>
      <c r="T261" s="330">
        <v>0</v>
      </c>
      <c r="U261" s="372">
        <f t="shared" si="8"/>
        <v>0</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0</v>
      </c>
      <c r="S262" s="372">
        <f t="shared" si="7"/>
        <v>0</v>
      </c>
      <c r="T262" s="330">
        <v>0</v>
      </c>
      <c r="U262" s="372">
        <f t="shared" si="8"/>
        <v>0</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2</v>
      </c>
      <c r="S263" s="372">
        <f t="shared" si="7"/>
        <v>2.1276595744680851E-2</v>
      </c>
      <c r="T263" s="330">
        <v>292</v>
      </c>
      <c r="U263" s="372">
        <f t="shared" si="8"/>
        <v>1.7947141979102643E-2</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1</v>
      </c>
      <c r="S265" s="372">
        <f t="shared" si="7"/>
        <v>1.0638297872340425E-2</v>
      </c>
      <c r="T265" s="330">
        <v>255</v>
      </c>
      <c r="U265" s="372">
        <f t="shared" si="8"/>
        <v>1.5673017824216349E-2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2</v>
      </c>
      <c r="S266" s="372">
        <f t="shared" si="7"/>
        <v>2.1276595744680851E-2</v>
      </c>
      <c r="T266" s="330">
        <v>140</v>
      </c>
      <c r="U266" s="372">
        <f t="shared" si="8"/>
        <v>8.6047940995697611E-3</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94</v>
      </c>
      <c r="S268" s="372">
        <f>SUM(S259:S267)</f>
        <v>1</v>
      </c>
      <c r="T268" s="330">
        <f>SUM(T259:T267)</f>
        <v>16270</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f>+R277/$R$280</f>
        <v>0</v>
      </c>
      <c r="T277" s="330">
        <v>0</v>
      </c>
      <c r="U277" s="372">
        <f>T277/T280</f>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1</v>
      </c>
      <c r="S278" s="372">
        <f>+R278/$R$280</f>
        <v>1</v>
      </c>
      <c r="T278" s="330">
        <v>681</v>
      </c>
      <c r="U278" s="372">
        <f>T278/T280</f>
        <v>1</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1</v>
      </c>
      <c r="S280" s="372">
        <f>SUM(S271:S279)</f>
        <v>1</v>
      </c>
      <c r="T280" s="330">
        <f>SUM(T271:T278)</f>
        <v>681</v>
      </c>
      <c r="U280" s="372">
        <f>SUM(U271:U279)</f>
        <v>1</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6619</v>
      </c>
      <c r="S282" s="372"/>
      <c r="T282" s="397">
        <f>+T280+T268+T256</f>
        <v>881863</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JULY 2015</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2300-000000000000}"/>
    <hyperlink ref="I9" r:id="rId2" xr:uid="{00000000-0004-0000-23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89CB31"/>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0.6583</v>
      </c>
      <c r="T16" s="381" t="s">
        <v>145</v>
      </c>
      <c r="U16" s="380">
        <v>0.3417</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42331</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338</v>
      </c>
      <c r="E27" s="285"/>
      <c r="F27" s="285" t="s">
        <v>317</v>
      </c>
      <c r="G27" s="285"/>
      <c r="H27" s="285" t="s">
        <v>317</v>
      </c>
      <c r="I27" s="285"/>
      <c r="J27" s="285" t="s">
        <v>317</v>
      </c>
      <c r="K27" s="285"/>
      <c r="L27" s="285" t="s">
        <v>149</v>
      </c>
      <c r="M27" s="285"/>
      <c r="N27" s="285" t="s">
        <v>149</v>
      </c>
      <c r="O27" s="285"/>
      <c r="P27" s="285" t="s">
        <v>337</v>
      </c>
      <c r="Q27" s="285"/>
      <c r="R27" s="285" t="s">
        <v>337</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317</v>
      </c>
      <c r="M28" s="285"/>
      <c r="N28" s="285" t="s">
        <v>317</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785541.45</v>
      </c>
      <c r="E32" s="289"/>
      <c r="F32" s="290">
        <f>F31*F38</f>
        <v>75935.920000000013</v>
      </c>
      <c r="G32" s="290"/>
      <c r="H32" s="295">
        <f>H31*H38</f>
        <v>128305.52000000002</v>
      </c>
      <c r="I32" s="295"/>
      <c r="J32" s="294">
        <f>J31*J38</f>
        <v>162868.92729999998</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773316.3</v>
      </c>
      <c r="E33" s="301"/>
      <c r="F33" s="303">
        <f>F37*F31</f>
        <v>74754.17</v>
      </c>
      <c r="G33" s="303"/>
      <c r="H33" s="384">
        <f>H31*H37</f>
        <v>126308.76999999999</v>
      </c>
      <c r="I33" s="384"/>
      <c r="J33" s="383">
        <f>J37*J31</f>
        <v>160334.24619999999</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426924.49616309995</v>
      </c>
      <c r="E35" s="289"/>
      <c r="F35" s="290">
        <f>F34*F38</f>
        <v>75935.920000000013</v>
      </c>
      <c r="G35" s="290"/>
      <c r="H35" s="290">
        <f>H34*H38</f>
        <v>88486.818336000011</v>
      </c>
      <c r="I35" s="290"/>
      <c r="J35" s="290">
        <f>J34*J38</f>
        <v>88515.857974599989</v>
      </c>
      <c r="K35" s="290"/>
      <c r="L35" s="290">
        <f>+L34</f>
        <v>25000</v>
      </c>
      <c r="M35" s="290"/>
      <c r="N35" s="290">
        <f>+N34</f>
        <v>86897</v>
      </c>
      <c r="O35" s="290"/>
      <c r="P35" s="290">
        <f>+P34</f>
        <v>17000</v>
      </c>
      <c r="Q35" s="290"/>
      <c r="R35" s="290">
        <f>+R34</f>
        <v>73103</v>
      </c>
      <c r="S35" s="290"/>
      <c r="T35" s="290"/>
      <c r="U35" s="291"/>
      <c r="V35" s="290">
        <f>SUM(C35:R35)</f>
        <v>881863.09247369994</v>
      </c>
      <c r="W35" s="292"/>
      <c r="X35" s="5"/>
    </row>
    <row r="36" spans="1:24" ht="15.6" x14ac:dyDescent="0.3">
      <c r="A36" s="283"/>
      <c r="B36" s="288" t="s">
        <v>295</v>
      </c>
      <c r="C36" s="301"/>
      <c r="D36" s="303">
        <f>D34*D37</f>
        <v>420280.39609140001</v>
      </c>
      <c r="E36" s="301"/>
      <c r="F36" s="303">
        <f>F34*F37</f>
        <v>74754.17</v>
      </c>
      <c r="G36" s="303"/>
      <c r="H36" s="303">
        <f>H34*H37</f>
        <v>87109.745435999997</v>
      </c>
      <c r="I36" s="303"/>
      <c r="J36" s="303">
        <f>J34*J37</f>
        <v>87138.311772400004</v>
      </c>
      <c r="K36" s="303"/>
      <c r="L36" s="303">
        <f>+L34</f>
        <v>25000</v>
      </c>
      <c r="M36" s="303"/>
      <c r="N36" s="303">
        <f>+N34</f>
        <v>86897</v>
      </c>
      <c r="O36" s="303"/>
      <c r="P36" s="303">
        <f>+P34</f>
        <v>17000</v>
      </c>
      <c r="Q36" s="303"/>
      <c r="R36" s="303">
        <f>+R34</f>
        <v>73103</v>
      </c>
      <c r="S36" s="302"/>
      <c r="T36" s="302"/>
      <c r="U36" s="291"/>
      <c r="V36" s="303">
        <f>SUM(C36:R36)-1</f>
        <v>871281.62329980009</v>
      </c>
      <c r="W36" s="292"/>
      <c r="X36" s="5"/>
    </row>
    <row r="37" spans="1:24" ht="15.6" x14ac:dyDescent="0.3">
      <c r="A37" s="278"/>
      <c r="B37" s="304" t="s">
        <v>135</v>
      </c>
      <c r="C37" s="305"/>
      <c r="D37" s="306">
        <v>0.51554420000000001</v>
      </c>
      <c r="E37" s="307"/>
      <c r="F37" s="306">
        <v>0.51554599999999995</v>
      </c>
      <c r="G37" s="306"/>
      <c r="H37" s="306">
        <v>0.51554599999999995</v>
      </c>
      <c r="I37" s="306"/>
      <c r="J37" s="306">
        <v>0.51554420000000001</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0.52369429999999995</v>
      </c>
      <c r="E38" s="307"/>
      <c r="F38" s="306">
        <v>0.52369600000000005</v>
      </c>
      <c r="G38" s="306"/>
      <c r="H38" s="306">
        <v>0.52369600000000005</v>
      </c>
      <c r="I38" s="306"/>
      <c r="J38" s="306">
        <v>0.52369429999999995</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4.3575000000000003E-3</v>
      </c>
      <c r="E40" s="279"/>
      <c r="F40" s="314">
        <v>8.2562999999999994E-3</v>
      </c>
      <c r="G40" s="313"/>
      <c r="H40" s="314">
        <v>2.16E-3</v>
      </c>
      <c r="I40" s="314"/>
      <c r="J40" s="314">
        <v>5.4050000000000001E-3</v>
      </c>
      <c r="K40" s="313"/>
      <c r="L40" s="314">
        <v>1.06563E-2</v>
      </c>
      <c r="M40" s="313"/>
      <c r="N40" s="314">
        <v>4.5599999999999998E-3</v>
      </c>
      <c r="O40" s="313"/>
      <c r="P40" s="314">
        <v>1.50563E-2</v>
      </c>
      <c r="Q40" s="313"/>
      <c r="R40" s="314">
        <v>8.9599999999999992E-3</v>
      </c>
      <c r="S40" s="313"/>
      <c r="T40" s="314"/>
      <c r="U40" s="281"/>
      <c r="V40" s="287"/>
      <c r="W40" s="282"/>
      <c r="X40" s="5"/>
    </row>
    <row r="41" spans="1:24" ht="15.6" x14ac:dyDescent="0.3">
      <c r="A41" s="278"/>
      <c r="B41" s="279" t="s">
        <v>13</v>
      </c>
      <c r="C41" s="279"/>
      <c r="D41" s="314">
        <v>4.2729999999999999E-3</v>
      </c>
      <c r="E41" s="279"/>
      <c r="F41" s="314">
        <v>8.0687999999999992E-3</v>
      </c>
      <c r="G41" s="313"/>
      <c r="H41" s="314">
        <v>2.31E-3</v>
      </c>
      <c r="I41" s="314"/>
      <c r="J41" s="314">
        <v>4.9389999999999998E-3</v>
      </c>
      <c r="K41" s="313"/>
      <c r="L41" s="314">
        <v>1.04688E-2</v>
      </c>
      <c r="M41" s="313"/>
      <c r="N41" s="314">
        <v>4.7099999999999998E-3</v>
      </c>
      <c r="O41" s="313"/>
      <c r="P41" s="314">
        <v>1.48688E-2</v>
      </c>
      <c r="Q41" s="313"/>
      <c r="R41" s="314">
        <v>9.11E-3</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8.4706E-3</v>
      </c>
      <c r="E43" s="314"/>
      <c r="F43" s="314">
        <f>+F40</f>
        <v>8.2562999999999994E-3</v>
      </c>
      <c r="G43" s="314"/>
      <c r="H43" s="314">
        <v>8.1782999999999995E-3</v>
      </c>
      <c r="I43" s="314"/>
      <c r="J43" s="314">
        <v>8.4203000000000004E-3</v>
      </c>
      <c r="K43" s="314"/>
      <c r="L43" s="314">
        <f>+L40</f>
        <v>1.06563E-2</v>
      </c>
      <c r="M43" s="314"/>
      <c r="N43" s="314">
        <v>1.08583E-2</v>
      </c>
      <c r="O43" s="314"/>
      <c r="P43" s="314">
        <f>+P40</f>
        <v>1.50563E-2</v>
      </c>
      <c r="Q43" s="313"/>
      <c r="R43" s="314">
        <v>1.55283E-2</v>
      </c>
      <c r="S43" s="287"/>
      <c r="T43" s="287"/>
      <c r="U43" s="281"/>
      <c r="V43" s="313">
        <f>SUMPRODUCT(D43:R43,D35:R35)/V35</f>
        <v>9.4270209057920381E-3</v>
      </c>
      <c r="W43" s="282"/>
      <c r="X43" s="5"/>
    </row>
    <row r="44" spans="1:24" ht="15.6" x14ac:dyDescent="0.3">
      <c r="A44" s="278"/>
      <c r="B44" s="279" t="s">
        <v>298</v>
      </c>
      <c r="C44" s="315"/>
      <c r="D44" s="314">
        <v>8.2830999999999998E-3</v>
      </c>
      <c r="E44" s="314"/>
      <c r="F44" s="314">
        <f>+F41</f>
        <v>8.0687999999999992E-3</v>
      </c>
      <c r="G44" s="314"/>
      <c r="H44" s="314">
        <v>7.9907999999999993E-3</v>
      </c>
      <c r="I44" s="314"/>
      <c r="J44" s="314">
        <v>8.2328000000000002E-3</v>
      </c>
      <c r="K44" s="314"/>
      <c r="L44" s="314">
        <f>+L41</f>
        <v>1.04688E-2</v>
      </c>
      <c r="M44" s="314"/>
      <c r="N44" s="314">
        <v>1.0670799999999999E-2</v>
      </c>
      <c r="O44" s="314"/>
      <c r="P44" s="314">
        <f>+P41</f>
        <v>1.48688E-2</v>
      </c>
      <c r="Q44" s="313"/>
      <c r="R44" s="314">
        <v>1.53408E-2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0.30181569484662329</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42324</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94</v>
      </c>
      <c r="S57" s="279"/>
      <c r="T57" s="325">
        <v>42139</v>
      </c>
      <c r="U57" s="326"/>
      <c r="V57" s="325">
        <v>42232</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91</v>
      </c>
      <c r="S58" s="279"/>
      <c r="T58" s="325">
        <v>42233</v>
      </c>
      <c r="U58" s="326"/>
      <c r="V58" s="325">
        <v>42323</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42310</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339</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881863</v>
      </c>
      <c r="O68" s="329"/>
      <c r="P68" s="329">
        <f>10581+381+58</f>
        <v>11020</v>
      </c>
      <c r="Q68" s="329"/>
      <c r="R68" s="329">
        <f>381+58</f>
        <v>439</v>
      </c>
      <c r="S68" s="329"/>
      <c r="T68" s="329">
        <v>0</v>
      </c>
      <c r="U68" s="329"/>
      <c r="V68" s="330">
        <f>+N68-P68+R68-T68</f>
        <v>871282</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881863</v>
      </c>
      <c r="O71" s="329"/>
      <c r="P71" s="329">
        <f>SUM(P68:P70)</f>
        <v>11020</v>
      </c>
      <c r="Q71" s="329"/>
      <c r="R71" s="329">
        <f>SUM(R68:R70)</f>
        <v>439</v>
      </c>
      <c r="S71" s="329"/>
      <c r="T71" s="329">
        <f>SUM(T68:T70)</f>
        <v>0</v>
      </c>
      <c r="U71" s="329"/>
      <c r="V71" s="329">
        <f>SUM(V68:V70)</f>
        <v>871282</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881863</v>
      </c>
      <c r="O84" s="329"/>
      <c r="P84" s="329"/>
      <c r="Q84" s="329"/>
      <c r="R84" s="329"/>
      <c r="S84" s="329"/>
      <c r="T84" s="329"/>
      <c r="U84" s="329"/>
      <c r="V84" s="329">
        <f>SUM(V71:V83)</f>
        <v>871282</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42307</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11020-53</f>
        <v>10967</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4580+2257-1319-445</f>
        <v>5073</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44+120</f>
        <v>164</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49</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507</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10967</v>
      </c>
      <c r="U96" s="279"/>
      <c r="V96" s="329">
        <f>SUM(V88:V95)</f>
        <v>5793</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-41</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10967</v>
      </c>
      <c r="U100" s="279"/>
      <c r="V100" s="329">
        <f>V96+V98+V97+V99</f>
        <v>5752</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-337-109-12</f>
        <v>-458</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-1424+156</f>
        <v>-1268</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-156</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-235</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-66</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-283</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-64</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53</v>
      </c>
      <c r="U114" s="279"/>
      <c r="V114" s="330">
        <v>-53</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-336</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-2823</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-439</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-6644</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-1182</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-1377</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-1378</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-11020</v>
      </c>
      <c r="U132" s="329"/>
      <c r="V132" s="329">
        <f>SUM(V101:V129)</f>
        <v>-5752</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OCTOBER 2015</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53</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53</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-53</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f>-V99</f>
        <v>41</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871282</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871282</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+'July 15'!S182</f>
        <v>51158</v>
      </c>
      <c r="T180" s="330">
        <f>+'July 15'!T182</f>
        <v>6367</v>
      </c>
      <c r="U180" s="279"/>
      <c r="V180" s="330">
        <f>S180+T180</f>
        <v>57525</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58+381</f>
        <v>439</v>
      </c>
      <c r="T181" s="329">
        <v>0</v>
      </c>
      <c r="U181" s="279"/>
      <c r="V181" s="330">
        <f>S181+T181</f>
        <v>439</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51597</v>
      </c>
      <c r="T182" s="330">
        <f>T181+T180</f>
        <v>6367</v>
      </c>
      <c r="U182" s="279"/>
      <c r="V182" s="330">
        <f>S182+T182</f>
        <v>57964</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182068.80000000002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3.7162921348314608</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1.81</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12.850498338870432</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6.93</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10.279538904899136</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6.47</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OCTOBER 2015</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42307</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2.2620000000000001E-2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9.4270209057920381E-3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1.3192979094207963E-2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6.5225550907567278E-3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12.02</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1.2496272096686221E-2</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6.1400000000000003E-2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0</v>
      </c>
      <c r="T215" s="263">
        <v>0</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91</v>
      </c>
      <c r="T216" s="355">
        <f>+T268</f>
        <v>15770</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1</v>
      </c>
      <c r="T217" s="355">
        <f>+T280</f>
        <v>681</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53</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'July 15'!T222+'Oct 15'!T221</f>
        <v>7095</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0</v>
      </c>
      <c r="T224" s="355">
        <v>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0</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3</v>
      </c>
      <c r="T228" s="355">
        <v>491</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0</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6538</v>
      </c>
      <c r="S235" s="372">
        <f t="shared" ref="S235:S242" si="2">R235/$R$244</f>
        <v>0.99847281612706174</v>
      </c>
      <c r="T235" s="330">
        <f t="shared" ref="T235:T242" si="3">+T247+T259+T271</f>
        <v>869193</v>
      </c>
      <c r="U235" s="372">
        <f t="shared" ref="U235:U242" si="4">T235/$T$244</f>
        <v>0.99760238361403086</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6</v>
      </c>
      <c r="S236" s="372">
        <f t="shared" si="2"/>
        <v>9.1631032376298109E-4</v>
      </c>
      <c r="T236" s="330">
        <f t="shared" si="3"/>
        <v>1014</v>
      </c>
      <c r="U236" s="372">
        <f t="shared" si="4"/>
        <v>1.1638023051090234E-3</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0</v>
      </c>
      <c r="S237" s="372">
        <f t="shared" si="2"/>
        <v>0</v>
      </c>
      <c r="T237" s="330">
        <f t="shared" si="3"/>
        <v>0</v>
      </c>
      <c r="U237" s="372">
        <f t="shared" si="4"/>
        <v>0</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0</v>
      </c>
      <c r="S238" s="372">
        <f t="shared" si="2"/>
        <v>0</v>
      </c>
      <c r="T238" s="330">
        <f t="shared" si="3"/>
        <v>0</v>
      </c>
      <c r="U238" s="372">
        <f t="shared" si="4"/>
        <v>0</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0</v>
      </c>
      <c r="S239" s="372">
        <f t="shared" si="2"/>
        <v>0</v>
      </c>
      <c r="T239" s="330">
        <f t="shared" si="3"/>
        <v>0</v>
      </c>
      <c r="U239" s="372">
        <f t="shared" si="4"/>
        <v>0</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1</v>
      </c>
      <c r="S241" s="372">
        <f t="shared" si="2"/>
        <v>1.5271838729383018E-4</v>
      </c>
      <c r="T241" s="330">
        <f t="shared" si="3"/>
        <v>255</v>
      </c>
      <c r="U241" s="372">
        <f t="shared" si="4"/>
        <v>2.9267217732031648E-4</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3</v>
      </c>
      <c r="S242" s="372">
        <f t="shared" si="2"/>
        <v>4.5815516188149055E-4</v>
      </c>
      <c r="T242" s="330">
        <f t="shared" si="3"/>
        <v>820</v>
      </c>
      <c r="U242" s="372">
        <f t="shared" si="4"/>
        <v>9.411419035398413E-4</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6548</v>
      </c>
      <c r="S244" s="372">
        <f>SUM(S235:S243)</f>
        <v>1</v>
      </c>
      <c r="T244" s="330">
        <f>SUM(T235:T243)</f>
        <v>871282</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6450</v>
      </c>
      <c r="S247" s="250">
        <f t="shared" ref="S247:S254" si="5">R247/$R$256</f>
        <v>0.99907063197026025</v>
      </c>
      <c r="T247" s="251">
        <v>853817</v>
      </c>
      <c r="U247" s="250">
        <f t="shared" ref="U247:U254" si="6">T247/$T$256</f>
        <v>0.99881380062257918</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6</v>
      </c>
      <c r="S248" s="372">
        <f t="shared" si="5"/>
        <v>9.2936802973977691E-4</v>
      </c>
      <c r="T248" s="330">
        <v>1014</v>
      </c>
      <c r="U248" s="372">
        <f t="shared" si="6"/>
        <v>1.1861993774208001E-3</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0</v>
      </c>
      <c r="S254" s="372">
        <f t="shared" si="5"/>
        <v>0</v>
      </c>
      <c r="T254" s="330">
        <v>0</v>
      </c>
      <c r="U254" s="372">
        <f t="shared" si="6"/>
        <v>0</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6456</v>
      </c>
      <c r="S256" s="372">
        <f>SUM(S247:S255)</f>
        <v>1</v>
      </c>
      <c r="T256" s="330">
        <f>SUM(T247:T255)</f>
        <v>854831</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88</v>
      </c>
      <c r="S259" s="250">
        <f t="shared" ref="S259:S266" si="7">R259/$R$268</f>
        <v>0.96703296703296704</v>
      </c>
      <c r="T259" s="251">
        <v>15376</v>
      </c>
      <c r="U259" s="250">
        <f t="shared" ref="U259:U266" si="8">T259/$T$268</f>
        <v>0.97501585288522508</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0</v>
      </c>
      <c r="S260" s="372">
        <f t="shared" si="7"/>
        <v>0</v>
      </c>
      <c r="T260" s="330">
        <v>0</v>
      </c>
      <c r="U260" s="372">
        <f t="shared" si="8"/>
        <v>0</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0</v>
      </c>
      <c r="S261" s="372">
        <f t="shared" si="7"/>
        <v>0</v>
      </c>
      <c r="T261" s="330">
        <v>0</v>
      </c>
      <c r="U261" s="372">
        <f t="shared" si="8"/>
        <v>0</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0</v>
      </c>
      <c r="S262" s="372">
        <f t="shared" si="7"/>
        <v>0</v>
      </c>
      <c r="T262" s="330">
        <v>0</v>
      </c>
      <c r="U262" s="372">
        <f t="shared" si="8"/>
        <v>0</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0</v>
      </c>
      <c r="S263" s="372">
        <f t="shared" si="7"/>
        <v>0</v>
      </c>
      <c r="T263" s="330">
        <v>0</v>
      </c>
      <c r="U263" s="372">
        <f t="shared" si="8"/>
        <v>0</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1</v>
      </c>
      <c r="S265" s="372">
        <f t="shared" si="7"/>
        <v>1.098901098901099E-2</v>
      </c>
      <c r="T265" s="330">
        <v>255</v>
      </c>
      <c r="U265" s="372">
        <f t="shared" si="8"/>
        <v>1.6169942929613188E-2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2</v>
      </c>
      <c r="S266" s="372">
        <f t="shared" si="7"/>
        <v>2.197802197802198E-2</v>
      </c>
      <c r="T266" s="330">
        <v>139</v>
      </c>
      <c r="U266" s="372">
        <f t="shared" si="8"/>
        <v>8.8142041851616993E-3</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91</v>
      </c>
      <c r="S268" s="372">
        <f>SUM(S259:S267)</f>
        <v>1</v>
      </c>
      <c r="T268" s="330">
        <f>SUM(T259:T267)</f>
        <v>15770</v>
      </c>
      <c r="U268" s="372">
        <f>SUM(U259:U267)</f>
        <v>0.99999999999999989</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f>+R277/$R$280</f>
        <v>0</v>
      </c>
      <c r="T277" s="330">
        <v>0</v>
      </c>
      <c r="U277" s="372">
        <f>T277/T280</f>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1</v>
      </c>
      <c r="S278" s="372">
        <f>+R278/$R$280</f>
        <v>1</v>
      </c>
      <c r="T278" s="330">
        <v>681</v>
      </c>
      <c r="U278" s="372">
        <f>T278/T280</f>
        <v>1</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1</v>
      </c>
      <c r="S280" s="372">
        <f>SUM(S271:S279)</f>
        <v>1</v>
      </c>
      <c r="T280" s="330">
        <f>SUM(T271:T278)</f>
        <v>681</v>
      </c>
      <c r="U280" s="372">
        <f>SUM(U271:U279)</f>
        <v>1</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6548</v>
      </c>
      <c r="S282" s="372"/>
      <c r="T282" s="397">
        <f>+T280+T268+T256</f>
        <v>871282</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OCTOBER 2015</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2400-000000000000}"/>
    <hyperlink ref="I9" r:id="rId2" xr:uid="{00000000-0004-0000-24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2D2926"/>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0.65890000000000004</v>
      </c>
      <c r="T16" s="381" t="s">
        <v>145</v>
      </c>
      <c r="U16" s="380">
        <v>0.34110000000000001</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42419</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338</v>
      </c>
      <c r="E27" s="285"/>
      <c r="F27" s="285" t="s">
        <v>317</v>
      </c>
      <c r="G27" s="285"/>
      <c r="H27" s="285" t="s">
        <v>317</v>
      </c>
      <c r="I27" s="285"/>
      <c r="J27" s="285" t="s">
        <v>317</v>
      </c>
      <c r="K27" s="285"/>
      <c r="L27" s="285" t="s">
        <v>149</v>
      </c>
      <c r="M27" s="285"/>
      <c r="N27" s="285" t="s">
        <v>149</v>
      </c>
      <c r="O27" s="285"/>
      <c r="P27" s="285" t="s">
        <v>337</v>
      </c>
      <c r="Q27" s="285"/>
      <c r="R27" s="285" t="s">
        <v>337</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317</v>
      </c>
      <c r="M28" s="285"/>
      <c r="N28" s="285" t="s">
        <v>317</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773316.3</v>
      </c>
      <c r="E32" s="289"/>
      <c r="F32" s="290">
        <f>F31*F38</f>
        <v>74754.17</v>
      </c>
      <c r="G32" s="290"/>
      <c r="H32" s="295">
        <f>H31*H38</f>
        <v>126308.76999999999</v>
      </c>
      <c r="I32" s="295"/>
      <c r="J32" s="294">
        <f>J31*J38</f>
        <v>160334.24619999999</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759421.35000000009</v>
      </c>
      <c r="E33" s="301"/>
      <c r="F33" s="303">
        <f>F37*F31</f>
        <v>73411.006000000008</v>
      </c>
      <c r="G33" s="303"/>
      <c r="H33" s="384">
        <f>H31*H37</f>
        <v>124039.28600000001</v>
      </c>
      <c r="I33" s="384"/>
      <c r="J33" s="383">
        <f>J37*J31</f>
        <v>157453.35990000001</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420280.39609140001</v>
      </c>
      <c r="E35" s="289"/>
      <c r="F35" s="290">
        <f>F34*F38</f>
        <v>74754.17</v>
      </c>
      <c r="G35" s="290"/>
      <c r="H35" s="290">
        <f>H34*H38</f>
        <v>87109.745435999997</v>
      </c>
      <c r="I35" s="290"/>
      <c r="J35" s="290">
        <f>J34*J38</f>
        <v>87138.311772400004</v>
      </c>
      <c r="K35" s="290"/>
      <c r="L35" s="290">
        <f>+L34</f>
        <v>25000</v>
      </c>
      <c r="M35" s="290"/>
      <c r="N35" s="290">
        <f>+N34</f>
        <v>86897</v>
      </c>
      <c r="O35" s="290"/>
      <c r="P35" s="290">
        <f>+P34</f>
        <v>17000</v>
      </c>
      <c r="Q35" s="290"/>
      <c r="R35" s="290">
        <f>+R34</f>
        <v>73103</v>
      </c>
      <c r="S35" s="290"/>
      <c r="T35" s="290"/>
      <c r="U35" s="291"/>
      <c r="V35" s="290">
        <f>SUM(C35:R35)-1</f>
        <v>871281.62329980009</v>
      </c>
      <c r="W35" s="292"/>
      <c r="X35" s="5"/>
    </row>
    <row r="36" spans="1:24" ht="15.6" x14ac:dyDescent="0.3">
      <c r="A36" s="283"/>
      <c r="B36" s="288" t="s">
        <v>295</v>
      </c>
      <c r="C36" s="301"/>
      <c r="D36" s="303">
        <f>D34*D37</f>
        <v>412728.79645530001</v>
      </c>
      <c r="E36" s="301"/>
      <c r="F36" s="303">
        <f>F34*F37</f>
        <v>73411.006000000008</v>
      </c>
      <c r="G36" s="303"/>
      <c r="H36" s="303">
        <f>H34*H37</f>
        <v>85544.579584800013</v>
      </c>
      <c r="I36" s="303"/>
      <c r="J36" s="303">
        <f>J34*J37</f>
        <v>85572.610279800007</v>
      </c>
      <c r="K36" s="303"/>
      <c r="L36" s="303">
        <f>+L34</f>
        <v>25000</v>
      </c>
      <c r="M36" s="303"/>
      <c r="N36" s="303">
        <f>+N34</f>
        <v>86897</v>
      </c>
      <c r="O36" s="303"/>
      <c r="P36" s="303">
        <f>+P34</f>
        <v>17000</v>
      </c>
      <c r="Q36" s="303"/>
      <c r="R36" s="303">
        <f>+R34</f>
        <v>73103</v>
      </c>
      <c r="S36" s="302"/>
      <c r="T36" s="302"/>
      <c r="U36" s="291"/>
      <c r="V36" s="303">
        <f>SUM(C36:R36)</f>
        <v>859256.99231990008</v>
      </c>
      <c r="W36" s="292"/>
      <c r="X36" s="5"/>
    </row>
    <row r="37" spans="1:24" ht="15.6" x14ac:dyDescent="0.3">
      <c r="A37" s="278"/>
      <c r="B37" s="304" t="s">
        <v>135</v>
      </c>
      <c r="C37" s="305"/>
      <c r="D37" s="306">
        <v>0.50628090000000003</v>
      </c>
      <c r="E37" s="307"/>
      <c r="F37" s="306">
        <v>0.50628280000000003</v>
      </c>
      <c r="G37" s="306"/>
      <c r="H37" s="306">
        <v>0.50628280000000003</v>
      </c>
      <c r="I37" s="306"/>
      <c r="J37" s="306">
        <v>0.50628090000000003</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0.51554420000000001</v>
      </c>
      <c r="E38" s="307"/>
      <c r="F38" s="306">
        <v>0.51554599999999995</v>
      </c>
      <c r="G38" s="306"/>
      <c r="H38" s="306">
        <v>0.51554599999999995</v>
      </c>
      <c r="I38" s="306"/>
      <c r="J38" s="306">
        <v>0.51554420000000001</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6.6550000000000003E-3</v>
      </c>
      <c r="E40" s="279"/>
      <c r="F40" s="314">
        <v>8.1312999999999993E-3</v>
      </c>
      <c r="G40" s="313"/>
      <c r="H40" s="314">
        <v>1.5900000000000001E-3</v>
      </c>
      <c r="I40" s="314"/>
      <c r="J40" s="314">
        <v>5.816E-3</v>
      </c>
      <c r="K40" s="313"/>
      <c r="L40" s="314">
        <v>1.05313E-2</v>
      </c>
      <c r="M40" s="313"/>
      <c r="N40" s="314">
        <v>3.9899999999999996E-3</v>
      </c>
      <c r="O40" s="313"/>
      <c r="P40" s="314">
        <v>1.49313E-2</v>
      </c>
      <c r="Q40" s="313"/>
      <c r="R40" s="314">
        <v>8.3899999999999999E-3</v>
      </c>
      <c r="S40" s="313"/>
      <c r="T40" s="314"/>
      <c r="U40" s="281"/>
      <c r="V40" s="287"/>
      <c r="W40" s="282"/>
      <c r="X40" s="5"/>
    </row>
    <row r="41" spans="1:24" ht="15.6" x14ac:dyDescent="0.3">
      <c r="A41" s="278"/>
      <c r="B41" s="279" t="s">
        <v>13</v>
      </c>
      <c r="C41" s="279"/>
      <c r="D41" s="314">
        <v>4.3575000000000003E-3</v>
      </c>
      <c r="E41" s="279"/>
      <c r="F41" s="314">
        <v>8.2562999999999994E-3</v>
      </c>
      <c r="G41" s="313"/>
      <c r="H41" s="314">
        <v>2.16E-3</v>
      </c>
      <c r="I41" s="314"/>
      <c r="J41" s="314">
        <v>5.4050000000000001E-3</v>
      </c>
      <c r="K41" s="313"/>
      <c r="L41" s="314">
        <v>1.06563E-2</v>
      </c>
      <c r="M41" s="313"/>
      <c r="N41" s="314">
        <v>4.5599999999999998E-3</v>
      </c>
      <c r="O41" s="313"/>
      <c r="P41" s="314">
        <v>1.50563E-2</v>
      </c>
      <c r="Q41" s="313"/>
      <c r="R41" s="314">
        <v>8.9599999999999992E-3</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8.3455999999999999E-3</v>
      </c>
      <c r="E43" s="314"/>
      <c r="F43" s="314">
        <f>+F40</f>
        <v>8.1312999999999993E-3</v>
      </c>
      <c r="G43" s="314"/>
      <c r="H43" s="314">
        <v>8.0532999999999993E-3</v>
      </c>
      <c r="I43" s="314"/>
      <c r="J43" s="314">
        <v>8.2953000000000002E-3</v>
      </c>
      <c r="K43" s="314"/>
      <c r="L43" s="314">
        <f>+L40</f>
        <v>1.05313E-2</v>
      </c>
      <c r="M43" s="314"/>
      <c r="N43" s="314">
        <v>1.0733299999999999E-2</v>
      </c>
      <c r="O43" s="314"/>
      <c r="P43" s="314">
        <f>+P40</f>
        <v>1.49313E-2</v>
      </c>
      <c r="Q43" s="313"/>
      <c r="R43" s="314">
        <v>1.54033E-2</v>
      </c>
      <c r="S43" s="287"/>
      <c r="T43" s="287"/>
      <c r="U43" s="281"/>
      <c r="V43" s="313">
        <f>SUMPRODUCT(D43:R43,D35:R35)/V35</f>
        <v>9.3144781201407647E-3</v>
      </c>
      <c r="W43" s="282"/>
      <c r="X43" s="5"/>
    </row>
    <row r="44" spans="1:24" ht="15.6" x14ac:dyDescent="0.3">
      <c r="A44" s="278"/>
      <c r="B44" s="279" t="s">
        <v>298</v>
      </c>
      <c r="C44" s="315"/>
      <c r="D44" s="314">
        <v>8.4706E-3</v>
      </c>
      <c r="E44" s="314"/>
      <c r="F44" s="314">
        <f>+F41</f>
        <v>8.2562999999999994E-3</v>
      </c>
      <c r="G44" s="314"/>
      <c r="H44" s="314">
        <v>8.1782999999999995E-3</v>
      </c>
      <c r="I44" s="314"/>
      <c r="J44" s="314">
        <v>8.4203000000000004E-3</v>
      </c>
      <c r="K44" s="314"/>
      <c r="L44" s="314">
        <f>+L41</f>
        <v>1.06563E-2</v>
      </c>
      <c r="M44" s="314"/>
      <c r="N44" s="314">
        <v>1.08583E-2</v>
      </c>
      <c r="O44" s="314"/>
      <c r="P44" s="314">
        <f>+P41</f>
        <v>1.50563E-2</v>
      </c>
      <c r="Q44" s="313"/>
      <c r="R44" s="314">
        <v>1.55283E-2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0.307337924678453</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42416</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91</v>
      </c>
      <c r="S57" s="279"/>
      <c r="T57" s="325">
        <v>42233</v>
      </c>
      <c r="U57" s="326"/>
      <c r="V57" s="325">
        <v>42323</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42324</v>
      </c>
      <c r="U58" s="326"/>
      <c r="V58" s="325">
        <v>42415</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42401</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340</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871282</v>
      </c>
      <c r="O68" s="329"/>
      <c r="P68" s="329">
        <f>12025+99+123</f>
        <v>12247</v>
      </c>
      <c r="Q68" s="329"/>
      <c r="R68" s="329">
        <f>99+123</f>
        <v>222</v>
      </c>
      <c r="S68" s="329"/>
      <c r="T68" s="329">
        <v>0</v>
      </c>
      <c r="U68" s="329"/>
      <c r="V68" s="330">
        <f>+N68-P68+R68-T68</f>
        <v>859257</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871282</v>
      </c>
      <c r="O71" s="329"/>
      <c r="P71" s="329">
        <f>SUM(P68:P70)</f>
        <v>12247</v>
      </c>
      <c r="Q71" s="329"/>
      <c r="R71" s="329">
        <f>SUM(R68:R70)</f>
        <v>222</v>
      </c>
      <c r="S71" s="329"/>
      <c r="T71" s="329">
        <f>SUM(T68:T70)</f>
        <v>0</v>
      </c>
      <c r="U71" s="329"/>
      <c r="V71" s="329">
        <f>SUM(V68:V70)</f>
        <v>859257</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871282</v>
      </c>
      <c r="O84" s="329"/>
      <c r="P84" s="329"/>
      <c r="Q84" s="329"/>
      <c r="R84" s="329"/>
      <c r="S84" s="329"/>
      <c r="T84" s="329"/>
      <c r="U84" s="329"/>
      <c r="V84" s="329">
        <f>SUM(V71:V83)</f>
        <v>859257</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42398</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12247-196</f>
        <v>12051</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4060+2329-825-559</f>
        <v>5005</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82+21</f>
        <v>103</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49</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536</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12051</v>
      </c>
      <c r="U96" s="279"/>
      <c r="V96" s="329">
        <f>SUM(V88:V95)</f>
        <v>5693</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0</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12051</v>
      </c>
      <c r="U100" s="279"/>
      <c r="V100" s="329">
        <f>V96+V98+V97+V99</f>
        <v>5693</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-333-116-11</f>
        <v>-460</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-1396+153</f>
        <v>-1243</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-153</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-235</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-66</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-284</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-64</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196</v>
      </c>
      <c r="U114" s="279"/>
      <c r="V114" s="330">
        <v>-196</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-332</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-2650</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-222</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-7552</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-1343</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-1565</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-1565</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-12247</v>
      </c>
      <c r="U132" s="329"/>
      <c r="V132" s="329">
        <f>SUM(V101:V129)</f>
        <v>-5693</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JANUARY 2016</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196</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196</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-196</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f>-V99</f>
        <v>0</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859257</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859257</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+'Oct 15'!S182</f>
        <v>51597</v>
      </c>
      <c r="T180" s="330">
        <f>+'Oct 15'!T182</f>
        <v>6367</v>
      </c>
      <c r="U180" s="279"/>
      <c r="V180" s="330">
        <f>S180+T180</f>
        <v>57964</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99+123</f>
        <v>222</v>
      </c>
      <c r="T181" s="329">
        <v>0</v>
      </c>
      <c r="U181" s="279"/>
      <c r="V181" s="330">
        <f>S181+T181</f>
        <v>222</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51819</v>
      </c>
      <c r="T182" s="330">
        <f>T181+T180</f>
        <v>6367</v>
      </c>
      <c r="U182" s="279"/>
      <c r="V182" s="330">
        <f>S182+T182</f>
        <v>58186</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181846.80000000002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3.7471346704871058</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1.82</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12.740863787375416</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7</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10.155172413793103</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6.52</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JANUARY 2016</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42398</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2.2579999999999999E-2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9.3144781201407647E-3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1.3265521879859235E-2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6.5340498254296544E-3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11.82</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1.4056298649576141E-2</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6.13E-2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0</v>
      </c>
      <c r="T215" s="263">
        <v>0</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92</v>
      </c>
      <c r="T216" s="355">
        <f>+T268</f>
        <v>15728</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0</v>
      </c>
      <c r="T217" s="355">
        <f>+T280</f>
        <v>0</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196</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'Oct 15'!T222+'Jan 16'!T221</f>
        <v>7291</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1</v>
      </c>
      <c r="T224" s="355">
        <v>681</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23.15</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13.27</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1</v>
      </c>
      <c r="T228" s="355">
        <v>123</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0</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6456</v>
      </c>
      <c r="S235" s="372">
        <f t="shared" ref="S235:S242" si="2">R235/$R$244</f>
        <v>0.99814471243042668</v>
      </c>
      <c r="T235" s="330">
        <f t="shared" ref="T235:T242" si="3">+T247+T259+T271</f>
        <v>857651</v>
      </c>
      <c r="U235" s="372">
        <f t="shared" ref="U235:U242" si="4">T235/$T$244</f>
        <v>0.99813094336153207</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9</v>
      </c>
      <c r="S236" s="372">
        <f t="shared" si="2"/>
        <v>1.3914656771799629E-3</v>
      </c>
      <c r="T236" s="330">
        <f t="shared" si="3"/>
        <v>1212</v>
      </c>
      <c r="U236" s="372">
        <f t="shared" si="4"/>
        <v>1.410520950076636E-3</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0</v>
      </c>
      <c r="S237" s="372">
        <f t="shared" si="2"/>
        <v>0</v>
      </c>
      <c r="T237" s="330">
        <f t="shared" si="3"/>
        <v>0</v>
      </c>
      <c r="U237" s="372">
        <f t="shared" si="4"/>
        <v>0</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1</v>
      </c>
      <c r="S238" s="372">
        <f t="shared" si="2"/>
        <v>1.5460729746444033E-4</v>
      </c>
      <c r="T238" s="330">
        <f t="shared" si="3"/>
        <v>255</v>
      </c>
      <c r="U238" s="372">
        <f t="shared" si="4"/>
        <v>2.9676802167453976E-4</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0</v>
      </c>
      <c r="S239" s="372">
        <f t="shared" si="2"/>
        <v>0</v>
      </c>
      <c r="T239" s="330">
        <f t="shared" si="3"/>
        <v>0</v>
      </c>
      <c r="U239" s="372">
        <f t="shared" si="4"/>
        <v>0</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0</v>
      </c>
      <c r="S241" s="372">
        <f t="shared" si="2"/>
        <v>0</v>
      </c>
      <c r="T241" s="330">
        <f t="shared" si="3"/>
        <v>0</v>
      </c>
      <c r="U241" s="372">
        <f t="shared" si="4"/>
        <v>0</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2</v>
      </c>
      <c r="S242" s="372">
        <f t="shared" si="2"/>
        <v>3.0921459492888067E-4</v>
      </c>
      <c r="T242" s="330">
        <f t="shared" si="3"/>
        <v>139</v>
      </c>
      <c r="U242" s="372">
        <f t="shared" si="4"/>
        <v>1.6176766671670991E-4</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6468</v>
      </c>
      <c r="S244" s="372">
        <f>SUM(S235:S243)</f>
        <v>0.99999999999999989</v>
      </c>
      <c r="T244" s="330">
        <f>SUM(T235:T243)</f>
        <v>859257</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6369</v>
      </c>
      <c r="S247" s="250">
        <f t="shared" ref="S247:S254" si="5">R247/$R$256</f>
        <v>0.99890213299874531</v>
      </c>
      <c r="T247" s="251">
        <v>842415</v>
      </c>
      <c r="U247" s="250">
        <f t="shared" ref="U247:U254" si="6">T247/$T$256</f>
        <v>0.99867935779327088</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7</v>
      </c>
      <c r="S248" s="372">
        <f t="shared" si="5"/>
        <v>1.0978670012547051E-3</v>
      </c>
      <c r="T248" s="330">
        <v>1114</v>
      </c>
      <c r="U248" s="372">
        <f t="shared" si="6"/>
        <v>1.3206422067291107E-3</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0</v>
      </c>
      <c r="S254" s="372">
        <f t="shared" si="5"/>
        <v>0</v>
      </c>
      <c r="T254" s="330">
        <v>0</v>
      </c>
      <c r="U254" s="372">
        <f t="shared" si="6"/>
        <v>0</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6376</v>
      </c>
      <c r="S256" s="372">
        <f>SUM(S247:S255)</f>
        <v>1</v>
      </c>
      <c r="T256" s="330">
        <f>SUM(T247:T255)</f>
        <v>843529</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87</v>
      </c>
      <c r="S259" s="250">
        <f t="shared" ref="S259:S266" si="7">R259/$R$268</f>
        <v>0.94565217391304346</v>
      </c>
      <c r="T259" s="251">
        <v>15236</v>
      </c>
      <c r="U259" s="250">
        <f t="shared" ref="U259:U266" si="8">T259/$T$268</f>
        <v>0.9687182095625636</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2</v>
      </c>
      <c r="S260" s="372">
        <f t="shared" si="7"/>
        <v>2.1739130434782608E-2</v>
      </c>
      <c r="T260" s="330">
        <v>98</v>
      </c>
      <c r="U260" s="372">
        <f t="shared" si="8"/>
        <v>6.2309257375381486E-3</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0</v>
      </c>
      <c r="S261" s="372">
        <f t="shared" si="7"/>
        <v>0</v>
      </c>
      <c r="T261" s="330">
        <v>0</v>
      </c>
      <c r="U261" s="372">
        <f t="shared" si="8"/>
        <v>0</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1</v>
      </c>
      <c r="S262" s="372">
        <f t="shared" si="7"/>
        <v>1.0869565217391304E-2</v>
      </c>
      <c r="T262" s="330">
        <v>255</v>
      </c>
      <c r="U262" s="372">
        <f t="shared" si="8"/>
        <v>1.6213123092573754E-2</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0</v>
      </c>
      <c r="S263" s="372">
        <f t="shared" si="7"/>
        <v>0</v>
      </c>
      <c r="T263" s="330">
        <v>0</v>
      </c>
      <c r="U263" s="372">
        <f t="shared" si="8"/>
        <v>0</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0</v>
      </c>
      <c r="S265" s="372">
        <f t="shared" si="7"/>
        <v>0</v>
      </c>
      <c r="T265" s="330">
        <v>0</v>
      </c>
      <c r="U265" s="372">
        <f t="shared" si="8"/>
        <v>0</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2</v>
      </c>
      <c r="S266" s="372">
        <f t="shared" si="7"/>
        <v>2.1739130434782608E-2</v>
      </c>
      <c r="T266" s="330">
        <v>139</v>
      </c>
      <c r="U266" s="372">
        <f t="shared" si="8"/>
        <v>8.8377416073245167E-3</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92</v>
      </c>
      <c r="S268" s="372">
        <f>SUM(S259:S267)</f>
        <v>1</v>
      </c>
      <c r="T268" s="330">
        <f>SUM(T259:T267)</f>
        <v>15728</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0</v>
      </c>
      <c r="S278" s="372">
        <v>0</v>
      </c>
      <c r="T278" s="330">
        <v>0</v>
      </c>
      <c r="U278" s="372">
        <v>0</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0</v>
      </c>
      <c r="S280" s="372">
        <f>SUM(S271:S279)</f>
        <v>0</v>
      </c>
      <c r="T280" s="330">
        <f>SUM(T271:T278)</f>
        <v>0</v>
      </c>
      <c r="U280" s="372">
        <f>SUM(U271:U279)</f>
        <v>0</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6468</v>
      </c>
      <c r="S282" s="372"/>
      <c r="T282" s="397">
        <f>+T280+T268+T256</f>
        <v>859257</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JANUARY 2016</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2500-000000000000}"/>
    <hyperlink ref="I9" r:id="rId2" xr:uid="{00000000-0004-0000-25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89CB31"/>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0.65900000000000003</v>
      </c>
      <c r="T16" s="381" t="s">
        <v>145</v>
      </c>
      <c r="U16" s="380">
        <v>0.34100000000000003</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42510</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338</v>
      </c>
      <c r="E27" s="285"/>
      <c r="F27" s="285" t="s">
        <v>317</v>
      </c>
      <c r="G27" s="285"/>
      <c r="H27" s="285" t="s">
        <v>317</v>
      </c>
      <c r="I27" s="285"/>
      <c r="J27" s="285" t="s">
        <v>317</v>
      </c>
      <c r="K27" s="285"/>
      <c r="L27" s="285" t="s">
        <v>149</v>
      </c>
      <c r="M27" s="285"/>
      <c r="N27" s="285" t="s">
        <v>149</v>
      </c>
      <c r="O27" s="285"/>
      <c r="P27" s="285" t="s">
        <v>337</v>
      </c>
      <c r="Q27" s="285"/>
      <c r="R27" s="285" t="s">
        <v>337</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148</v>
      </c>
      <c r="M28" s="285"/>
      <c r="N28" s="285" t="s">
        <v>148</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759421.35000000009</v>
      </c>
      <c r="E32" s="289"/>
      <c r="F32" s="290">
        <f>F31*F38</f>
        <v>73411.006000000008</v>
      </c>
      <c r="G32" s="290"/>
      <c r="H32" s="295">
        <f>H31*H38</f>
        <v>124039.28600000001</v>
      </c>
      <c r="I32" s="295"/>
      <c r="J32" s="294">
        <f>J31*J38</f>
        <v>157453.35990000001</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731659.65</v>
      </c>
      <c r="E33" s="301"/>
      <c r="F33" s="303">
        <f>F37*F31</f>
        <v>70727.375</v>
      </c>
      <c r="G33" s="303"/>
      <c r="H33" s="384">
        <f>H31*H37</f>
        <v>119504.875</v>
      </c>
      <c r="I33" s="384"/>
      <c r="J33" s="383">
        <f>J37*J31</f>
        <v>151697.43410000001</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412728.79645530001</v>
      </c>
      <c r="E35" s="289"/>
      <c r="F35" s="290">
        <f>F34*F38</f>
        <v>73411.006000000008</v>
      </c>
      <c r="G35" s="290"/>
      <c r="H35" s="290">
        <f>H34*H38</f>
        <v>85544.579584800013</v>
      </c>
      <c r="I35" s="290"/>
      <c r="J35" s="290">
        <f>J34*J38</f>
        <v>85572.610279800007</v>
      </c>
      <c r="K35" s="290"/>
      <c r="L35" s="290">
        <f>+L34</f>
        <v>25000</v>
      </c>
      <c r="M35" s="290"/>
      <c r="N35" s="290">
        <f>+N34</f>
        <v>86897</v>
      </c>
      <c r="O35" s="290"/>
      <c r="P35" s="290">
        <f>+P34</f>
        <v>17000</v>
      </c>
      <c r="Q35" s="290"/>
      <c r="R35" s="290">
        <f>+R34</f>
        <v>73103</v>
      </c>
      <c r="S35" s="290"/>
      <c r="T35" s="290"/>
      <c r="U35" s="291"/>
      <c r="V35" s="290">
        <f>SUM(C35:R35)</f>
        <v>859256.99231990008</v>
      </c>
      <c r="W35" s="292"/>
      <c r="X35" s="5"/>
    </row>
    <row r="36" spans="1:24" ht="15.6" x14ac:dyDescent="0.3">
      <c r="A36" s="283"/>
      <c r="B36" s="288" t="s">
        <v>295</v>
      </c>
      <c r="C36" s="301"/>
      <c r="D36" s="303">
        <f>D34*D37</f>
        <v>397640.92326270003</v>
      </c>
      <c r="E36" s="301"/>
      <c r="F36" s="303">
        <f>F34*F37</f>
        <v>70727.375</v>
      </c>
      <c r="G36" s="303"/>
      <c r="H36" s="303">
        <f>H34*H37</f>
        <v>82417.390650000001</v>
      </c>
      <c r="I36" s="303"/>
      <c r="J36" s="303">
        <f>J34*J37</f>
        <v>82444.384908200009</v>
      </c>
      <c r="K36" s="303"/>
      <c r="L36" s="303">
        <f>+L34</f>
        <v>25000</v>
      </c>
      <c r="M36" s="303"/>
      <c r="N36" s="303">
        <f>+N34</f>
        <v>86897</v>
      </c>
      <c r="O36" s="303"/>
      <c r="P36" s="303">
        <f>+P34</f>
        <v>17000</v>
      </c>
      <c r="Q36" s="303"/>
      <c r="R36" s="303">
        <f>+R34</f>
        <v>73103</v>
      </c>
      <c r="S36" s="302"/>
      <c r="T36" s="302"/>
      <c r="U36" s="291"/>
      <c r="V36" s="303">
        <f>SUM(C36:R36)</f>
        <v>835230.07382090006</v>
      </c>
      <c r="W36" s="292"/>
      <c r="X36" s="5"/>
    </row>
    <row r="37" spans="1:24" ht="15.6" x14ac:dyDescent="0.3">
      <c r="A37" s="278"/>
      <c r="B37" s="304" t="s">
        <v>135</v>
      </c>
      <c r="C37" s="305"/>
      <c r="D37" s="306">
        <v>0.48777310000000001</v>
      </c>
      <c r="E37" s="307"/>
      <c r="F37" s="306">
        <v>0.48777500000000001</v>
      </c>
      <c r="G37" s="306"/>
      <c r="H37" s="306">
        <v>0.48777500000000001</v>
      </c>
      <c r="I37" s="306"/>
      <c r="J37" s="306">
        <v>0.48777310000000001</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0.50628090000000003</v>
      </c>
      <c r="E38" s="307"/>
      <c r="F38" s="306">
        <v>0.50628280000000003</v>
      </c>
      <c r="G38" s="306"/>
      <c r="H38" s="306">
        <v>0.50628280000000003</v>
      </c>
      <c r="I38" s="306"/>
      <c r="J38" s="306">
        <v>0.50628090000000003</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6.7275E-3</v>
      </c>
      <c r="E40" s="279"/>
      <c r="F40" s="314">
        <v>8.3288000000000008E-3</v>
      </c>
      <c r="G40" s="313"/>
      <c r="H40" s="314">
        <v>5.6999999999999998E-4</v>
      </c>
      <c r="I40" s="314"/>
      <c r="J40" s="314">
        <v>8.3820000000000006E-3</v>
      </c>
      <c r="K40" s="313"/>
      <c r="L40" s="314">
        <v>1.07288E-2</v>
      </c>
      <c r="M40" s="313"/>
      <c r="N40" s="314">
        <v>2.97E-3</v>
      </c>
      <c r="O40" s="313"/>
      <c r="P40" s="314">
        <v>1.51288E-2</v>
      </c>
      <c r="Q40" s="313"/>
      <c r="R40" s="314">
        <v>7.3699999999999998E-3</v>
      </c>
      <c r="S40" s="313"/>
      <c r="T40" s="314"/>
      <c r="U40" s="281"/>
      <c r="V40" s="287"/>
      <c r="W40" s="282"/>
      <c r="X40" s="5"/>
    </row>
    <row r="41" spans="1:24" ht="15.6" x14ac:dyDescent="0.3">
      <c r="A41" s="278"/>
      <c r="B41" s="279" t="s">
        <v>13</v>
      </c>
      <c r="C41" s="279"/>
      <c r="D41" s="314">
        <v>6.6550000000000003E-3</v>
      </c>
      <c r="E41" s="279"/>
      <c r="F41" s="314">
        <v>8.1312999999999993E-3</v>
      </c>
      <c r="G41" s="313"/>
      <c r="H41" s="314">
        <v>1.5900000000000001E-3</v>
      </c>
      <c r="I41" s="314"/>
      <c r="J41" s="314">
        <v>5.816E-3</v>
      </c>
      <c r="K41" s="313"/>
      <c r="L41" s="314">
        <v>1.05313E-2</v>
      </c>
      <c r="M41" s="313"/>
      <c r="N41" s="314">
        <v>3.9899999999999996E-3</v>
      </c>
      <c r="O41" s="313"/>
      <c r="P41" s="314">
        <v>1.49313E-2</v>
      </c>
      <c r="Q41" s="313"/>
      <c r="R41" s="314">
        <v>8.3899999999999999E-3</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8.5430999999999997E-3</v>
      </c>
      <c r="E43" s="314"/>
      <c r="F43" s="314">
        <f>+F40</f>
        <v>8.3288000000000008E-3</v>
      </c>
      <c r="G43" s="314"/>
      <c r="H43" s="314">
        <v>8.2508000000000008E-3</v>
      </c>
      <c r="I43" s="314"/>
      <c r="J43" s="314">
        <v>8.4928E-3</v>
      </c>
      <c r="K43" s="314"/>
      <c r="L43" s="314">
        <f>+L40</f>
        <v>1.07288E-2</v>
      </c>
      <c r="M43" s="314"/>
      <c r="N43" s="314">
        <v>1.0930799999999999E-2</v>
      </c>
      <c r="O43" s="314"/>
      <c r="P43" s="314">
        <f>+P40</f>
        <v>1.51288E-2</v>
      </c>
      <c r="Q43" s="313"/>
      <c r="R43" s="314">
        <v>1.56008E-2</v>
      </c>
      <c r="S43" s="287"/>
      <c r="T43" s="287"/>
      <c r="U43" s="281"/>
      <c r="V43" s="313">
        <f>SUMPRODUCT(D43:R43,D35:R35)/V35</f>
        <v>9.5264861767282577E-3</v>
      </c>
      <c r="W43" s="282"/>
      <c r="X43" s="5"/>
    </row>
    <row r="44" spans="1:24" ht="15.6" x14ac:dyDescent="0.3">
      <c r="A44" s="278"/>
      <c r="B44" s="279" t="s">
        <v>298</v>
      </c>
      <c r="C44" s="315"/>
      <c r="D44" s="314">
        <v>8.3455999999999999E-3</v>
      </c>
      <c r="E44" s="314"/>
      <c r="F44" s="314">
        <f>+F41</f>
        <v>8.1312999999999993E-3</v>
      </c>
      <c r="G44" s="314"/>
      <c r="H44" s="314">
        <v>8.0532999999999993E-3</v>
      </c>
      <c r="I44" s="314"/>
      <c r="J44" s="314">
        <v>8.2953000000000002E-3</v>
      </c>
      <c r="K44" s="314"/>
      <c r="L44" s="314">
        <f>+L41</f>
        <v>1.05313E-2</v>
      </c>
      <c r="M44" s="314"/>
      <c r="N44" s="314">
        <v>1.0733299999999999E-2</v>
      </c>
      <c r="O44" s="314"/>
      <c r="P44" s="314">
        <f>+P41</f>
        <v>1.49313E-2</v>
      </c>
      <c r="Q44" s="313"/>
      <c r="R44" s="314">
        <v>1.54033E-2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0.31899937850572269</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42506</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92</v>
      </c>
      <c r="S57" s="279"/>
      <c r="T57" s="325">
        <v>42324</v>
      </c>
      <c r="U57" s="326"/>
      <c r="V57" s="325">
        <v>42415</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90</v>
      </c>
      <c r="S58" s="279"/>
      <c r="T58" s="325">
        <v>42416</v>
      </c>
      <c r="U58" s="326"/>
      <c r="V58" s="325">
        <v>42505</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42493</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341</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859257</v>
      </c>
      <c r="O68" s="329"/>
      <c r="P68" s="329">
        <f>24027+931+120</f>
        <v>25078</v>
      </c>
      <c r="Q68" s="329"/>
      <c r="R68" s="329">
        <f>931+120</f>
        <v>1051</v>
      </c>
      <c r="S68" s="329"/>
      <c r="T68" s="329">
        <v>0</v>
      </c>
      <c r="U68" s="329"/>
      <c r="V68" s="330">
        <f>+N68-P68+R68-T68</f>
        <v>835230</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859257</v>
      </c>
      <c r="O71" s="329"/>
      <c r="P71" s="329">
        <f>SUM(P68:P70)</f>
        <v>25078</v>
      </c>
      <c r="Q71" s="329"/>
      <c r="R71" s="329">
        <f>SUM(R68:R70)</f>
        <v>1051</v>
      </c>
      <c r="S71" s="329"/>
      <c r="T71" s="329">
        <f>SUM(T68:T70)</f>
        <v>0</v>
      </c>
      <c r="U71" s="329"/>
      <c r="V71" s="329">
        <f>SUM(V68:V70)</f>
        <v>835230</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859257</v>
      </c>
      <c r="O84" s="329"/>
      <c r="P84" s="329"/>
      <c r="Q84" s="329"/>
      <c r="R84" s="329"/>
      <c r="S84" s="329"/>
      <c r="T84" s="329"/>
      <c r="U84" s="329"/>
      <c r="V84" s="329">
        <f>SUM(V71:V83)</f>
        <v>835230</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42489</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25078+297</f>
        <v>25375</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4374+2370-1254-597</f>
        <v>4893</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62+110</f>
        <v>172</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55</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459</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25375</v>
      </c>
      <c r="U96" s="279"/>
      <c r="V96" s="329">
        <f>SUM(V88:V95)</f>
        <v>5579</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-21</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25375</v>
      </c>
      <c r="U100" s="279"/>
      <c r="V100" s="329">
        <f>V96+V98+V97+V99</f>
        <v>5558</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-321-124-11</f>
        <v>-456</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-1373+151</f>
        <v>-1222</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-151</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-234</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-66</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-281</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-64</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-297</v>
      </c>
      <c r="U114" s="279"/>
      <c r="V114" s="330">
        <v>297</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-321</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-3050</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-1051</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-15088</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-2684</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-3127</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-3128</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-25078</v>
      </c>
      <c r="U132" s="329"/>
      <c r="V132" s="329">
        <f>SUM(V101:V129)</f>
        <v>-5558</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APRIL 2016</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-297</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-297</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297</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f>-V99</f>
        <v>21</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835230</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835230</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+'Jan 16'!S182</f>
        <v>51819</v>
      </c>
      <c r="T180" s="330">
        <f>+'Jan 16'!T182</f>
        <v>6367</v>
      </c>
      <c r="U180" s="279"/>
      <c r="V180" s="330">
        <f>S180+T180</f>
        <v>58186</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931+120</f>
        <v>1051</v>
      </c>
      <c r="T181" s="329">
        <v>0</v>
      </c>
      <c r="U181" s="279"/>
      <c r="V181" s="330">
        <f>S181+T181</f>
        <v>1051</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52870</v>
      </c>
      <c r="T182" s="330">
        <f>T181+T180</f>
        <v>6367</v>
      </c>
      <c r="U182" s="279"/>
      <c r="V182" s="330">
        <f>S182+T182</f>
        <v>59237</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180795.80000000002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3.7144938091769846</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1.83</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12.423333333333334</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7.06</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9.9333333333333336</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6.57</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APRIL 2016</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42489</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2.2710000000000001E-2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9.5264861767282577E-3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1.3183513823271743E-2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6.4683790763415371E-3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11.71</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2.9185680186486696E-2</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6.2600000000000003E-2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1</v>
      </c>
      <c r="T215" s="263">
        <v>49</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90</v>
      </c>
      <c r="T216" s="355">
        <f>+T268</f>
        <v>15563</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0</v>
      </c>
      <c r="T217" s="355">
        <f>+T280</f>
        <v>0</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-297</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'Jan 16'!T222+'Apr 16'!T221</f>
        <v>6994</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0</v>
      </c>
      <c r="T224" s="355">
        <v>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0</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2</v>
      </c>
      <c r="T228" s="355">
        <v>139</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31.46</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6314</v>
      </c>
      <c r="S235" s="372">
        <f t="shared" ref="S235:S242" si="2">R235/$R$244</f>
        <v>0.99810306670882076</v>
      </c>
      <c r="T235" s="330">
        <f t="shared" ref="T235:T242" si="3">+T247+T259+T271</f>
        <v>834237</v>
      </c>
      <c r="U235" s="372">
        <f t="shared" ref="U235:U242" si="4">T235/$T$244</f>
        <v>0.99881110592291944</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9</v>
      </c>
      <c r="S236" s="372">
        <f t="shared" si="2"/>
        <v>1.422699968384445E-3</v>
      </c>
      <c r="T236" s="330">
        <f t="shared" si="3"/>
        <v>754</v>
      </c>
      <c r="U236" s="372">
        <f t="shared" si="4"/>
        <v>9.0274535157980438E-4</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1</v>
      </c>
      <c r="S237" s="372">
        <f t="shared" si="2"/>
        <v>1.5807777426493836E-4</v>
      </c>
      <c r="T237" s="330">
        <f t="shared" si="3"/>
        <v>150</v>
      </c>
      <c r="U237" s="372">
        <f t="shared" si="4"/>
        <v>1.7959125031428468E-4</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2</v>
      </c>
      <c r="S238" s="372">
        <f t="shared" si="2"/>
        <v>3.1615554852987672E-4</v>
      </c>
      <c r="T238" s="330">
        <f t="shared" si="3"/>
        <v>89</v>
      </c>
      <c r="U238" s="372">
        <f t="shared" si="4"/>
        <v>1.0655747518647558E-4</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0</v>
      </c>
      <c r="S239" s="372">
        <f t="shared" si="2"/>
        <v>0</v>
      </c>
      <c r="T239" s="330">
        <f t="shared" si="3"/>
        <v>0</v>
      </c>
      <c r="U239" s="372">
        <f t="shared" si="4"/>
        <v>0</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0</v>
      </c>
      <c r="S241" s="372">
        <f t="shared" si="2"/>
        <v>0</v>
      </c>
      <c r="T241" s="330">
        <f t="shared" si="3"/>
        <v>0</v>
      </c>
      <c r="U241" s="372">
        <f t="shared" si="4"/>
        <v>0</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0</v>
      </c>
      <c r="S242" s="372">
        <f t="shared" si="2"/>
        <v>0</v>
      </c>
      <c r="T242" s="330">
        <f t="shared" si="3"/>
        <v>0</v>
      </c>
      <c r="U242" s="372">
        <f t="shared" si="4"/>
        <v>0</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6326</v>
      </c>
      <c r="S244" s="372">
        <f>SUM(S235:S243)</f>
        <v>1</v>
      </c>
      <c r="T244" s="330">
        <f>SUM(T235:T243)</f>
        <v>835230</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6224</v>
      </c>
      <c r="S247" s="250">
        <f t="shared" ref="S247:S254" si="5">R247/$R$256</f>
        <v>0.99807568954457981</v>
      </c>
      <c r="T247" s="251">
        <v>818674</v>
      </c>
      <c r="U247" s="250">
        <f t="shared" ref="U247:U254" si="6">T247/$T$256</f>
        <v>0.9987885324162129</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9</v>
      </c>
      <c r="S248" s="372">
        <f t="shared" si="5"/>
        <v>1.4432328415651058E-3</v>
      </c>
      <c r="T248" s="330">
        <v>754</v>
      </c>
      <c r="U248" s="372">
        <f t="shared" si="6"/>
        <v>9.1988575848484812E-4</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1</v>
      </c>
      <c r="S249" s="372">
        <f t="shared" si="5"/>
        <v>1.6035920461834508E-4</v>
      </c>
      <c r="T249" s="330">
        <v>150</v>
      </c>
      <c r="U249" s="372">
        <f t="shared" si="6"/>
        <v>1.8300114558717138E-4</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2</v>
      </c>
      <c r="S250" s="372">
        <f t="shared" si="5"/>
        <v>3.2071840923669016E-4</v>
      </c>
      <c r="T250" s="330">
        <v>89</v>
      </c>
      <c r="U250" s="372">
        <f t="shared" si="6"/>
        <v>1.0858067971505501E-4</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0</v>
      </c>
      <c r="S254" s="372">
        <f t="shared" si="5"/>
        <v>0</v>
      </c>
      <c r="T254" s="330">
        <v>0</v>
      </c>
      <c r="U254" s="372">
        <f t="shared" si="6"/>
        <v>0</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6236</v>
      </c>
      <c r="S256" s="372">
        <f>SUM(S247:S255)</f>
        <v>0.99999999999999989</v>
      </c>
      <c r="T256" s="330">
        <f>SUM(T247:T255)</f>
        <v>819667</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90</v>
      </c>
      <c r="S259" s="250">
        <f t="shared" ref="S259:S266" si="7">R259/$R$268</f>
        <v>1</v>
      </c>
      <c r="T259" s="251">
        <v>15563</v>
      </c>
      <c r="U259" s="250">
        <f t="shared" ref="U259:U266" si="8">T259/$T$268</f>
        <v>1</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0</v>
      </c>
      <c r="S260" s="372">
        <f t="shared" si="7"/>
        <v>0</v>
      </c>
      <c r="T260" s="330">
        <v>0</v>
      </c>
      <c r="U260" s="372">
        <f t="shared" si="8"/>
        <v>0</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0</v>
      </c>
      <c r="S261" s="372">
        <f t="shared" si="7"/>
        <v>0</v>
      </c>
      <c r="T261" s="330">
        <v>0</v>
      </c>
      <c r="U261" s="372">
        <f t="shared" si="8"/>
        <v>0</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0</v>
      </c>
      <c r="S262" s="372">
        <f t="shared" si="7"/>
        <v>0</v>
      </c>
      <c r="T262" s="330">
        <v>0</v>
      </c>
      <c r="U262" s="372">
        <f t="shared" si="8"/>
        <v>0</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0</v>
      </c>
      <c r="S263" s="372">
        <f t="shared" si="7"/>
        <v>0</v>
      </c>
      <c r="T263" s="330">
        <v>0</v>
      </c>
      <c r="U263" s="372">
        <f t="shared" si="8"/>
        <v>0</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0</v>
      </c>
      <c r="S265" s="372">
        <f t="shared" si="7"/>
        <v>0</v>
      </c>
      <c r="T265" s="330">
        <v>0</v>
      </c>
      <c r="U265" s="372">
        <f t="shared" si="8"/>
        <v>0</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0</v>
      </c>
      <c r="S266" s="372">
        <f t="shared" si="7"/>
        <v>0</v>
      </c>
      <c r="T266" s="330">
        <v>0</v>
      </c>
      <c r="U266" s="372">
        <f t="shared" si="8"/>
        <v>0</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90</v>
      </c>
      <c r="S268" s="372">
        <f>SUM(S259:S267)</f>
        <v>1</v>
      </c>
      <c r="T268" s="330">
        <f>SUM(T259:T267)</f>
        <v>15563</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0</v>
      </c>
      <c r="S278" s="372">
        <v>0</v>
      </c>
      <c r="T278" s="330">
        <v>0</v>
      </c>
      <c r="U278" s="372">
        <v>0</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0</v>
      </c>
      <c r="S280" s="372">
        <f>SUM(S271:S279)</f>
        <v>0</v>
      </c>
      <c r="T280" s="330">
        <f>SUM(T271:T278)</f>
        <v>0</v>
      </c>
      <c r="U280" s="372">
        <f>SUM(U271:U279)</f>
        <v>0</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6326</v>
      </c>
      <c r="S282" s="372"/>
      <c r="T282" s="397">
        <f>+T280+T268+T256</f>
        <v>835230</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APRIL 2016</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2600-000000000000}"/>
    <hyperlink ref="I9" r:id="rId2" xr:uid="{00000000-0004-0000-26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D2926"/>
  </sheetPr>
  <dimension ref="A1:Y278"/>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0.58850000000000002</v>
      </c>
      <c r="T16" s="17" t="s">
        <v>145</v>
      </c>
      <c r="U16" s="137">
        <v>0.41149999999999998</v>
      </c>
      <c r="V16" s="16"/>
      <c r="W16" s="15"/>
      <c r="X16" s="5"/>
    </row>
    <row r="17" spans="1:25"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5" ht="15.6" x14ac:dyDescent="0.3">
      <c r="A18" s="6"/>
      <c r="B18" s="14" t="s">
        <v>5</v>
      </c>
      <c r="C18" s="15"/>
      <c r="D18" s="15"/>
      <c r="E18" s="15"/>
      <c r="F18" s="15"/>
      <c r="G18" s="15"/>
      <c r="H18" s="15"/>
      <c r="I18" s="15"/>
      <c r="J18" s="15"/>
      <c r="K18" s="15"/>
      <c r="L18" s="15"/>
      <c r="M18" s="15"/>
      <c r="N18" s="15"/>
      <c r="O18" s="15"/>
      <c r="P18" s="15"/>
      <c r="Q18" s="15"/>
      <c r="R18" s="15"/>
      <c r="S18" s="15"/>
      <c r="T18" s="15"/>
      <c r="U18" s="15"/>
      <c r="V18" s="19">
        <v>39311</v>
      </c>
      <c r="W18" s="15"/>
      <c r="X18" s="5"/>
      <c r="Y18" s="170"/>
    </row>
    <row r="19" spans="1:25"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5"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5"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5"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5"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5"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5"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5"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5"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5"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5"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5"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5"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5" ht="15.6" x14ac:dyDescent="0.3">
      <c r="A32" s="24"/>
      <c r="B32" s="25" t="s">
        <v>137</v>
      </c>
      <c r="C32" s="32"/>
      <c r="D32" s="146">
        <f>D31*D38</f>
        <v>1411334.55</v>
      </c>
      <c r="E32" s="32"/>
      <c r="F32" s="31">
        <f>F31*F38</f>
        <v>136429.02100000001</v>
      </c>
      <c r="G32" s="31"/>
      <c r="H32" s="124">
        <f>H31*H38</f>
        <v>230518.00099999999</v>
      </c>
      <c r="I32" s="124"/>
      <c r="J32" s="146">
        <f>J31*J38</f>
        <v>292616.69670000003</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1382756.55</v>
      </c>
      <c r="E33" s="36"/>
      <c r="F33" s="35">
        <f>F37*F31</f>
        <v>133666.481</v>
      </c>
      <c r="G33" s="35"/>
      <c r="H33" s="125">
        <f>H31*H37</f>
        <v>225850.261</v>
      </c>
      <c r="I33" s="125"/>
      <c r="J33" s="151">
        <f>J37*J31</f>
        <v>286691.52470000001</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767029.27856490004</v>
      </c>
      <c r="E35" s="32"/>
      <c r="F35" s="31">
        <f>F34*F38</f>
        <v>136429.02100000001</v>
      </c>
      <c r="G35" s="31"/>
      <c r="H35" s="31">
        <f>H34*H38</f>
        <v>158978.3859468</v>
      </c>
      <c r="I35" s="31"/>
      <c r="J35" s="31">
        <f>J34*J38</f>
        <v>159031.0588734</v>
      </c>
      <c r="K35" s="31"/>
      <c r="L35" s="31">
        <f>+L34</f>
        <v>25000</v>
      </c>
      <c r="M35" s="31"/>
      <c r="N35" s="31">
        <f>+N34</f>
        <v>86897</v>
      </c>
      <c r="O35" s="31"/>
      <c r="P35" s="31">
        <f>+P34</f>
        <v>17000</v>
      </c>
      <c r="Q35" s="31"/>
      <c r="R35" s="31">
        <f>+R34</f>
        <v>73103</v>
      </c>
      <c r="S35" s="31"/>
      <c r="T35" s="31"/>
      <c r="U35" s="164"/>
      <c r="V35" s="154">
        <f>SUM(C35:R35)</f>
        <v>1423467.7443851002</v>
      </c>
      <c r="W35" s="34"/>
      <c r="X35" s="5"/>
    </row>
    <row r="36" spans="1:24" ht="15.6" x14ac:dyDescent="0.3">
      <c r="A36" s="28"/>
      <c r="B36" s="29" t="s">
        <v>295</v>
      </c>
      <c r="C36" s="126"/>
      <c r="D36" s="35">
        <f>D34*D37</f>
        <v>751497.76428090001</v>
      </c>
      <c r="E36" s="36"/>
      <c r="F36" s="35">
        <f>F34*F37</f>
        <v>133666.481</v>
      </c>
      <c r="G36" s="35"/>
      <c r="H36" s="35">
        <f>H34*H37</f>
        <v>155759.2457148</v>
      </c>
      <c r="I36" s="35"/>
      <c r="J36" s="35">
        <f>J34*J37</f>
        <v>155810.85172939999</v>
      </c>
      <c r="K36" s="35"/>
      <c r="L36" s="35">
        <f>+L34</f>
        <v>25000</v>
      </c>
      <c r="M36" s="35"/>
      <c r="N36" s="35">
        <f>+N34</f>
        <v>86897</v>
      </c>
      <c r="O36" s="35"/>
      <c r="P36" s="35">
        <f>+P34</f>
        <v>17000</v>
      </c>
      <c r="Q36" s="35"/>
      <c r="R36" s="35">
        <f>+R34</f>
        <v>73103</v>
      </c>
      <c r="S36" s="128"/>
      <c r="T36" s="128"/>
      <c r="U36" s="164"/>
      <c r="V36" s="155">
        <f>SUM(C36:R36)</f>
        <v>1398734.3427251</v>
      </c>
      <c r="W36" s="34"/>
      <c r="X36" s="5"/>
    </row>
    <row r="37" spans="1:24" ht="15.6" x14ac:dyDescent="0.3">
      <c r="A37" s="24"/>
      <c r="B37" s="122" t="s">
        <v>135</v>
      </c>
      <c r="C37" s="25"/>
      <c r="D37" s="168">
        <v>0.92183769999999998</v>
      </c>
      <c r="E37" s="169"/>
      <c r="F37" s="168">
        <v>0.92183780000000004</v>
      </c>
      <c r="G37" s="168"/>
      <c r="H37" s="168">
        <v>0.92183780000000004</v>
      </c>
      <c r="I37" s="168"/>
      <c r="J37" s="168">
        <v>0.92183769999999998</v>
      </c>
      <c r="K37" s="168"/>
      <c r="L37" s="168">
        <v>1</v>
      </c>
      <c r="M37" s="168"/>
      <c r="N37" s="168">
        <v>1</v>
      </c>
      <c r="O37" s="168"/>
      <c r="P37" s="168">
        <v>1</v>
      </c>
      <c r="Q37" s="168"/>
      <c r="R37" s="168">
        <v>1</v>
      </c>
      <c r="S37" s="30"/>
      <c r="T37" s="30"/>
      <c r="U37" s="163"/>
      <c r="V37" s="163"/>
      <c r="W37" s="25"/>
      <c r="X37" s="5"/>
    </row>
    <row r="38" spans="1:24" ht="15.6" x14ac:dyDescent="0.3">
      <c r="A38" s="24"/>
      <c r="B38" s="122" t="s">
        <v>136</v>
      </c>
      <c r="C38" s="25"/>
      <c r="D38" s="168">
        <v>0.94088970000000005</v>
      </c>
      <c r="E38" s="169"/>
      <c r="F38" s="168">
        <v>0.9408898</v>
      </c>
      <c r="G38" s="168"/>
      <c r="H38" s="168">
        <v>0.9408898</v>
      </c>
      <c r="I38" s="168"/>
      <c r="J38" s="168">
        <v>0.94088970000000005</v>
      </c>
      <c r="K38" s="168"/>
      <c r="L38" s="168">
        <v>1</v>
      </c>
      <c r="M38" s="168"/>
      <c r="N38" s="168">
        <v>1</v>
      </c>
      <c r="O38" s="168"/>
      <c r="P38" s="168">
        <v>1</v>
      </c>
      <c r="Q38" s="168"/>
      <c r="R38" s="168">
        <v>1</v>
      </c>
      <c r="S38" s="39"/>
      <c r="T38" s="38"/>
      <c r="U38" s="163"/>
      <c r="V38" s="39"/>
      <c r="W38" s="25"/>
      <c r="X38" s="5"/>
    </row>
    <row r="39" spans="1:24" ht="15.6" x14ac:dyDescent="0.3">
      <c r="A39" s="24"/>
      <c r="B39" s="25" t="s">
        <v>11</v>
      </c>
      <c r="C39" s="25"/>
      <c r="D39" s="30" t="s">
        <v>276</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5.3100000000000001E-2</v>
      </c>
      <c r="E40" s="25"/>
      <c r="F40" s="38">
        <v>5.8740000000000001E-2</v>
      </c>
      <c r="G40" s="39"/>
      <c r="H40" s="38">
        <v>4.181E-2</v>
      </c>
      <c r="I40" s="38"/>
      <c r="J40" s="38">
        <v>5.4699999999999999E-2</v>
      </c>
      <c r="K40" s="39"/>
      <c r="L40" s="38">
        <v>5.994E-2</v>
      </c>
      <c r="M40" s="39"/>
      <c r="N40" s="38">
        <v>4.301E-2</v>
      </c>
      <c r="O40" s="39"/>
      <c r="P40" s="38">
        <v>6.2140000000000001E-2</v>
      </c>
      <c r="Q40" s="39"/>
      <c r="R40" s="38">
        <v>4.521E-2</v>
      </c>
      <c r="S40" s="39"/>
      <c r="T40" s="38"/>
      <c r="U40" s="163"/>
      <c r="V40" s="30"/>
      <c r="W40" s="25"/>
      <c r="X40" s="5"/>
    </row>
    <row r="41" spans="1:24" ht="15.6" x14ac:dyDescent="0.3">
      <c r="A41" s="24"/>
      <c r="B41" s="25" t="s">
        <v>13</v>
      </c>
      <c r="C41" s="25"/>
      <c r="D41" s="38">
        <v>5.2999999999999999E-2</v>
      </c>
      <c r="E41" s="25"/>
      <c r="F41" s="38">
        <v>5.6556299999999997E-2</v>
      </c>
      <c r="G41" s="39"/>
      <c r="H41" s="38">
        <v>3.934E-2</v>
      </c>
      <c r="I41" s="38"/>
      <c r="J41" s="38">
        <v>5.4699999999999999E-2</v>
      </c>
      <c r="K41" s="39"/>
      <c r="L41" s="38">
        <v>5.7756299999999997E-2</v>
      </c>
      <c r="M41" s="39"/>
      <c r="N41" s="38">
        <v>4.054E-2</v>
      </c>
      <c r="O41" s="39"/>
      <c r="P41" s="38">
        <v>5.9956299999999997E-2</v>
      </c>
      <c r="Q41" s="39"/>
      <c r="R41" s="38">
        <v>4.274E-2</v>
      </c>
      <c r="S41" s="39"/>
      <c r="T41" s="38"/>
      <c r="U41" s="163"/>
      <c r="V41" s="39" t="s">
        <v>199</v>
      </c>
      <c r="W41" s="25"/>
      <c r="X41" s="5"/>
    </row>
    <row r="42" spans="1:24" ht="15.6" x14ac:dyDescent="0.3">
      <c r="A42" s="24"/>
      <c r="B42" s="25" t="s">
        <v>296</v>
      </c>
      <c r="C42" s="25"/>
      <c r="D42" s="30" t="s">
        <v>268</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5.7631500000000002E-2</v>
      </c>
      <c r="E43" s="38"/>
      <c r="F43" s="38">
        <f>+F40</f>
        <v>5.8740000000000001E-2</v>
      </c>
      <c r="G43" s="38"/>
      <c r="H43" s="38">
        <v>5.8701000000000003E-2</v>
      </c>
      <c r="I43" s="38"/>
      <c r="J43" s="38">
        <v>5.8821999999999999E-2</v>
      </c>
      <c r="K43" s="38"/>
      <c r="L43" s="38">
        <f>+L40</f>
        <v>5.994E-2</v>
      </c>
      <c r="M43" s="38"/>
      <c r="N43" s="38">
        <v>6.0040999999999997E-2</v>
      </c>
      <c r="O43" s="38"/>
      <c r="P43" s="38">
        <f>+P40</f>
        <v>6.2140000000000001E-2</v>
      </c>
      <c r="Q43" s="39"/>
      <c r="R43" s="38">
        <v>6.2376000000000001E-2</v>
      </c>
      <c r="S43" s="30"/>
      <c r="T43" s="30"/>
      <c r="U43" s="163"/>
      <c r="V43" s="39">
        <f>SUMPRODUCT(D43:R43,D35:R35)/V35</f>
        <v>5.8475325185976555E-2</v>
      </c>
      <c r="W43" s="25"/>
      <c r="X43" s="5"/>
    </row>
    <row r="44" spans="1:24" ht="15.6" x14ac:dyDescent="0.3">
      <c r="A44" s="24"/>
      <c r="B44" s="25" t="s">
        <v>298</v>
      </c>
      <c r="C44" s="110"/>
      <c r="D44" s="38">
        <v>5.5346899999999997E-2</v>
      </c>
      <c r="E44" s="38"/>
      <c r="F44" s="38">
        <f>+F41</f>
        <v>5.6556299999999997E-2</v>
      </c>
      <c r="G44" s="38"/>
      <c r="H44" s="38">
        <v>5.6517299999999999E-2</v>
      </c>
      <c r="I44" s="38"/>
      <c r="J44" s="38">
        <v>5.6638300000000003E-2</v>
      </c>
      <c r="K44" s="38"/>
      <c r="L44" s="38">
        <f>+L41</f>
        <v>5.7756299999999997E-2</v>
      </c>
      <c r="M44" s="38"/>
      <c r="N44" s="38">
        <v>5.78573E-2</v>
      </c>
      <c r="O44" s="38"/>
      <c r="P44" s="38">
        <f>+P41</f>
        <v>5.9956299999999997E-2</v>
      </c>
      <c r="Q44" s="39"/>
      <c r="R44" s="38">
        <v>6.0192299999999997E-2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0.16879268254308058</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39309</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89</v>
      </c>
      <c r="S57" s="25"/>
      <c r="T57" s="45">
        <v>39128</v>
      </c>
      <c r="U57" s="46"/>
      <c r="V57" s="45">
        <v>39216</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92</v>
      </c>
      <c r="S58" s="25"/>
      <c r="T58" s="45">
        <v>39217</v>
      </c>
      <c r="U58" s="46"/>
      <c r="V58" s="45">
        <v>39308</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39295</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275</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1423468</v>
      </c>
      <c r="O69" s="34"/>
      <c r="P69" s="34">
        <f>24734+5100+1577</f>
        <v>31411</v>
      </c>
      <c r="Q69" s="34"/>
      <c r="R69" s="34">
        <f>5100+1577</f>
        <v>6677</v>
      </c>
      <c r="S69" s="34"/>
      <c r="T69" s="34">
        <v>0</v>
      </c>
      <c r="U69" s="34"/>
      <c r="V69" s="53">
        <f>+N69-P69+R69-T69</f>
        <v>1398734</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1423468</v>
      </c>
      <c r="O72" s="34"/>
      <c r="P72" s="34">
        <f>SUM(P69:P71)</f>
        <v>31411</v>
      </c>
      <c r="Q72" s="34"/>
      <c r="R72" s="34">
        <f>SUM(R69:R71)</f>
        <v>6677</v>
      </c>
      <c r="S72" s="34"/>
      <c r="T72" s="34">
        <f>SUM(T69:T71)</f>
        <v>0</v>
      </c>
      <c r="U72" s="34"/>
      <c r="V72" s="54">
        <f>SUM(V69:V71)</f>
        <v>1398734</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1423468</v>
      </c>
      <c r="O85" s="34"/>
      <c r="P85" s="34"/>
      <c r="Q85" s="34"/>
      <c r="R85" s="34"/>
      <c r="S85" s="34"/>
      <c r="T85" s="54"/>
      <c r="U85" s="34"/>
      <c r="V85" s="54">
        <f>SUM(V72:V84)</f>
        <v>1398734</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+T195</f>
        <v>39294</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v>31391</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12499+7176+7-783-238</f>
        <v>18661</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280+349</f>
        <v>629</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971</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v>2121</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3862</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31391</v>
      </c>
      <c r="U97" s="25"/>
      <c r="V97" s="54">
        <f>SUM(V89:V96)</f>
        <v>26244</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-121</v>
      </c>
      <c r="U98" s="25"/>
      <c r="V98" s="54">
        <v>121</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32</v>
      </c>
      <c r="C100" s="25"/>
      <c r="D100" s="25"/>
      <c r="E100" s="25"/>
      <c r="F100" s="25"/>
      <c r="G100" s="25"/>
      <c r="H100" s="25"/>
      <c r="I100" s="25"/>
      <c r="J100" s="25"/>
      <c r="K100" s="25"/>
      <c r="L100" s="25"/>
      <c r="M100" s="25"/>
      <c r="N100" s="25"/>
      <c r="O100" s="25"/>
      <c r="P100" s="25"/>
      <c r="Q100" s="25"/>
      <c r="R100" s="25"/>
      <c r="S100" s="25"/>
      <c r="T100" s="34">
        <f>T97+T99+T98</f>
        <v>31270</v>
      </c>
      <c r="U100" s="25"/>
      <c r="V100" s="54">
        <f>V97+V99+V98</f>
        <v>26365</v>
      </c>
      <c r="W100" s="25"/>
      <c r="X100" s="5"/>
    </row>
    <row r="101" spans="1:25" ht="15.6" x14ac:dyDescent="0.3">
      <c r="A101" s="24"/>
      <c r="B101" s="118" t="s">
        <v>33</v>
      </c>
      <c r="C101" s="25"/>
      <c r="D101" s="25"/>
      <c r="E101" s="25"/>
      <c r="F101" s="25"/>
      <c r="G101" s="25"/>
      <c r="H101" s="25"/>
      <c r="I101" s="25"/>
      <c r="J101" s="25"/>
      <c r="K101" s="25"/>
      <c r="L101" s="25"/>
      <c r="M101" s="25"/>
      <c r="N101" s="25"/>
      <c r="O101" s="25"/>
      <c r="P101" s="25"/>
      <c r="Q101" s="25"/>
      <c r="R101" s="25"/>
      <c r="S101" s="25"/>
      <c r="T101" s="34"/>
      <c r="U101" s="25"/>
      <c r="V101" s="53"/>
      <c r="W101" s="25"/>
      <c r="X101" s="5"/>
    </row>
    <row r="102" spans="1:25" ht="15.6" x14ac:dyDescent="0.3">
      <c r="A102" s="24">
        <v>1</v>
      </c>
      <c r="B102" s="25" t="s">
        <v>34</v>
      </c>
      <c r="C102" s="25"/>
      <c r="D102" s="25"/>
      <c r="E102" s="25"/>
      <c r="F102" s="25"/>
      <c r="G102" s="25"/>
      <c r="H102" s="25"/>
      <c r="I102" s="25"/>
      <c r="J102" s="25"/>
      <c r="K102" s="25"/>
      <c r="L102" s="25"/>
      <c r="M102" s="25"/>
      <c r="N102" s="25"/>
      <c r="O102" s="25"/>
      <c r="P102" s="25"/>
      <c r="Q102" s="25"/>
      <c r="R102" s="25"/>
      <c r="S102" s="25"/>
      <c r="T102" s="25"/>
      <c r="U102" s="25"/>
      <c r="V102" s="53">
        <v>0</v>
      </c>
      <c r="W102" s="25"/>
      <c r="X102" s="5"/>
    </row>
    <row r="103" spans="1:25" ht="15.6" x14ac:dyDescent="0.3">
      <c r="A103" s="24">
        <f>+A102+1</f>
        <v>2</v>
      </c>
      <c r="B103" s="25" t="s">
        <v>259</v>
      </c>
      <c r="C103" s="25"/>
      <c r="D103" s="25"/>
      <c r="E103" s="25"/>
      <c r="F103" s="25"/>
      <c r="G103" s="25"/>
      <c r="H103" s="25"/>
      <c r="I103" s="25"/>
      <c r="J103" s="25"/>
      <c r="K103" s="25"/>
      <c r="L103" s="25"/>
      <c r="M103" s="25"/>
      <c r="N103" s="25"/>
      <c r="O103" s="25"/>
      <c r="P103" s="25"/>
      <c r="Q103" s="25"/>
      <c r="R103" s="25"/>
      <c r="S103" s="25"/>
      <c r="T103" s="25"/>
      <c r="U103" s="25"/>
      <c r="V103" s="53">
        <v>-2</v>
      </c>
      <c r="W103" s="25"/>
      <c r="X103" s="5"/>
    </row>
    <row r="104" spans="1:25" ht="15.6" x14ac:dyDescent="0.3">
      <c r="A104" s="24">
        <f>+A103+1</f>
        <v>3</v>
      </c>
      <c r="B104" s="25" t="s">
        <v>210</v>
      </c>
      <c r="C104" s="25"/>
      <c r="D104" s="25"/>
      <c r="E104" s="25"/>
      <c r="F104" s="25"/>
      <c r="G104" s="25"/>
      <c r="H104" s="25"/>
      <c r="I104" s="25"/>
      <c r="J104" s="25"/>
      <c r="K104" s="25"/>
      <c r="L104" s="25"/>
      <c r="M104" s="25"/>
      <c r="N104" s="25"/>
      <c r="O104" s="25"/>
      <c r="P104" s="25"/>
      <c r="Q104" s="25"/>
      <c r="R104" s="25"/>
      <c r="S104" s="25"/>
      <c r="T104" s="25"/>
      <c r="U104" s="25"/>
      <c r="V104" s="53">
        <f>-539-9-17</f>
        <v>-565</v>
      </c>
      <c r="W104" s="25"/>
      <c r="X104" s="5"/>
    </row>
    <row r="105" spans="1:25" ht="15.6" x14ac:dyDescent="0.3">
      <c r="A105" s="24" t="s">
        <v>132</v>
      </c>
      <c r="B105" s="25" t="s">
        <v>121</v>
      </c>
      <c r="C105" s="25"/>
      <c r="D105" s="25"/>
      <c r="E105" s="25"/>
      <c r="F105" s="25"/>
      <c r="G105" s="25"/>
      <c r="H105" s="25"/>
      <c r="I105" s="25"/>
      <c r="J105" s="25"/>
      <c r="K105" s="25"/>
      <c r="L105" s="25"/>
      <c r="M105" s="25"/>
      <c r="N105" s="25"/>
      <c r="O105" s="25"/>
      <c r="P105" s="25"/>
      <c r="Q105" s="25"/>
      <c r="R105" s="25"/>
      <c r="S105" s="25"/>
      <c r="T105" s="25"/>
      <c r="U105" s="25"/>
      <c r="V105" s="53">
        <v>0</v>
      </c>
      <c r="W105" s="25"/>
      <c r="X105" s="5"/>
    </row>
    <row r="106" spans="1:25" ht="15.6" x14ac:dyDescent="0.3">
      <c r="A106" s="24" t="s">
        <v>133</v>
      </c>
      <c r="B106" s="25" t="s">
        <v>256</v>
      </c>
      <c r="C106" s="25"/>
      <c r="D106" s="25"/>
      <c r="E106" s="25"/>
      <c r="F106" s="25"/>
      <c r="G106" s="25"/>
      <c r="H106" s="25"/>
      <c r="I106" s="25"/>
      <c r="J106" s="25"/>
      <c r="K106" s="25"/>
      <c r="L106" s="25"/>
      <c r="M106" s="25"/>
      <c r="N106" s="25"/>
      <c r="O106" s="25"/>
      <c r="P106" s="25"/>
      <c r="Q106" s="25"/>
      <c r="R106" s="25"/>
      <c r="S106" s="25"/>
      <c r="T106" s="25"/>
      <c r="U106" s="25"/>
      <c r="V106" s="53">
        <f>-11142-2352-2358</f>
        <v>-15852</v>
      </c>
      <c r="W106" s="25"/>
      <c r="X106" s="5"/>
      <c r="Y106" s="109"/>
    </row>
    <row r="107" spans="1:25" ht="15.6" x14ac:dyDescent="0.3">
      <c r="A107" s="24" t="s">
        <v>155</v>
      </c>
      <c r="B107" s="25" t="s">
        <v>190</v>
      </c>
      <c r="C107" s="25"/>
      <c r="D107" s="25"/>
      <c r="E107" s="25"/>
      <c r="F107" s="25"/>
      <c r="G107" s="25"/>
      <c r="H107" s="25"/>
      <c r="I107" s="25"/>
      <c r="J107" s="25"/>
      <c r="K107" s="25"/>
      <c r="L107" s="25"/>
      <c r="M107" s="25"/>
      <c r="N107" s="25"/>
      <c r="O107" s="25"/>
      <c r="P107" s="25"/>
      <c r="Q107" s="25"/>
      <c r="R107" s="25"/>
      <c r="S107" s="25"/>
      <c r="T107" s="25"/>
      <c r="U107" s="25"/>
      <c r="V107" s="53">
        <v>-2020</v>
      </c>
      <c r="W107" s="25"/>
      <c r="X107" s="5"/>
      <c r="Y107" s="109"/>
    </row>
    <row r="108" spans="1:25" ht="15.6" x14ac:dyDescent="0.3">
      <c r="A108" s="24" t="s">
        <v>211</v>
      </c>
      <c r="B108" s="25" t="s">
        <v>191</v>
      </c>
      <c r="C108" s="25"/>
      <c r="D108" s="25"/>
      <c r="E108" s="25"/>
      <c r="F108" s="25"/>
      <c r="G108" s="25"/>
      <c r="H108" s="25"/>
      <c r="I108" s="25"/>
      <c r="J108" s="25"/>
      <c r="K108" s="25"/>
      <c r="L108" s="25"/>
      <c r="M108" s="25"/>
      <c r="N108" s="25"/>
      <c r="O108" s="25"/>
      <c r="P108" s="25"/>
      <c r="Q108" s="25"/>
      <c r="R108" s="25"/>
      <c r="S108" s="25"/>
      <c r="T108" s="25"/>
      <c r="U108" s="25"/>
      <c r="V108" s="53">
        <v>-1315</v>
      </c>
      <c r="W108" s="25"/>
      <c r="X108" s="5"/>
      <c r="Y108" s="109"/>
    </row>
    <row r="109" spans="1:25" ht="15.6" x14ac:dyDescent="0.3">
      <c r="A109" s="24" t="s">
        <v>212</v>
      </c>
      <c r="B109" s="25" t="s">
        <v>192</v>
      </c>
      <c r="C109" s="25"/>
      <c r="D109" s="25"/>
      <c r="E109" s="25"/>
      <c r="F109" s="25"/>
      <c r="G109" s="25"/>
      <c r="H109" s="25"/>
      <c r="I109" s="25"/>
      <c r="J109" s="25"/>
      <c r="K109" s="25"/>
      <c r="L109" s="25"/>
      <c r="M109" s="25"/>
      <c r="N109" s="25"/>
      <c r="O109" s="25"/>
      <c r="P109" s="25"/>
      <c r="Q109" s="25"/>
      <c r="R109" s="25"/>
      <c r="S109" s="25"/>
      <c r="T109" s="25"/>
      <c r="U109" s="25"/>
      <c r="V109" s="53">
        <v>-378</v>
      </c>
      <c r="W109" s="25"/>
      <c r="X109" s="5"/>
      <c r="Y109" s="109"/>
    </row>
    <row r="110" spans="1:25" ht="15.6" x14ac:dyDescent="0.3">
      <c r="A110" s="24" t="s">
        <v>213</v>
      </c>
      <c r="B110" s="25" t="s">
        <v>202</v>
      </c>
      <c r="C110" s="25"/>
      <c r="D110" s="25"/>
      <c r="E110" s="25"/>
      <c r="F110" s="25"/>
      <c r="G110" s="25"/>
      <c r="H110" s="25"/>
      <c r="I110" s="25"/>
      <c r="J110" s="25"/>
      <c r="K110" s="25"/>
      <c r="L110" s="25"/>
      <c r="M110" s="25"/>
      <c r="N110" s="25"/>
      <c r="O110" s="25"/>
      <c r="P110" s="25"/>
      <c r="Q110" s="25"/>
      <c r="R110" s="25"/>
      <c r="S110" s="25"/>
      <c r="T110" s="25"/>
      <c r="U110" s="25"/>
      <c r="V110" s="53">
        <v>-1149</v>
      </c>
      <c r="W110" s="25"/>
      <c r="X110" s="5"/>
      <c r="Y110" s="109"/>
    </row>
    <row r="111" spans="1:25" ht="15.6" x14ac:dyDescent="0.3">
      <c r="A111" s="24" t="s">
        <v>258</v>
      </c>
      <c r="B111" s="25" t="s">
        <v>257</v>
      </c>
      <c r="C111" s="25"/>
      <c r="D111" s="25"/>
      <c r="E111" s="25"/>
      <c r="F111" s="25"/>
      <c r="G111" s="25"/>
      <c r="H111" s="25"/>
      <c r="I111" s="25"/>
      <c r="J111" s="25"/>
      <c r="K111" s="25"/>
      <c r="L111" s="25"/>
      <c r="M111" s="25"/>
      <c r="N111" s="25"/>
      <c r="O111" s="25"/>
      <c r="P111" s="25"/>
      <c r="Q111" s="25"/>
      <c r="R111" s="25"/>
      <c r="S111" s="25"/>
      <c r="T111" s="25"/>
      <c r="U111" s="25"/>
      <c r="V111" s="53">
        <v>-266</v>
      </c>
      <c r="W111" s="25"/>
      <c r="X111" s="5"/>
      <c r="Y111" s="109"/>
    </row>
    <row r="112" spans="1:25" ht="15.6" x14ac:dyDescent="0.3">
      <c r="A112" s="24">
        <v>7</v>
      </c>
      <c r="B112" s="25" t="s">
        <v>35</v>
      </c>
      <c r="C112" s="25"/>
      <c r="D112" s="25"/>
      <c r="E112" s="25"/>
      <c r="F112" s="25"/>
      <c r="G112" s="25"/>
      <c r="H112" s="25"/>
      <c r="I112" s="25"/>
      <c r="J112" s="25"/>
      <c r="K112" s="25"/>
      <c r="L112" s="25"/>
      <c r="M112" s="25"/>
      <c r="N112" s="25"/>
      <c r="O112" s="25"/>
      <c r="P112" s="25"/>
      <c r="Q112" s="25"/>
      <c r="R112" s="25"/>
      <c r="S112" s="25"/>
      <c r="T112" s="25"/>
      <c r="U112" s="25"/>
      <c r="V112" s="53">
        <v>-10</v>
      </c>
      <c r="W112" s="25"/>
      <c r="X112" s="5"/>
    </row>
    <row r="113" spans="1:24" ht="15.6" x14ac:dyDescent="0.3">
      <c r="A113" s="24">
        <f t="shared" ref="A113:A118" si="0">+A112+1</f>
        <v>8</v>
      </c>
      <c r="B113" s="25" t="s">
        <v>46</v>
      </c>
      <c r="C113" s="25"/>
      <c r="D113" s="25"/>
      <c r="E113" s="25"/>
      <c r="F113" s="25"/>
      <c r="G113" s="25"/>
      <c r="H113" s="25"/>
      <c r="I113" s="25"/>
      <c r="J113" s="25"/>
      <c r="K113" s="25"/>
      <c r="L113" s="25"/>
      <c r="M113" s="25"/>
      <c r="N113" s="25"/>
      <c r="O113" s="25"/>
      <c r="P113" s="25"/>
      <c r="Q113" s="25"/>
      <c r="R113" s="25"/>
      <c r="S113" s="25"/>
      <c r="T113" s="34">
        <f>-V113</f>
        <v>20</v>
      </c>
      <c r="U113" s="25"/>
      <c r="V113" s="53">
        <v>-20</v>
      </c>
      <c r="W113" s="25"/>
      <c r="X113" s="5"/>
    </row>
    <row r="114" spans="1:24" ht="15.6" x14ac:dyDescent="0.3">
      <c r="A114" s="24">
        <f t="shared" si="0"/>
        <v>9</v>
      </c>
      <c r="B114" s="25" t="s">
        <v>130</v>
      </c>
      <c r="C114" s="25"/>
      <c r="D114" s="25"/>
      <c r="E114" s="25"/>
      <c r="F114" s="25"/>
      <c r="G114" s="25"/>
      <c r="H114" s="25"/>
      <c r="I114" s="25"/>
      <c r="J114" s="25"/>
      <c r="K114" s="25"/>
      <c r="L114" s="25"/>
      <c r="M114" s="25"/>
      <c r="N114" s="25"/>
      <c r="O114" s="25"/>
      <c r="P114" s="25"/>
      <c r="Q114" s="25"/>
      <c r="R114" s="25"/>
      <c r="S114" s="25"/>
      <c r="T114" s="25"/>
      <c r="U114" s="25"/>
      <c r="V114" s="53">
        <v>0</v>
      </c>
      <c r="W114" s="25"/>
      <c r="X114" s="5"/>
    </row>
    <row r="115" spans="1:24" ht="15.6" x14ac:dyDescent="0.3">
      <c r="A115" s="24">
        <f t="shared" si="0"/>
        <v>10</v>
      </c>
      <c r="B115" s="25" t="s">
        <v>36</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11</v>
      </c>
      <c r="B116" s="25" t="s">
        <v>37</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12</v>
      </c>
      <c r="B117" s="25" t="s">
        <v>154</v>
      </c>
      <c r="C117" s="25"/>
      <c r="D117" s="25"/>
      <c r="E117" s="25"/>
      <c r="F117" s="25"/>
      <c r="G117" s="25"/>
      <c r="H117" s="25"/>
      <c r="I117" s="25"/>
      <c r="J117" s="25"/>
      <c r="K117" s="25"/>
      <c r="L117" s="25"/>
      <c r="M117" s="25"/>
      <c r="N117" s="25"/>
      <c r="O117" s="25"/>
      <c r="P117" s="25"/>
      <c r="Q117" s="25"/>
      <c r="R117" s="25"/>
      <c r="S117" s="25"/>
      <c r="T117" s="25"/>
      <c r="U117" s="25"/>
      <c r="V117" s="53">
        <v>-538</v>
      </c>
      <c r="W117" s="25"/>
      <c r="X117" s="5"/>
    </row>
    <row r="118" spans="1:24" ht="15.6" x14ac:dyDescent="0.3">
      <c r="A118" s="24">
        <f t="shared" si="0"/>
        <v>13</v>
      </c>
      <c r="B118" s="25" t="s">
        <v>131</v>
      </c>
      <c r="C118" s="25"/>
      <c r="D118" s="25"/>
      <c r="E118" s="25"/>
      <c r="F118" s="25"/>
      <c r="G118" s="25"/>
      <c r="H118" s="25"/>
      <c r="I118" s="25"/>
      <c r="J118" s="25"/>
      <c r="K118" s="25"/>
      <c r="L118" s="25"/>
      <c r="M118" s="25"/>
      <c r="N118" s="25"/>
      <c r="O118" s="25"/>
      <c r="P118" s="25"/>
      <c r="Q118" s="25"/>
      <c r="R118" s="25"/>
      <c r="S118" s="25"/>
      <c r="T118" s="25"/>
      <c r="U118" s="25"/>
      <c r="V118" s="53">
        <f>-V100-SUM(V102:V117)</f>
        <v>-4250</v>
      </c>
      <c r="W118" s="25"/>
      <c r="X118" s="5"/>
    </row>
    <row r="119" spans="1:24" ht="15.6" x14ac:dyDescent="0.3">
      <c r="A119" s="24"/>
      <c r="B119" s="118" t="s">
        <v>38</v>
      </c>
      <c r="C119" s="25"/>
      <c r="D119" s="25"/>
      <c r="E119" s="25"/>
      <c r="F119" s="25"/>
      <c r="G119" s="25"/>
      <c r="H119" s="25"/>
      <c r="I119" s="25"/>
      <c r="J119" s="25"/>
      <c r="K119" s="25"/>
      <c r="L119" s="25"/>
      <c r="M119" s="25"/>
      <c r="N119" s="25"/>
      <c r="O119" s="25"/>
      <c r="P119" s="25"/>
      <c r="Q119" s="25"/>
      <c r="R119" s="25"/>
      <c r="S119" s="25"/>
      <c r="T119" s="25"/>
      <c r="U119" s="25"/>
      <c r="V119" s="59"/>
      <c r="W119" s="25"/>
      <c r="X119" s="5"/>
    </row>
    <row r="120" spans="1:24" ht="15.6" x14ac:dyDescent="0.3">
      <c r="A120" s="24"/>
      <c r="B120" s="25" t="s">
        <v>179</v>
      </c>
      <c r="C120" s="25"/>
      <c r="D120" s="25"/>
      <c r="E120" s="25"/>
      <c r="F120" s="25"/>
      <c r="G120" s="25"/>
      <c r="H120" s="25"/>
      <c r="I120" s="25"/>
      <c r="J120" s="25"/>
      <c r="K120" s="25"/>
      <c r="L120" s="25"/>
      <c r="M120" s="25"/>
      <c r="N120" s="25"/>
      <c r="O120" s="25"/>
      <c r="P120" s="25"/>
      <c r="Q120" s="25"/>
      <c r="R120" s="25"/>
      <c r="S120" s="25"/>
      <c r="T120" s="34">
        <f>-T179</f>
        <v>-160</v>
      </c>
      <c r="U120" s="34"/>
      <c r="V120" s="53"/>
      <c r="W120" s="25"/>
      <c r="X120" s="5"/>
    </row>
    <row r="121" spans="1:24" ht="15.6" x14ac:dyDescent="0.3">
      <c r="A121" s="24"/>
      <c r="B121" s="25" t="s">
        <v>180</v>
      </c>
      <c r="C121" s="25"/>
      <c r="D121" s="25"/>
      <c r="E121" s="25"/>
      <c r="F121" s="25"/>
      <c r="G121" s="25"/>
      <c r="H121" s="25"/>
      <c r="I121" s="25"/>
      <c r="J121" s="25"/>
      <c r="K121" s="25"/>
      <c r="L121" s="25"/>
      <c r="M121" s="25"/>
      <c r="N121" s="25"/>
      <c r="O121" s="25"/>
      <c r="P121" s="25"/>
      <c r="Q121" s="25"/>
      <c r="R121" s="25"/>
      <c r="S121" s="25"/>
      <c r="T121" s="34">
        <v>-160</v>
      </c>
      <c r="U121" s="34"/>
      <c r="V121" s="53"/>
      <c r="W121" s="25"/>
      <c r="X121" s="5"/>
    </row>
    <row r="122" spans="1:24" ht="15.6" x14ac:dyDescent="0.3">
      <c r="A122" s="24"/>
      <c r="B122" s="25" t="s">
        <v>39</v>
      </c>
      <c r="C122" s="25"/>
      <c r="D122" s="25"/>
      <c r="E122" s="25"/>
      <c r="F122" s="25"/>
      <c r="G122" s="25"/>
      <c r="H122" s="25"/>
      <c r="I122" s="25"/>
      <c r="J122" s="25"/>
      <c r="K122" s="25"/>
      <c r="L122" s="25"/>
      <c r="M122" s="25"/>
      <c r="N122" s="25"/>
      <c r="O122" s="25"/>
      <c r="P122" s="25"/>
      <c r="Q122" s="25"/>
      <c r="R122" s="25"/>
      <c r="S122" s="25"/>
      <c r="T122" s="34">
        <f>-S179</f>
        <v>-6236</v>
      </c>
      <c r="U122" s="34"/>
      <c r="V122" s="53"/>
      <c r="W122" s="25"/>
      <c r="X122" s="5"/>
    </row>
    <row r="123" spans="1:24" ht="15.6" x14ac:dyDescent="0.3">
      <c r="A123" s="24"/>
      <c r="B123" s="25" t="s">
        <v>203</v>
      </c>
      <c r="C123" s="25"/>
      <c r="D123" s="25"/>
      <c r="E123" s="25"/>
      <c r="F123" s="25"/>
      <c r="G123" s="25"/>
      <c r="H123" s="25"/>
      <c r="I123" s="25"/>
      <c r="J123" s="25"/>
      <c r="K123" s="25"/>
      <c r="L123" s="25"/>
      <c r="M123" s="25"/>
      <c r="N123" s="25"/>
      <c r="O123" s="25"/>
      <c r="P123" s="25"/>
      <c r="Q123" s="25"/>
      <c r="R123" s="25"/>
      <c r="S123" s="25"/>
      <c r="T123" s="34">
        <v>-15532</v>
      </c>
      <c r="U123" s="34"/>
      <c r="V123" s="53"/>
      <c r="W123" s="25"/>
      <c r="X123" s="5"/>
    </row>
    <row r="124" spans="1:24" ht="15.6" x14ac:dyDescent="0.3">
      <c r="A124" s="24"/>
      <c r="B124" s="25" t="s">
        <v>201</v>
      </c>
      <c r="C124" s="25"/>
      <c r="D124" s="25"/>
      <c r="E124" s="25"/>
      <c r="F124" s="25"/>
      <c r="G124" s="25"/>
      <c r="H124" s="25"/>
      <c r="I124" s="25"/>
      <c r="J124" s="25"/>
      <c r="K124" s="25"/>
      <c r="L124" s="25"/>
      <c r="M124" s="25"/>
      <c r="N124" s="25"/>
      <c r="O124" s="25"/>
      <c r="P124" s="25"/>
      <c r="Q124" s="25"/>
      <c r="R124" s="25"/>
      <c r="S124" s="25"/>
      <c r="T124" s="34">
        <v>-2763</v>
      </c>
      <c r="U124" s="34"/>
      <c r="V124" s="53"/>
      <c r="W124" s="25"/>
      <c r="X124" s="5"/>
    </row>
    <row r="125" spans="1:24" ht="15.6" x14ac:dyDescent="0.3">
      <c r="A125" s="24"/>
      <c r="B125" s="25" t="s">
        <v>200</v>
      </c>
      <c r="C125" s="25"/>
      <c r="D125" s="25"/>
      <c r="E125" s="25"/>
      <c r="F125" s="25"/>
      <c r="G125" s="25"/>
      <c r="H125" s="25"/>
      <c r="I125" s="25"/>
      <c r="J125" s="25"/>
      <c r="K125" s="25"/>
      <c r="L125" s="25"/>
      <c r="M125" s="25"/>
      <c r="N125" s="25"/>
      <c r="O125" s="25"/>
      <c r="P125" s="25"/>
      <c r="Q125" s="25"/>
      <c r="R125" s="25"/>
      <c r="S125" s="25"/>
      <c r="T125" s="34">
        <v>-3219</v>
      </c>
      <c r="U125" s="34"/>
      <c r="V125" s="53"/>
      <c r="W125" s="25"/>
      <c r="X125" s="5"/>
    </row>
    <row r="126" spans="1:24" ht="15.6" x14ac:dyDescent="0.3">
      <c r="A126" s="24"/>
      <c r="B126" s="25" t="s">
        <v>260</v>
      </c>
      <c r="C126" s="25"/>
      <c r="D126" s="25"/>
      <c r="E126" s="25"/>
      <c r="F126" s="25"/>
      <c r="G126" s="25"/>
      <c r="H126" s="25"/>
      <c r="I126" s="25"/>
      <c r="J126" s="25"/>
      <c r="K126" s="25"/>
      <c r="L126" s="25"/>
      <c r="M126" s="25"/>
      <c r="N126" s="25"/>
      <c r="O126" s="25"/>
      <c r="P126" s="25"/>
      <c r="Q126" s="25"/>
      <c r="R126" s="25"/>
      <c r="S126" s="25"/>
      <c r="T126" s="34">
        <v>-3220</v>
      </c>
      <c r="U126" s="34"/>
      <c r="V126" s="53"/>
      <c r="W126" s="25"/>
      <c r="X126" s="5"/>
    </row>
    <row r="127" spans="1:24" ht="15.6" x14ac:dyDescent="0.3">
      <c r="A127" s="24"/>
      <c r="B127" s="25" t="s">
        <v>195</v>
      </c>
      <c r="C127" s="25"/>
      <c r="D127" s="25"/>
      <c r="E127" s="25"/>
      <c r="F127" s="25"/>
      <c r="G127" s="25"/>
      <c r="H127" s="25"/>
      <c r="I127" s="25"/>
      <c r="J127" s="25"/>
      <c r="K127" s="25"/>
      <c r="L127" s="25"/>
      <c r="M127" s="25"/>
      <c r="N127" s="25"/>
      <c r="O127" s="25"/>
      <c r="P127" s="25"/>
      <c r="Q127" s="25"/>
      <c r="R127" s="25"/>
      <c r="S127" s="25"/>
      <c r="T127" s="34">
        <v>0</v>
      </c>
      <c r="U127" s="34"/>
      <c r="V127" s="53"/>
      <c r="W127" s="25"/>
      <c r="X127" s="5"/>
    </row>
    <row r="128" spans="1:24" ht="15.6" x14ac:dyDescent="0.3">
      <c r="A128" s="24"/>
      <c r="B128" s="25" t="s">
        <v>194</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261</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193</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40</v>
      </c>
      <c r="C131" s="25"/>
      <c r="D131" s="25"/>
      <c r="E131" s="25"/>
      <c r="F131" s="25"/>
      <c r="G131" s="25"/>
      <c r="H131" s="25"/>
      <c r="I131" s="25"/>
      <c r="J131" s="25"/>
      <c r="K131" s="25"/>
      <c r="L131" s="25"/>
      <c r="M131" s="25"/>
      <c r="N131" s="25"/>
      <c r="O131" s="25"/>
      <c r="P131" s="25"/>
      <c r="Q131" s="25"/>
      <c r="R131" s="25"/>
      <c r="S131" s="25"/>
      <c r="T131" s="34">
        <f>SUM(T120:T130)</f>
        <v>-31290</v>
      </c>
      <c r="U131" s="34"/>
      <c r="V131" s="34">
        <f>SUM(V101:V128)</f>
        <v>-26365</v>
      </c>
      <c r="W131" s="25"/>
      <c r="X131" s="5"/>
    </row>
    <row r="132" spans="1:24" ht="15.6" x14ac:dyDescent="0.3">
      <c r="A132" s="24"/>
      <c r="B132" s="25" t="s">
        <v>41</v>
      </c>
      <c r="C132" s="25"/>
      <c r="D132" s="25"/>
      <c r="E132" s="25"/>
      <c r="F132" s="25"/>
      <c r="G132" s="25"/>
      <c r="H132" s="25"/>
      <c r="I132" s="25"/>
      <c r="J132" s="25"/>
      <c r="K132" s="25"/>
      <c r="L132" s="25"/>
      <c r="M132" s="25"/>
      <c r="N132" s="25"/>
      <c r="O132" s="25"/>
      <c r="P132" s="25"/>
      <c r="Q132" s="25"/>
      <c r="R132" s="25"/>
      <c r="S132" s="25"/>
      <c r="T132" s="34">
        <f>T100+T131+T113</f>
        <v>0</v>
      </c>
      <c r="U132" s="34"/>
      <c r="V132" s="34">
        <f>V100+V131</f>
        <v>0</v>
      </c>
      <c r="W132" s="25"/>
      <c r="X132" s="5"/>
    </row>
    <row r="133" spans="1:24" ht="15.6" x14ac:dyDescent="0.3">
      <c r="A133" s="24"/>
      <c r="B133" s="25"/>
      <c r="C133" s="25"/>
      <c r="D133" s="25"/>
      <c r="E133" s="25"/>
      <c r="F133" s="25"/>
      <c r="G133" s="25"/>
      <c r="H133" s="25"/>
      <c r="I133" s="25"/>
      <c r="J133" s="25"/>
      <c r="K133" s="25"/>
      <c r="L133" s="25"/>
      <c r="M133" s="25"/>
      <c r="N133" s="25"/>
      <c r="O133" s="25"/>
      <c r="P133" s="25"/>
      <c r="Q133" s="25"/>
      <c r="R133" s="25"/>
      <c r="S133" s="25"/>
      <c r="T133" s="34"/>
      <c r="U133" s="34"/>
      <c r="V133" s="34"/>
      <c r="W133" s="25"/>
      <c r="X133" s="5"/>
    </row>
    <row r="134" spans="1:24" ht="15.6" x14ac:dyDescent="0.3">
      <c r="A134" s="6"/>
      <c r="B134" s="8"/>
      <c r="C134" s="8"/>
      <c r="D134" s="8"/>
      <c r="E134" s="8"/>
      <c r="F134" s="8"/>
      <c r="G134" s="8"/>
      <c r="H134" s="8"/>
      <c r="I134" s="8"/>
      <c r="J134" s="8"/>
      <c r="K134" s="8"/>
      <c r="L134" s="8"/>
      <c r="M134" s="8"/>
      <c r="N134" s="8"/>
      <c r="O134" s="8"/>
      <c r="P134" s="8"/>
      <c r="Q134" s="8"/>
      <c r="R134" s="8"/>
      <c r="S134" s="8"/>
      <c r="T134" s="8"/>
      <c r="U134" s="8"/>
      <c r="V134" s="52"/>
      <c r="W134" s="8"/>
      <c r="X134" s="5"/>
    </row>
    <row r="135" spans="1:24" ht="18" thickBot="1" x14ac:dyDescent="0.35">
      <c r="A135" s="101"/>
      <c r="B135" s="102" t="str">
        <f>B64</f>
        <v>PM12 INVESTOR REPORT QUARTER ENDING JULY 2007</v>
      </c>
      <c r="C135" s="103"/>
      <c r="D135" s="103"/>
      <c r="E135" s="103"/>
      <c r="F135" s="103"/>
      <c r="G135" s="103"/>
      <c r="H135" s="103"/>
      <c r="I135" s="103"/>
      <c r="J135" s="103"/>
      <c r="K135" s="103"/>
      <c r="L135" s="103"/>
      <c r="M135" s="103"/>
      <c r="N135" s="103"/>
      <c r="O135" s="103"/>
      <c r="P135" s="103"/>
      <c r="Q135" s="103"/>
      <c r="R135" s="103"/>
      <c r="S135" s="103"/>
      <c r="T135" s="103"/>
      <c r="U135" s="103"/>
      <c r="V135" s="106"/>
      <c r="W135" s="105"/>
      <c r="X135" s="5"/>
    </row>
    <row r="136" spans="1:24" ht="15.6" x14ac:dyDescent="0.3">
      <c r="A136" s="2"/>
      <c r="B136" s="60" t="s">
        <v>42</v>
      </c>
      <c r="C136" s="4"/>
      <c r="D136" s="4"/>
      <c r="E136" s="4"/>
      <c r="F136" s="4"/>
      <c r="G136" s="4"/>
      <c r="H136" s="4"/>
      <c r="I136" s="4"/>
      <c r="J136" s="4"/>
      <c r="K136" s="4"/>
      <c r="L136" s="4"/>
      <c r="M136" s="4"/>
      <c r="N136" s="4"/>
      <c r="O136" s="4"/>
      <c r="P136" s="4"/>
      <c r="Q136" s="4"/>
      <c r="R136" s="4"/>
      <c r="S136" s="4"/>
      <c r="T136" s="4"/>
      <c r="U136" s="4"/>
      <c r="V136" s="50"/>
      <c r="W136" s="4"/>
      <c r="X136" s="5"/>
    </row>
    <row r="137" spans="1:24" ht="15.6" x14ac:dyDescent="0.3">
      <c r="A137" s="6"/>
      <c r="B137" s="21"/>
      <c r="C137" s="8"/>
      <c r="D137" s="8"/>
      <c r="E137" s="8"/>
      <c r="F137" s="8"/>
      <c r="G137" s="8"/>
      <c r="H137" s="8"/>
      <c r="I137" s="8"/>
      <c r="J137" s="8"/>
      <c r="K137" s="8"/>
      <c r="L137" s="8"/>
      <c r="M137" s="8"/>
      <c r="N137" s="8"/>
      <c r="O137" s="8"/>
      <c r="P137" s="8"/>
      <c r="Q137" s="8"/>
      <c r="R137" s="8"/>
      <c r="S137" s="8"/>
      <c r="T137" s="8"/>
      <c r="U137" s="8"/>
      <c r="V137" s="52"/>
      <c r="W137" s="8"/>
      <c r="X137" s="5"/>
    </row>
    <row r="138" spans="1:24" ht="15.6" x14ac:dyDescent="0.3">
      <c r="A138" s="6"/>
      <c r="B138" s="119" t="s">
        <v>43</v>
      </c>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24"/>
      <c r="B139" s="25" t="s">
        <v>44</v>
      </c>
      <c r="C139" s="25"/>
      <c r="D139" s="25"/>
      <c r="E139" s="25"/>
      <c r="F139" s="25"/>
      <c r="G139" s="25"/>
      <c r="H139" s="25"/>
      <c r="I139" s="25"/>
      <c r="J139" s="25"/>
      <c r="K139" s="25"/>
      <c r="L139" s="25"/>
      <c r="M139" s="25"/>
      <c r="N139" s="25"/>
      <c r="O139" s="25"/>
      <c r="P139" s="25"/>
      <c r="Q139" s="25"/>
      <c r="R139" s="25"/>
      <c r="S139" s="25"/>
      <c r="T139" s="25"/>
      <c r="U139" s="25"/>
      <c r="V139" s="53">
        <f>+V34*0.019</f>
        <v>28503.895</v>
      </c>
      <c r="W139" s="25"/>
      <c r="X139" s="5"/>
    </row>
    <row r="140" spans="1:24" ht="15.6" x14ac:dyDescent="0.3">
      <c r="A140" s="24"/>
      <c r="B140" s="25" t="s">
        <v>45</v>
      </c>
      <c r="C140" s="25"/>
      <c r="D140" s="25"/>
      <c r="E140" s="25"/>
      <c r="F140" s="25"/>
      <c r="G140" s="25"/>
      <c r="H140" s="25"/>
      <c r="I140" s="25"/>
      <c r="J140" s="25"/>
      <c r="K140" s="25"/>
      <c r="L140" s="25"/>
      <c r="M140" s="25"/>
      <c r="N140" s="25"/>
      <c r="O140" s="25"/>
      <c r="P140" s="25"/>
      <c r="Q140" s="25"/>
      <c r="R140" s="25"/>
      <c r="S140" s="25"/>
      <c r="T140" s="25"/>
      <c r="U140" s="25"/>
      <c r="V140" s="53">
        <v>28504</v>
      </c>
      <c r="W140" s="25"/>
      <c r="X140" s="5"/>
    </row>
    <row r="141" spans="1:24" ht="15.6" x14ac:dyDescent="0.3">
      <c r="A141" s="24"/>
      <c r="B141" s="25" t="s">
        <v>141</v>
      </c>
      <c r="C141" s="25"/>
      <c r="D141" s="25"/>
      <c r="E141" s="25"/>
      <c r="F141" s="25"/>
      <c r="G141" s="25"/>
      <c r="H141" s="25"/>
      <c r="I141" s="25"/>
      <c r="J141" s="25"/>
      <c r="K141" s="25"/>
      <c r="L141" s="25"/>
      <c r="M141" s="25"/>
      <c r="N141" s="25"/>
      <c r="O141" s="25"/>
      <c r="P141" s="25"/>
      <c r="Q141" s="25"/>
      <c r="R141" s="25"/>
      <c r="S141" s="25"/>
      <c r="T141" s="25"/>
      <c r="U141" s="25"/>
      <c r="V141" s="53">
        <v>0</v>
      </c>
      <c r="W141" s="25"/>
      <c r="X141" s="5"/>
    </row>
    <row r="142" spans="1:24" ht="15.6" x14ac:dyDescent="0.3">
      <c r="A142" s="24"/>
      <c r="B142" s="25" t="s">
        <v>128</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129</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181</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46</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134</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230</v>
      </c>
      <c r="C147" s="25"/>
      <c r="D147" s="25"/>
      <c r="E147" s="25"/>
      <c r="F147" s="25"/>
      <c r="G147" s="25"/>
      <c r="H147" s="25"/>
      <c r="I147" s="25"/>
      <c r="J147" s="25"/>
      <c r="K147" s="25"/>
      <c r="L147" s="25"/>
      <c r="M147" s="25"/>
      <c r="N147" s="25"/>
      <c r="O147" s="25"/>
      <c r="P147" s="25"/>
      <c r="Q147" s="25"/>
      <c r="R147" s="25"/>
      <c r="S147" s="25"/>
      <c r="T147" s="25"/>
      <c r="U147" s="25"/>
      <c r="V147" s="53">
        <v>0</v>
      </c>
      <c r="W147" s="25"/>
      <c r="X147" s="5"/>
      <c r="Y147" s="109"/>
    </row>
    <row r="148" spans="1:25" ht="15.6" x14ac:dyDescent="0.3">
      <c r="A148" s="24"/>
      <c r="B148" s="25" t="s">
        <v>47</v>
      </c>
      <c r="C148" s="25"/>
      <c r="D148" s="25"/>
      <c r="E148" s="25"/>
      <c r="F148" s="25"/>
      <c r="G148" s="25"/>
      <c r="H148" s="25"/>
      <c r="I148" s="25"/>
      <c r="J148" s="25"/>
      <c r="K148" s="25"/>
      <c r="L148" s="25"/>
      <c r="M148" s="25"/>
      <c r="N148" s="25"/>
      <c r="O148" s="25"/>
      <c r="P148" s="25"/>
      <c r="Q148" s="25"/>
      <c r="R148" s="25"/>
      <c r="S148" s="25"/>
      <c r="T148" s="25"/>
      <c r="U148" s="25"/>
      <c r="V148" s="53">
        <f>SUM(V140:V147)</f>
        <v>28504</v>
      </c>
      <c r="W148" s="25"/>
      <c r="X148" s="5"/>
    </row>
    <row r="149" spans="1:25" ht="15.6" x14ac:dyDescent="0.3">
      <c r="A149" s="24"/>
      <c r="B149" s="25"/>
      <c r="C149" s="25"/>
      <c r="D149" s="25"/>
      <c r="E149" s="25"/>
      <c r="F149" s="25"/>
      <c r="G149" s="25"/>
      <c r="H149" s="25"/>
      <c r="I149" s="25"/>
      <c r="J149" s="25"/>
      <c r="K149" s="25"/>
      <c r="L149" s="25"/>
      <c r="M149" s="25"/>
      <c r="N149" s="25"/>
      <c r="O149" s="25"/>
      <c r="P149" s="25"/>
      <c r="Q149" s="25"/>
      <c r="R149" s="25"/>
      <c r="S149" s="25"/>
      <c r="T149" s="25"/>
      <c r="U149" s="25"/>
      <c r="V149" s="53"/>
      <c r="W149" s="25"/>
      <c r="X149" s="5"/>
    </row>
    <row r="150" spans="1:25" ht="15.6" x14ac:dyDescent="0.3">
      <c r="A150" s="24"/>
      <c r="B150" s="138" t="s">
        <v>269</v>
      </c>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25" t="s">
        <v>160</v>
      </c>
      <c r="C151" s="25"/>
      <c r="D151" s="25"/>
      <c r="E151" s="25"/>
      <c r="F151" s="25"/>
      <c r="G151" s="25"/>
      <c r="H151" s="25"/>
      <c r="I151" s="25"/>
      <c r="J151" s="25"/>
      <c r="K151" s="25"/>
      <c r="L151" s="25"/>
      <c r="M151" s="25"/>
      <c r="N151" s="25"/>
      <c r="O151" s="25"/>
      <c r="P151" s="25"/>
      <c r="Q151" s="25"/>
      <c r="R151" s="25"/>
      <c r="S151" s="25"/>
      <c r="T151" s="25"/>
      <c r="U151" s="25"/>
      <c r="V151" s="53">
        <v>0</v>
      </c>
      <c r="W151" s="25"/>
      <c r="X151" s="5"/>
    </row>
    <row r="152" spans="1:25" ht="15.6" x14ac:dyDescent="0.3">
      <c r="A152" s="24"/>
      <c r="B152" s="25" t="s">
        <v>178</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270</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61"/>
      <c r="W155" s="25"/>
      <c r="X155" s="5"/>
    </row>
    <row r="156" spans="1:25" ht="15.6" x14ac:dyDescent="0.3">
      <c r="A156" s="6"/>
      <c r="B156" s="119" t="s">
        <v>24</v>
      </c>
      <c r="C156" s="8"/>
      <c r="D156" s="8"/>
      <c r="E156" s="8"/>
      <c r="F156" s="8"/>
      <c r="G156" s="8"/>
      <c r="H156" s="8"/>
      <c r="I156" s="8"/>
      <c r="J156" s="8"/>
      <c r="K156" s="8"/>
      <c r="L156" s="8"/>
      <c r="M156" s="8"/>
      <c r="N156" s="8"/>
      <c r="O156" s="8"/>
      <c r="P156" s="8"/>
      <c r="Q156" s="8"/>
      <c r="R156" s="8"/>
      <c r="S156" s="8"/>
      <c r="T156" s="8"/>
      <c r="U156" s="8"/>
      <c r="V156" s="52"/>
      <c r="W156" s="8"/>
      <c r="X156" s="5"/>
    </row>
    <row r="157" spans="1:25" ht="15.6" x14ac:dyDescent="0.3">
      <c r="A157" s="24"/>
      <c r="B157" s="25" t="s">
        <v>48</v>
      </c>
      <c r="C157" s="25"/>
      <c r="D157" s="25"/>
      <c r="E157" s="25"/>
      <c r="F157" s="25"/>
      <c r="G157" s="25"/>
      <c r="H157" s="25"/>
      <c r="I157" s="25"/>
      <c r="J157" s="25"/>
      <c r="K157" s="25"/>
      <c r="L157" s="25"/>
      <c r="M157" s="25"/>
      <c r="N157" s="25"/>
      <c r="O157" s="25"/>
      <c r="P157" s="25"/>
      <c r="Q157" s="25"/>
      <c r="R157" s="25"/>
      <c r="S157" s="25"/>
      <c r="T157" s="25"/>
      <c r="U157" s="25"/>
      <c r="V157" s="59" t="s">
        <v>123</v>
      </c>
      <c r="W157" s="25"/>
      <c r="X157" s="5"/>
    </row>
    <row r="158" spans="1:25" ht="15.6" x14ac:dyDescent="0.3">
      <c r="A158" s="24"/>
      <c r="B158" s="25" t="s">
        <v>49</v>
      </c>
      <c r="C158" s="163"/>
      <c r="D158" s="163"/>
      <c r="E158" s="163"/>
      <c r="F158" s="163"/>
      <c r="G158" s="163"/>
      <c r="H158" s="163"/>
      <c r="I158" s="163"/>
      <c r="J158" s="163"/>
      <c r="K158" s="163"/>
      <c r="L158" s="163"/>
      <c r="M158" s="163"/>
      <c r="N158" s="163"/>
      <c r="O158" s="163"/>
      <c r="P158" s="163"/>
      <c r="Q158" s="163"/>
      <c r="R158" s="163"/>
      <c r="S158" s="163"/>
      <c r="T158" s="163"/>
      <c r="U158" s="163"/>
      <c r="V158" s="59" t="s">
        <v>123</v>
      </c>
      <c r="W158" s="25"/>
      <c r="X158" s="5"/>
    </row>
    <row r="159" spans="1:25" ht="15.6" x14ac:dyDescent="0.3">
      <c r="A159" s="24"/>
      <c r="B159" s="25" t="s">
        <v>50</v>
      </c>
      <c r="C159" s="25"/>
      <c r="D159" s="25"/>
      <c r="E159" s="25"/>
      <c r="F159" s="25"/>
      <c r="G159" s="25"/>
      <c r="H159" s="25"/>
      <c r="I159" s="25"/>
      <c r="J159" s="25"/>
      <c r="K159" s="25"/>
      <c r="L159" s="25"/>
      <c r="M159" s="25"/>
      <c r="N159" s="25"/>
      <c r="O159" s="25"/>
      <c r="P159" s="25"/>
      <c r="Q159" s="25"/>
      <c r="R159" s="25"/>
      <c r="S159" s="25"/>
      <c r="T159" s="25"/>
      <c r="U159" s="25"/>
      <c r="V159" s="59" t="s">
        <v>123</v>
      </c>
      <c r="W159" s="25"/>
      <c r="X159" s="5"/>
    </row>
    <row r="160" spans="1:25" ht="15.6" x14ac:dyDescent="0.3">
      <c r="A160" s="24"/>
      <c r="B160" s="25" t="s">
        <v>51</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c r="C161" s="25"/>
      <c r="D161" s="25"/>
      <c r="E161" s="25"/>
      <c r="F161" s="25"/>
      <c r="G161" s="25"/>
      <c r="H161" s="25"/>
      <c r="I161" s="25"/>
      <c r="J161" s="25"/>
      <c r="K161" s="25"/>
      <c r="L161" s="25"/>
      <c r="M161" s="25"/>
      <c r="N161" s="25"/>
      <c r="O161" s="25"/>
      <c r="P161" s="25"/>
      <c r="Q161" s="25"/>
      <c r="R161" s="25"/>
      <c r="S161" s="25"/>
      <c r="T161" s="25"/>
      <c r="U161" s="25"/>
      <c r="V161" s="61"/>
      <c r="W161" s="25"/>
      <c r="X161" s="5"/>
    </row>
    <row r="162" spans="1:24" ht="15.6" x14ac:dyDescent="0.3">
      <c r="A162" s="6"/>
      <c r="B162" s="119" t="s">
        <v>52</v>
      </c>
      <c r="C162" s="8"/>
      <c r="D162" s="8"/>
      <c r="E162" s="8"/>
      <c r="F162" s="8"/>
      <c r="G162" s="8"/>
      <c r="H162" s="8"/>
      <c r="I162" s="8"/>
      <c r="J162" s="8"/>
      <c r="K162" s="8"/>
      <c r="L162" s="8"/>
      <c r="M162" s="8"/>
      <c r="N162" s="8"/>
      <c r="O162" s="8"/>
      <c r="P162" s="8"/>
      <c r="Q162" s="8"/>
      <c r="R162" s="8"/>
      <c r="S162" s="8"/>
      <c r="T162" s="8"/>
      <c r="U162" s="8"/>
      <c r="V162" s="63"/>
      <c r="W162" s="8"/>
      <c r="X162" s="5"/>
    </row>
    <row r="163" spans="1:24" ht="15.6" x14ac:dyDescent="0.3">
      <c r="A163" s="24"/>
      <c r="B163" s="25" t="s">
        <v>53</v>
      </c>
      <c r="C163" s="25"/>
      <c r="D163" s="25"/>
      <c r="E163" s="25"/>
      <c r="F163" s="25"/>
      <c r="G163" s="25"/>
      <c r="H163" s="25"/>
      <c r="I163" s="25"/>
      <c r="J163" s="25"/>
      <c r="K163" s="25"/>
      <c r="L163" s="25"/>
      <c r="M163" s="25"/>
      <c r="N163" s="25"/>
      <c r="O163" s="25"/>
      <c r="P163" s="25"/>
      <c r="Q163" s="25"/>
      <c r="R163" s="25"/>
      <c r="S163" s="25"/>
      <c r="T163" s="25"/>
      <c r="U163" s="25"/>
      <c r="V163" s="53">
        <v>0</v>
      </c>
      <c r="W163" s="25"/>
      <c r="X163" s="5"/>
    </row>
    <row r="164" spans="1:24" ht="15.6" x14ac:dyDescent="0.3">
      <c r="A164" s="24"/>
      <c r="B164" s="25" t="s">
        <v>54</v>
      </c>
      <c r="C164" s="25"/>
      <c r="D164" s="25"/>
      <c r="E164" s="25"/>
      <c r="F164" s="25"/>
      <c r="G164" s="25"/>
      <c r="H164" s="25"/>
      <c r="I164" s="25"/>
      <c r="J164" s="25"/>
      <c r="K164" s="25"/>
      <c r="L164" s="25"/>
      <c r="M164" s="25"/>
      <c r="N164" s="25"/>
      <c r="O164" s="25"/>
      <c r="P164" s="25"/>
      <c r="Q164" s="25"/>
      <c r="R164" s="25"/>
      <c r="S164" s="25"/>
      <c r="T164" s="25"/>
      <c r="U164" s="25"/>
      <c r="V164" s="53">
        <f>-V113</f>
        <v>20</v>
      </c>
      <c r="W164" s="25"/>
      <c r="X164" s="5"/>
    </row>
    <row r="165" spans="1:24" ht="15.6" x14ac:dyDescent="0.3">
      <c r="A165" s="24"/>
      <c r="B165" s="25" t="s">
        <v>55</v>
      </c>
      <c r="C165" s="25"/>
      <c r="D165" s="25"/>
      <c r="E165" s="25"/>
      <c r="F165" s="25"/>
      <c r="G165" s="25"/>
      <c r="H165" s="25"/>
      <c r="I165" s="25"/>
      <c r="J165" s="25"/>
      <c r="K165" s="25"/>
      <c r="L165" s="25"/>
      <c r="M165" s="25"/>
      <c r="N165" s="25"/>
      <c r="O165" s="25"/>
      <c r="P165" s="25"/>
      <c r="Q165" s="25"/>
      <c r="R165" s="25"/>
      <c r="S165" s="25"/>
      <c r="T165" s="25"/>
      <c r="U165" s="25"/>
      <c r="V165" s="53">
        <f>V164+V163</f>
        <v>20</v>
      </c>
      <c r="W165" s="25"/>
      <c r="X165" s="5"/>
    </row>
    <row r="166" spans="1:24" ht="15.6" x14ac:dyDescent="0.3">
      <c r="A166" s="24"/>
      <c r="B166" s="25" t="s">
        <v>310</v>
      </c>
      <c r="C166" s="25"/>
      <c r="D166" s="25"/>
      <c r="E166" s="25"/>
      <c r="F166" s="25"/>
      <c r="G166" s="25"/>
      <c r="H166" s="25"/>
      <c r="I166" s="25"/>
      <c r="J166" s="25"/>
      <c r="K166" s="25"/>
      <c r="L166" s="25"/>
      <c r="M166" s="25"/>
      <c r="N166" s="25"/>
      <c r="O166" s="25"/>
      <c r="P166" s="25"/>
      <c r="Q166" s="25"/>
      <c r="R166" s="25"/>
      <c r="S166" s="25"/>
      <c r="T166" s="25"/>
      <c r="U166" s="25"/>
      <c r="V166" s="53">
        <f>V113</f>
        <v>-20</v>
      </c>
      <c r="W166" s="25"/>
      <c r="X166" s="5"/>
    </row>
    <row r="167" spans="1:24" ht="15.6" x14ac:dyDescent="0.3">
      <c r="A167" s="24"/>
      <c r="B167" s="25" t="s">
        <v>56</v>
      </c>
      <c r="C167" s="25"/>
      <c r="D167" s="25"/>
      <c r="E167" s="25"/>
      <c r="F167" s="25"/>
      <c r="G167" s="25"/>
      <c r="H167" s="25"/>
      <c r="I167" s="25"/>
      <c r="J167" s="25"/>
      <c r="K167" s="25"/>
      <c r="L167" s="25"/>
      <c r="M167" s="25"/>
      <c r="N167" s="25"/>
      <c r="O167" s="25"/>
      <c r="P167" s="25"/>
      <c r="Q167" s="25"/>
      <c r="R167" s="25"/>
      <c r="S167" s="25"/>
      <c r="T167" s="25"/>
      <c r="U167" s="25"/>
      <c r="V167" s="53">
        <f>V165+V166</f>
        <v>0</v>
      </c>
      <c r="W167" s="25"/>
      <c r="X167" s="5"/>
    </row>
    <row r="168" spans="1:24" ht="16.2" thickBot="1" x14ac:dyDescent="0.35">
      <c r="A168" s="24"/>
      <c r="B168" s="25"/>
      <c r="C168" s="25"/>
      <c r="D168" s="25"/>
      <c r="E168" s="25"/>
      <c r="F168" s="25"/>
      <c r="G168" s="25"/>
      <c r="H168" s="25"/>
      <c r="I168" s="25"/>
      <c r="J168" s="25"/>
      <c r="K168" s="25"/>
      <c r="L168" s="25"/>
      <c r="M168" s="25"/>
      <c r="N168" s="25"/>
      <c r="O168" s="25"/>
      <c r="P168" s="25"/>
      <c r="Q168" s="25"/>
      <c r="R168" s="25"/>
      <c r="S168" s="25"/>
      <c r="T168" s="25"/>
      <c r="U168" s="25"/>
      <c r="V168" s="61"/>
      <c r="W168" s="25"/>
      <c r="X168" s="5"/>
    </row>
    <row r="169" spans="1:24" ht="15.6" x14ac:dyDescent="0.3">
      <c r="A169" s="2"/>
      <c r="B169" s="4"/>
      <c r="C169" s="4"/>
      <c r="D169" s="4"/>
      <c r="E169" s="4"/>
      <c r="F169" s="4"/>
      <c r="G169" s="4"/>
      <c r="H169" s="4"/>
      <c r="I169" s="4"/>
      <c r="J169" s="4"/>
      <c r="K169" s="4"/>
      <c r="L169" s="4"/>
      <c r="M169" s="4"/>
      <c r="N169" s="4"/>
      <c r="O169" s="4"/>
      <c r="P169" s="4"/>
      <c r="Q169" s="4"/>
      <c r="R169" s="4"/>
      <c r="S169" s="4"/>
      <c r="T169" s="4"/>
      <c r="U169" s="4"/>
      <c r="V169" s="50"/>
      <c r="W169" s="4"/>
      <c r="X169" s="5"/>
    </row>
    <row r="170" spans="1:24" ht="15.6" x14ac:dyDescent="0.3">
      <c r="A170" s="6"/>
      <c r="B170" s="119" t="s">
        <v>57</v>
      </c>
      <c r="C170" s="8"/>
      <c r="D170" s="8"/>
      <c r="E170" s="8"/>
      <c r="F170" s="8"/>
      <c r="G170" s="8"/>
      <c r="H170" s="8"/>
      <c r="I170" s="8"/>
      <c r="J170" s="8"/>
      <c r="K170" s="8"/>
      <c r="L170" s="8"/>
      <c r="M170" s="8"/>
      <c r="N170" s="8"/>
      <c r="O170" s="8"/>
      <c r="P170" s="8"/>
      <c r="Q170" s="8"/>
      <c r="R170" s="8"/>
      <c r="S170" s="8"/>
      <c r="T170" s="8"/>
      <c r="U170" s="8"/>
      <c r="V170" s="52"/>
      <c r="W170" s="8"/>
      <c r="X170" s="5"/>
    </row>
    <row r="171" spans="1:24" ht="15.6" x14ac:dyDescent="0.3">
      <c r="A171" s="6"/>
      <c r="B171" s="21"/>
      <c r="C171" s="8"/>
      <c r="D171" s="8"/>
      <c r="E171" s="8"/>
      <c r="F171" s="8"/>
      <c r="G171" s="8"/>
      <c r="H171" s="8"/>
      <c r="I171" s="8"/>
      <c r="J171" s="8"/>
      <c r="K171" s="8"/>
      <c r="L171" s="8"/>
      <c r="M171" s="8"/>
      <c r="N171" s="8"/>
      <c r="O171" s="8"/>
      <c r="P171" s="8"/>
      <c r="Q171" s="8"/>
      <c r="R171" s="8"/>
      <c r="S171" s="8"/>
      <c r="T171" s="8"/>
      <c r="U171" s="8"/>
      <c r="V171" s="52"/>
      <c r="W171" s="8"/>
      <c r="X171" s="5"/>
    </row>
    <row r="172" spans="1:24" ht="15.6" x14ac:dyDescent="0.3">
      <c r="A172" s="24"/>
      <c r="B172" s="25" t="s">
        <v>58</v>
      </c>
      <c r="C172" s="25"/>
      <c r="D172" s="25"/>
      <c r="E172" s="25"/>
      <c r="F172" s="25"/>
      <c r="G172" s="25"/>
      <c r="H172" s="25"/>
      <c r="I172" s="25"/>
      <c r="J172" s="25"/>
      <c r="K172" s="25"/>
      <c r="L172" s="25"/>
      <c r="M172" s="25"/>
      <c r="N172" s="25"/>
      <c r="O172" s="25"/>
      <c r="P172" s="25"/>
      <c r="Q172" s="25"/>
      <c r="R172" s="25"/>
      <c r="S172" s="25"/>
      <c r="T172" s="25"/>
      <c r="U172" s="25"/>
      <c r="V172" s="53">
        <f>V72</f>
        <v>1398734</v>
      </c>
      <c r="W172" s="25"/>
      <c r="X172" s="5"/>
    </row>
    <row r="173" spans="1:24" ht="15.6" x14ac:dyDescent="0.3">
      <c r="A173" s="24"/>
      <c r="B173" s="25" t="s">
        <v>59</v>
      </c>
      <c r="C173" s="25"/>
      <c r="D173" s="25"/>
      <c r="E173" s="25"/>
      <c r="F173" s="25"/>
      <c r="G173" s="25"/>
      <c r="H173" s="25"/>
      <c r="I173" s="25"/>
      <c r="J173" s="25"/>
      <c r="K173" s="25"/>
      <c r="L173" s="25"/>
      <c r="M173" s="25"/>
      <c r="N173" s="25"/>
      <c r="O173" s="25"/>
      <c r="P173" s="25"/>
      <c r="Q173" s="25"/>
      <c r="R173" s="25"/>
      <c r="S173" s="25"/>
      <c r="T173" s="25"/>
      <c r="U173" s="25"/>
      <c r="V173" s="53">
        <f>V85</f>
        <v>1398734</v>
      </c>
      <c r="W173" s="25"/>
      <c r="X173" s="5"/>
    </row>
    <row r="174" spans="1:24" ht="16.2" thickBot="1" x14ac:dyDescent="0.35">
      <c r="A174" s="24"/>
      <c r="B174" s="25"/>
      <c r="C174" s="25"/>
      <c r="D174" s="25"/>
      <c r="E174" s="25"/>
      <c r="F174" s="25"/>
      <c r="G174" s="25"/>
      <c r="H174" s="25"/>
      <c r="I174" s="25"/>
      <c r="J174" s="25"/>
      <c r="K174" s="25"/>
      <c r="L174" s="25"/>
      <c r="M174" s="25"/>
      <c r="N174" s="25"/>
      <c r="O174" s="25"/>
      <c r="P174" s="25"/>
      <c r="Q174" s="25"/>
      <c r="R174" s="25"/>
      <c r="S174" s="25"/>
      <c r="T174" s="25"/>
      <c r="U174" s="25"/>
      <c r="V174" s="61"/>
      <c r="W174" s="25"/>
      <c r="X174" s="5"/>
    </row>
    <row r="175" spans="1:24" ht="15.6" x14ac:dyDescent="0.3">
      <c r="A175" s="2"/>
      <c r="B175" s="4"/>
      <c r="C175" s="4"/>
      <c r="D175" s="4"/>
      <c r="E175" s="4"/>
      <c r="F175" s="4"/>
      <c r="G175" s="4"/>
      <c r="H175" s="4"/>
      <c r="I175" s="4"/>
      <c r="J175" s="4"/>
      <c r="K175" s="4"/>
      <c r="L175" s="4"/>
      <c r="M175" s="4"/>
      <c r="N175" s="4"/>
      <c r="O175" s="4"/>
      <c r="P175" s="4"/>
      <c r="Q175" s="4"/>
      <c r="R175" s="4"/>
      <c r="S175" s="4"/>
      <c r="T175" s="4"/>
      <c r="U175" s="4"/>
      <c r="V175" s="50"/>
      <c r="W175" s="4"/>
      <c r="X175" s="5"/>
    </row>
    <row r="176" spans="1:24" ht="15.6" x14ac:dyDescent="0.3">
      <c r="A176" s="6"/>
      <c r="B176" s="119" t="s">
        <v>60</v>
      </c>
      <c r="C176" s="117"/>
      <c r="D176" s="117"/>
      <c r="E176" s="117"/>
      <c r="F176" s="117"/>
      <c r="G176" s="117"/>
      <c r="H176" s="120"/>
      <c r="I176" s="120"/>
      <c r="J176" s="120"/>
      <c r="K176" s="120"/>
      <c r="L176" s="120"/>
      <c r="M176" s="120"/>
      <c r="N176" s="120"/>
      <c r="O176" s="120"/>
      <c r="P176" s="120"/>
      <c r="Q176" s="120"/>
      <c r="R176" s="120"/>
      <c r="S176" s="120" t="s">
        <v>103</v>
      </c>
      <c r="T176" s="120" t="s">
        <v>182</v>
      </c>
      <c r="U176" s="111"/>
      <c r="V176" s="121" t="s">
        <v>119</v>
      </c>
      <c r="W176" s="10"/>
      <c r="X176" s="5"/>
    </row>
    <row r="177" spans="1:24" ht="15.6" x14ac:dyDescent="0.3">
      <c r="A177" s="24"/>
      <c r="B177" s="25" t="s">
        <v>61</v>
      </c>
      <c r="C177" s="25"/>
      <c r="D177" s="25"/>
      <c r="E177" s="25"/>
      <c r="F177" s="25"/>
      <c r="G177" s="25"/>
      <c r="H177" s="25"/>
      <c r="I177" s="25"/>
      <c r="J177" s="25"/>
      <c r="K177" s="25"/>
      <c r="L177" s="25"/>
      <c r="M177" s="25"/>
      <c r="N177" s="25"/>
      <c r="O177" s="25"/>
      <c r="P177" s="25"/>
      <c r="Q177" s="25"/>
      <c r="R177" s="25"/>
      <c r="S177" s="53">
        <f>+V34*0.16</f>
        <v>240032.80000000002</v>
      </c>
      <c r="T177" s="40"/>
      <c r="U177" s="25"/>
      <c r="V177" s="53"/>
      <c r="W177" s="25"/>
      <c r="X177" s="5"/>
    </row>
    <row r="178" spans="1:24" ht="15.6" x14ac:dyDescent="0.3">
      <c r="A178" s="24"/>
      <c r="B178" s="25" t="s">
        <v>62</v>
      </c>
      <c r="C178" s="25"/>
      <c r="D178" s="25"/>
      <c r="E178" s="25"/>
      <c r="F178" s="25"/>
      <c r="G178" s="25"/>
      <c r="H178" s="25"/>
      <c r="I178" s="25"/>
      <c r="J178" s="25"/>
      <c r="K178" s="25"/>
      <c r="L178" s="25"/>
      <c r="M178" s="25"/>
      <c r="N178" s="25"/>
      <c r="O178" s="25"/>
      <c r="P178" s="25"/>
      <c r="Q178" s="25"/>
      <c r="R178" s="25"/>
      <c r="S178" s="53">
        <f>+'April 07'!S180</f>
        <v>17053</v>
      </c>
      <c r="T178" s="53">
        <f>+'April 07'!T180</f>
        <v>5116</v>
      </c>
      <c r="U178" s="25"/>
      <c r="V178" s="53">
        <f>S178+T178</f>
        <v>22169</v>
      </c>
      <c r="W178" s="25"/>
      <c r="X178" s="5"/>
    </row>
    <row r="179" spans="1:24" ht="15.6" x14ac:dyDescent="0.3">
      <c r="A179" s="24"/>
      <c r="B179" s="25" t="s">
        <v>63</v>
      </c>
      <c r="C179" s="25"/>
      <c r="D179" s="25"/>
      <c r="E179" s="25"/>
      <c r="F179" s="25"/>
      <c r="G179" s="25"/>
      <c r="H179" s="25"/>
      <c r="I179" s="25"/>
      <c r="J179" s="25"/>
      <c r="K179" s="25"/>
      <c r="L179" s="25"/>
      <c r="M179" s="25"/>
      <c r="N179" s="25"/>
      <c r="O179" s="25"/>
      <c r="P179" s="25"/>
      <c r="Q179" s="25"/>
      <c r="R179" s="25"/>
      <c r="S179" s="34">
        <v>6236</v>
      </c>
      <c r="T179" s="34">
        <v>160</v>
      </c>
      <c r="U179" s="25"/>
      <c r="V179" s="53">
        <f>S179+T179</f>
        <v>6396</v>
      </c>
      <c r="W179" s="25"/>
      <c r="X179" s="5"/>
    </row>
    <row r="180" spans="1:24" ht="15.6" x14ac:dyDescent="0.3">
      <c r="A180" s="24"/>
      <c r="B180" s="25" t="s">
        <v>64</v>
      </c>
      <c r="C180" s="25"/>
      <c r="D180" s="25"/>
      <c r="E180" s="25"/>
      <c r="F180" s="25"/>
      <c r="G180" s="25"/>
      <c r="H180" s="25"/>
      <c r="I180" s="25"/>
      <c r="J180" s="25"/>
      <c r="K180" s="25"/>
      <c r="L180" s="25"/>
      <c r="M180" s="25"/>
      <c r="N180" s="25"/>
      <c r="O180" s="25"/>
      <c r="P180" s="25"/>
      <c r="Q180" s="25"/>
      <c r="R180" s="25"/>
      <c r="S180" s="53">
        <f>S178+S179</f>
        <v>23289</v>
      </c>
      <c r="T180" s="53">
        <f>T179+T178</f>
        <v>5276</v>
      </c>
      <c r="U180" s="25"/>
      <c r="V180" s="53">
        <f>S180+T180</f>
        <v>28565</v>
      </c>
      <c r="W180" s="25"/>
      <c r="X180" s="5"/>
    </row>
    <row r="181" spans="1:24" ht="15.6" x14ac:dyDescent="0.3">
      <c r="A181" s="24"/>
      <c r="B181" s="25" t="s">
        <v>65</v>
      </c>
      <c r="C181" s="25"/>
      <c r="D181" s="25"/>
      <c r="E181" s="25"/>
      <c r="F181" s="25"/>
      <c r="G181" s="25"/>
      <c r="H181" s="25"/>
      <c r="I181" s="25"/>
      <c r="J181" s="25"/>
      <c r="K181" s="25"/>
      <c r="L181" s="25"/>
      <c r="M181" s="25"/>
      <c r="N181" s="25"/>
      <c r="O181" s="25"/>
      <c r="P181" s="25"/>
      <c r="Q181" s="25"/>
      <c r="R181" s="25"/>
      <c r="S181" s="53">
        <f>S177-S180-T180</f>
        <v>211467.80000000002</v>
      </c>
      <c r="T181" s="40"/>
      <c r="U181" s="25"/>
      <c r="V181" s="53"/>
      <c r="W181" s="25"/>
      <c r="X181" s="5"/>
    </row>
    <row r="182" spans="1:24" ht="16.2" thickBot="1" x14ac:dyDescent="0.35">
      <c r="A182" s="24"/>
      <c r="B182" s="25"/>
      <c r="C182" s="25"/>
      <c r="D182" s="25"/>
      <c r="E182" s="25"/>
      <c r="F182" s="25"/>
      <c r="G182" s="25"/>
      <c r="H182" s="25"/>
      <c r="I182" s="25"/>
      <c r="J182" s="25"/>
      <c r="K182" s="25"/>
      <c r="L182" s="25"/>
      <c r="M182" s="25"/>
      <c r="N182" s="25"/>
      <c r="O182" s="25"/>
      <c r="P182" s="25"/>
      <c r="Q182" s="25"/>
      <c r="R182" s="25"/>
      <c r="S182" s="25"/>
      <c r="T182" s="25"/>
      <c r="U182" s="25"/>
      <c r="V182" s="61"/>
      <c r="W182" s="25"/>
      <c r="X182" s="5"/>
    </row>
    <row r="183" spans="1:24" ht="15.6" x14ac:dyDescent="0.3">
      <c r="A183" s="2"/>
      <c r="B183" s="4"/>
      <c r="C183" s="4"/>
      <c r="D183" s="4"/>
      <c r="E183" s="4"/>
      <c r="F183" s="4"/>
      <c r="G183" s="4"/>
      <c r="H183" s="4"/>
      <c r="I183" s="4"/>
      <c r="J183" s="4"/>
      <c r="K183" s="4"/>
      <c r="L183" s="4"/>
      <c r="M183" s="4"/>
      <c r="N183" s="4"/>
      <c r="O183" s="4"/>
      <c r="P183" s="4"/>
      <c r="Q183" s="4"/>
      <c r="R183" s="4"/>
      <c r="S183" s="4"/>
      <c r="T183" s="4"/>
      <c r="U183" s="4"/>
      <c r="V183" s="50"/>
      <c r="W183" s="4"/>
      <c r="X183" s="5"/>
    </row>
    <row r="184" spans="1:24" ht="15.6" x14ac:dyDescent="0.3">
      <c r="A184" s="6"/>
      <c r="B184" s="119" t="s">
        <v>66</v>
      </c>
      <c r="C184" s="8"/>
      <c r="D184" s="8"/>
      <c r="E184" s="8"/>
      <c r="F184" s="8"/>
      <c r="G184" s="8"/>
      <c r="H184" s="8"/>
      <c r="I184" s="8"/>
      <c r="J184" s="8"/>
      <c r="K184" s="8"/>
      <c r="L184" s="8"/>
      <c r="M184" s="8"/>
      <c r="N184" s="8"/>
      <c r="O184" s="8"/>
      <c r="P184" s="8"/>
      <c r="Q184" s="8"/>
      <c r="R184" s="8"/>
      <c r="S184" s="8"/>
      <c r="T184" s="8"/>
      <c r="U184" s="8"/>
      <c r="V184" s="65"/>
      <c r="W184" s="8"/>
      <c r="X184" s="5"/>
    </row>
    <row r="185" spans="1:24" ht="15.6" x14ac:dyDescent="0.3">
      <c r="A185" s="24"/>
      <c r="B185" s="25" t="s">
        <v>67</v>
      </c>
      <c r="C185" s="25"/>
      <c r="D185" s="25"/>
      <c r="E185" s="25"/>
      <c r="F185" s="25"/>
      <c r="G185" s="25"/>
      <c r="H185" s="25"/>
      <c r="I185" s="25"/>
      <c r="J185" s="25"/>
      <c r="K185" s="25"/>
      <c r="L185" s="25"/>
      <c r="M185" s="25"/>
      <c r="N185" s="25"/>
      <c r="O185" s="25"/>
      <c r="P185" s="25"/>
      <c r="Q185" s="25"/>
      <c r="R185" s="25"/>
      <c r="S185" s="25"/>
      <c r="T185" s="25"/>
      <c r="U185" s="25"/>
      <c r="V185" s="59">
        <f>(V100+V102+V103+V104+V105)/-(V106+V107)</f>
        <v>1.4434870188003581</v>
      </c>
      <c r="W185" s="25" t="s">
        <v>120</v>
      </c>
      <c r="X185" s="5"/>
    </row>
    <row r="186" spans="1:24" ht="15.6" x14ac:dyDescent="0.3">
      <c r="A186" s="24"/>
      <c r="B186" s="25" t="s">
        <v>68</v>
      </c>
      <c r="C186" s="25"/>
      <c r="D186" s="25"/>
      <c r="E186" s="25"/>
      <c r="F186" s="25"/>
      <c r="G186" s="25"/>
      <c r="H186" s="25"/>
      <c r="I186" s="25"/>
      <c r="J186" s="25"/>
      <c r="K186" s="25"/>
      <c r="L186" s="25"/>
      <c r="M186" s="25"/>
      <c r="N186" s="25"/>
      <c r="O186" s="25"/>
      <c r="P186" s="25"/>
      <c r="Q186" s="25"/>
      <c r="R186" s="25"/>
      <c r="S186" s="25"/>
      <c r="T186" s="25"/>
      <c r="U186" s="25"/>
      <c r="V186" s="66">
        <v>1.41</v>
      </c>
      <c r="W186" s="25" t="s">
        <v>120</v>
      </c>
      <c r="X186" s="5"/>
    </row>
    <row r="187" spans="1:24" ht="15.6" x14ac:dyDescent="0.3">
      <c r="A187" s="24"/>
      <c r="B187" s="25" t="s">
        <v>69</v>
      </c>
      <c r="C187" s="25"/>
      <c r="D187" s="25"/>
      <c r="E187" s="25"/>
      <c r="F187" s="25"/>
      <c r="G187" s="25"/>
      <c r="H187" s="25"/>
      <c r="I187" s="25"/>
      <c r="J187" s="25"/>
      <c r="K187" s="25"/>
      <c r="L187" s="25"/>
      <c r="M187" s="25"/>
      <c r="N187" s="25"/>
      <c r="O187" s="25"/>
      <c r="P187" s="25"/>
      <c r="Q187" s="25"/>
      <c r="R187" s="25"/>
      <c r="S187" s="25"/>
      <c r="T187" s="25"/>
      <c r="U187" s="25"/>
      <c r="V187" s="59">
        <f>(V100+V102+V103+V104+V105+V106+V107)/-(V108+V109)</f>
        <v>4.6816302421736564</v>
      </c>
      <c r="W187" s="25" t="s">
        <v>120</v>
      </c>
      <c r="X187" s="5"/>
    </row>
    <row r="188" spans="1:24" ht="15.6" x14ac:dyDescent="0.3">
      <c r="A188" s="24"/>
      <c r="B188" s="25" t="s">
        <v>70</v>
      </c>
      <c r="C188" s="25"/>
      <c r="D188" s="25"/>
      <c r="E188" s="25"/>
      <c r="F188" s="25"/>
      <c r="G188" s="25"/>
      <c r="H188" s="25"/>
      <c r="I188" s="25"/>
      <c r="J188" s="25"/>
      <c r="K188" s="25"/>
      <c r="L188" s="25"/>
      <c r="M188" s="25"/>
      <c r="N188" s="25"/>
      <c r="O188" s="25"/>
      <c r="P188" s="25"/>
      <c r="Q188" s="25"/>
      <c r="R188" s="25"/>
      <c r="S188" s="25"/>
      <c r="T188" s="25"/>
      <c r="U188" s="25"/>
      <c r="V188" s="66">
        <v>4.49</v>
      </c>
      <c r="W188" s="25" t="s">
        <v>120</v>
      </c>
      <c r="X188" s="5"/>
    </row>
    <row r="189" spans="1:24" ht="15.6" x14ac:dyDescent="0.3">
      <c r="A189" s="24"/>
      <c r="B189" s="25" t="s">
        <v>204</v>
      </c>
      <c r="C189" s="25"/>
      <c r="D189" s="25"/>
      <c r="E189" s="25"/>
      <c r="F189" s="25"/>
      <c r="G189" s="25"/>
      <c r="H189" s="25"/>
      <c r="I189" s="25"/>
      <c r="J189" s="25"/>
      <c r="K189" s="25"/>
      <c r="L189" s="25"/>
      <c r="M189" s="25"/>
      <c r="N189" s="25"/>
      <c r="O189" s="25"/>
      <c r="P189" s="25"/>
      <c r="Q189" s="25"/>
      <c r="R189" s="25"/>
      <c r="S189" s="25"/>
      <c r="T189" s="25"/>
      <c r="U189" s="25"/>
      <c r="V189" s="59">
        <f>(V100+V102+V103+V104+V105+V106+V107+V108+V109)/-(V110+V111)</f>
        <v>4.404946996466431</v>
      </c>
      <c r="W189" s="25" t="s">
        <v>120</v>
      </c>
      <c r="X189" s="5"/>
    </row>
    <row r="190" spans="1:24" ht="15.6" x14ac:dyDescent="0.3">
      <c r="A190" s="24"/>
      <c r="B190" s="25" t="s">
        <v>205</v>
      </c>
      <c r="C190" s="25"/>
      <c r="D190" s="25"/>
      <c r="E190" s="25"/>
      <c r="F190" s="25"/>
      <c r="G190" s="25"/>
      <c r="H190" s="25"/>
      <c r="I190" s="25"/>
      <c r="J190" s="25"/>
      <c r="K190" s="25"/>
      <c r="L190" s="25"/>
      <c r="M190" s="25"/>
      <c r="N190" s="25"/>
      <c r="O190" s="25"/>
      <c r="P190" s="25"/>
      <c r="Q190" s="25"/>
      <c r="R190" s="25"/>
      <c r="S190" s="25"/>
      <c r="T190" s="25"/>
      <c r="U190" s="25"/>
      <c r="V190" s="66">
        <v>4.16</v>
      </c>
      <c r="W190" s="25" t="s">
        <v>120</v>
      </c>
      <c r="X190" s="5"/>
    </row>
    <row r="191" spans="1:24" ht="15.6" x14ac:dyDescent="0.3">
      <c r="A191" s="24"/>
      <c r="B191" s="25"/>
      <c r="C191" s="25"/>
      <c r="D191" s="25"/>
      <c r="E191" s="25"/>
      <c r="F191" s="25"/>
      <c r="G191" s="25"/>
      <c r="H191" s="25"/>
      <c r="I191" s="25"/>
      <c r="J191" s="25"/>
      <c r="K191" s="25"/>
      <c r="L191" s="25"/>
      <c r="M191" s="25"/>
      <c r="N191" s="25"/>
      <c r="O191" s="25"/>
      <c r="P191" s="25"/>
      <c r="Q191" s="25"/>
      <c r="R191" s="25"/>
      <c r="S191" s="25"/>
      <c r="T191" s="25"/>
      <c r="U191" s="25"/>
      <c r="V191" s="25"/>
      <c r="W191" s="25"/>
      <c r="X191" s="5"/>
    </row>
    <row r="192" spans="1:24"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25"/>
      <c r="W192" s="25"/>
      <c r="X192" s="5"/>
    </row>
    <row r="193" spans="1:24" ht="15.6" x14ac:dyDescent="0.3">
      <c r="A193" s="6"/>
      <c r="B193" s="8"/>
      <c r="C193" s="8"/>
      <c r="D193" s="8"/>
      <c r="E193" s="8"/>
      <c r="F193" s="8"/>
      <c r="G193" s="8"/>
      <c r="H193" s="8"/>
      <c r="I193" s="8"/>
      <c r="J193" s="8"/>
      <c r="K193" s="8"/>
      <c r="L193" s="8"/>
      <c r="M193" s="8"/>
      <c r="N193" s="8"/>
      <c r="O193" s="8"/>
      <c r="P193" s="8"/>
      <c r="Q193" s="8"/>
      <c r="R193" s="8"/>
      <c r="S193" s="8"/>
      <c r="T193" s="8"/>
      <c r="U193" s="8"/>
      <c r="V193" s="8"/>
      <c r="W193" s="8"/>
      <c r="X193" s="5"/>
    </row>
    <row r="194" spans="1:24" ht="18" thickBot="1" x14ac:dyDescent="0.35">
      <c r="A194" s="101"/>
      <c r="B194" s="102" t="str">
        <f>B135</f>
        <v>PM12 INVESTOR REPORT QUARTER ENDING JULY 2007</v>
      </c>
      <c r="C194" s="165"/>
      <c r="D194" s="165"/>
      <c r="E194" s="165"/>
      <c r="F194" s="165"/>
      <c r="G194" s="165"/>
      <c r="H194" s="165"/>
      <c r="I194" s="165"/>
      <c r="J194" s="165"/>
      <c r="K194" s="165"/>
      <c r="L194" s="165"/>
      <c r="M194" s="165"/>
      <c r="N194" s="165"/>
      <c r="O194" s="165"/>
      <c r="P194" s="165"/>
      <c r="Q194" s="165"/>
      <c r="R194" s="165"/>
      <c r="S194" s="165"/>
      <c r="T194" s="165"/>
      <c r="U194" s="165"/>
      <c r="V194" s="165"/>
      <c r="W194" s="166"/>
      <c r="X194" s="5"/>
    </row>
    <row r="195" spans="1:24" ht="15.6" x14ac:dyDescent="0.3">
      <c r="A195" s="67"/>
      <c r="B195" s="60" t="s">
        <v>71</v>
      </c>
      <c r="C195" s="68"/>
      <c r="D195" s="68"/>
      <c r="E195" s="68"/>
      <c r="F195" s="68"/>
      <c r="G195" s="69"/>
      <c r="H195" s="69"/>
      <c r="I195" s="69"/>
      <c r="J195" s="69"/>
      <c r="K195" s="69"/>
      <c r="L195" s="69"/>
      <c r="M195" s="69"/>
      <c r="N195" s="69"/>
      <c r="O195" s="69"/>
      <c r="P195" s="69"/>
      <c r="Q195" s="69"/>
      <c r="R195" s="69"/>
      <c r="S195" s="69"/>
      <c r="T195" s="70">
        <v>39294</v>
      </c>
      <c r="U195" s="4"/>
      <c r="V195" s="4"/>
      <c r="W195" s="4"/>
      <c r="X195" s="5"/>
    </row>
    <row r="196" spans="1:24" ht="15.6" x14ac:dyDescent="0.3">
      <c r="A196" s="71"/>
      <c r="B196" s="72"/>
      <c r="C196" s="73"/>
      <c r="D196" s="73"/>
      <c r="E196" s="73"/>
      <c r="F196" s="73"/>
      <c r="G196" s="74"/>
      <c r="H196" s="74"/>
      <c r="I196" s="74"/>
      <c r="J196" s="74"/>
      <c r="K196" s="74"/>
      <c r="L196" s="74"/>
      <c r="M196" s="74"/>
      <c r="N196" s="74"/>
      <c r="O196" s="74"/>
      <c r="P196" s="74"/>
      <c r="Q196" s="74"/>
      <c r="R196" s="74"/>
      <c r="S196" s="74"/>
      <c r="T196" s="74"/>
      <c r="U196" s="8"/>
      <c r="V196" s="8"/>
      <c r="W196" s="8"/>
      <c r="X196" s="5"/>
    </row>
    <row r="197" spans="1:24" ht="15.6" x14ac:dyDescent="0.3">
      <c r="A197" s="75"/>
      <c r="B197" s="76" t="s">
        <v>72</v>
      </c>
      <c r="C197" s="77"/>
      <c r="D197" s="77"/>
      <c r="E197" s="77"/>
      <c r="F197" s="77"/>
      <c r="G197" s="64"/>
      <c r="H197" s="64"/>
      <c r="I197" s="64"/>
      <c r="J197" s="64"/>
      <c r="K197" s="64"/>
      <c r="L197" s="64"/>
      <c r="M197" s="64"/>
      <c r="N197" s="64"/>
      <c r="O197" s="64"/>
      <c r="P197" s="64"/>
      <c r="Q197" s="64"/>
      <c r="R197" s="64"/>
      <c r="S197" s="64"/>
      <c r="T197" s="78">
        <v>5.2060000000000002E-2</v>
      </c>
      <c r="U197" s="25"/>
      <c r="V197" s="25"/>
      <c r="W197" s="25"/>
      <c r="X197" s="5"/>
    </row>
    <row r="198" spans="1:24" ht="15.6" x14ac:dyDescent="0.3">
      <c r="A198" s="75"/>
      <c r="B198" s="76" t="s">
        <v>156</v>
      </c>
      <c r="C198" s="77"/>
      <c r="D198" s="77"/>
      <c r="E198" s="77"/>
      <c r="F198" s="77"/>
      <c r="G198" s="64"/>
      <c r="H198" s="64"/>
      <c r="I198" s="64"/>
      <c r="J198" s="64"/>
      <c r="K198" s="64"/>
      <c r="L198" s="64"/>
      <c r="M198" s="64"/>
      <c r="N198" s="64"/>
      <c r="O198" s="64"/>
      <c r="P198" s="64"/>
      <c r="Q198" s="64"/>
      <c r="R198" s="64"/>
      <c r="S198" s="64"/>
      <c r="T198" s="39">
        <f>'Oct 06'!T197</f>
        <v>4.8538814772447772E-2</v>
      </c>
      <c r="U198" s="25"/>
      <c r="V198" s="25"/>
      <c r="W198" s="25"/>
      <c r="X198" s="5"/>
    </row>
    <row r="199" spans="1:24" ht="15.6" x14ac:dyDescent="0.3">
      <c r="A199" s="75"/>
      <c r="B199" s="76" t="s">
        <v>73</v>
      </c>
      <c r="C199" s="77"/>
      <c r="D199" s="77"/>
      <c r="E199" s="77"/>
      <c r="F199" s="77"/>
      <c r="G199" s="64"/>
      <c r="H199" s="64"/>
      <c r="I199" s="64"/>
      <c r="J199" s="64"/>
      <c r="K199" s="64"/>
      <c r="L199" s="64"/>
      <c r="M199" s="64"/>
      <c r="N199" s="64"/>
      <c r="O199" s="64"/>
      <c r="P199" s="64"/>
      <c r="Q199" s="64"/>
      <c r="R199" s="64"/>
      <c r="S199" s="64"/>
      <c r="T199" s="78">
        <f>T197-T198</f>
        <v>3.5211852275522301E-3</v>
      </c>
      <c r="U199" s="25"/>
      <c r="V199" s="25"/>
      <c r="W199" s="25"/>
      <c r="X199" s="5"/>
    </row>
    <row r="200" spans="1:24" ht="15.6" x14ac:dyDescent="0.3">
      <c r="A200" s="75"/>
      <c r="B200" s="76" t="s">
        <v>74</v>
      </c>
      <c r="C200" s="77"/>
      <c r="D200" s="77"/>
      <c r="E200" s="77"/>
      <c r="F200" s="77"/>
      <c r="G200" s="64"/>
      <c r="H200" s="64"/>
      <c r="I200" s="64"/>
      <c r="J200" s="64"/>
      <c r="K200" s="64"/>
      <c r="L200" s="64"/>
      <c r="M200" s="64"/>
      <c r="N200" s="64"/>
      <c r="O200" s="64"/>
      <c r="P200" s="64"/>
      <c r="Q200" s="64"/>
      <c r="R200" s="64"/>
      <c r="S200" s="64"/>
      <c r="T200" s="78">
        <v>5.416E-2</v>
      </c>
      <c r="U200" s="25"/>
      <c r="V200" s="25"/>
      <c r="W200" s="25"/>
      <c r="X200" s="5"/>
    </row>
    <row r="201" spans="1:24" ht="15.6" x14ac:dyDescent="0.3">
      <c r="A201" s="75"/>
      <c r="B201" s="76" t="s">
        <v>225</v>
      </c>
      <c r="C201" s="77"/>
      <c r="D201" s="77"/>
      <c r="E201" s="77"/>
      <c r="F201" s="77"/>
      <c r="G201" s="64"/>
      <c r="H201" s="64"/>
      <c r="I201" s="64"/>
      <c r="J201" s="64"/>
      <c r="K201" s="64"/>
      <c r="L201" s="64"/>
      <c r="M201" s="64"/>
      <c r="N201" s="64"/>
      <c r="O201" s="64"/>
      <c r="P201" s="64"/>
      <c r="Q201" s="64"/>
      <c r="R201" s="64"/>
      <c r="S201" s="64"/>
      <c r="T201" s="78">
        <f>V43</f>
        <v>5.8475325185976555E-2</v>
      </c>
      <c r="U201" s="25"/>
      <c r="V201" s="25"/>
      <c r="W201" s="25"/>
      <c r="X201" s="5"/>
    </row>
    <row r="202" spans="1:24" ht="15.6" x14ac:dyDescent="0.3">
      <c r="A202" s="75"/>
      <c r="B202" s="76" t="s">
        <v>75</v>
      </c>
      <c r="C202" s="77"/>
      <c r="D202" s="77"/>
      <c r="E202" s="77"/>
      <c r="F202" s="77"/>
      <c r="G202" s="64"/>
      <c r="H202" s="64"/>
      <c r="I202" s="64"/>
      <c r="J202" s="64"/>
      <c r="K202" s="64"/>
      <c r="L202" s="64"/>
      <c r="M202" s="64"/>
      <c r="N202" s="64"/>
      <c r="O202" s="64"/>
      <c r="P202" s="64"/>
      <c r="Q202" s="64"/>
      <c r="R202" s="64"/>
      <c r="S202" s="64"/>
      <c r="T202" s="78">
        <f>T200-T201</f>
        <v>-4.3153251859765554E-3</v>
      </c>
      <c r="U202" s="25"/>
      <c r="V202" s="25"/>
      <c r="W202" s="25"/>
      <c r="X202" s="5"/>
    </row>
    <row r="203" spans="1:24" ht="15.6" x14ac:dyDescent="0.3">
      <c r="A203" s="75"/>
      <c r="B203" s="76" t="s">
        <v>271</v>
      </c>
      <c r="C203" s="77"/>
      <c r="D203" s="77"/>
      <c r="E203" s="77"/>
      <c r="F203" s="77"/>
      <c r="G203" s="64"/>
      <c r="H203" s="64"/>
      <c r="I203" s="64"/>
      <c r="J203" s="64"/>
      <c r="K203" s="64"/>
      <c r="L203" s="64"/>
      <c r="M203" s="64"/>
      <c r="N203" s="64"/>
      <c r="O203" s="64"/>
      <c r="P203" s="64"/>
      <c r="Q203" s="64"/>
      <c r="R203" s="64"/>
      <c r="S203" s="64"/>
      <c r="T203" s="78">
        <f>+V100/N72</f>
        <v>1.8521666802485199E-2</v>
      </c>
      <c r="U203" s="25"/>
      <c r="V203" s="25"/>
      <c r="W203" s="25"/>
      <c r="X203" s="5"/>
    </row>
    <row r="204" spans="1:24" ht="15.6" x14ac:dyDescent="0.3">
      <c r="A204" s="75"/>
      <c r="B204" s="76" t="s">
        <v>214</v>
      </c>
      <c r="C204" s="77"/>
      <c r="D204" s="77"/>
      <c r="E204" s="77"/>
      <c r="F204" s="77"/>
      <c r="G204" s="64"/>
      <c r="H204" s="64"/>
      <c r="I204" s="64"/>
      <c r="J204" s="64"/>
      <c r="K204" s="64"/>
      <c r="L204" s="64"/>
      <c r="M204" s="64"/>
      <c r="N204" s="64"/>
      <c r="O204" s="64"/>
      <c r="P204" s="64"/>
      <c r="Q204" s="64"/>
      <c r="R204" s="64"/>
      <c r="S204" s="64"/>
      <c r="T204" s="129">
        <v>50710</v>
      </c>
      <c r="U204" s="25"/>
      <c r="V204" s="25"/>
      <c r="W204" s="25"/>
      <c r="X204" s="5"/>
    </row>
    <row r="205" spans="1:24" ht="15.6" x14ac:dyDescent="0.3">
      <c r="A205" s="75"/>
      <c r="B205" s="76" t="s">
        <v>215</v>
      </c>
      <c r="C205" s="77"/>
      <c r="D205" s="77"/>
      <c r="E205" s="77"/>
      <c r="F205" s="77"/>
      <c r="G205" s="64"/>
      <c r="H205" s="64"/>
      <c r="I205" s="64"/>
      <c r="J205" s="64"/>
      <c r="K205" s="64"/>
      <c r="L205" s="64"/>
      <c r="M205" s="64"/>
      <c r="N205" s="64"/>
      <c r="O205" s="64"/>
      <c r="P205" s="64"/>
      <c r="Q205" s="64"/>
      <c r="R205" s="64"/>
      <c r="S205" s="64"/>
      <c r="T205" s="129">
        <v>50710</v>
      </c>
      <c r="U205" s="25"/>
      <c r="V205" s="25"/>
      <c r="W205" s="25"/>
      <c r="X205" s="5"/>
    </row>
    <row r="206" spans="1:24" ht="15.6" x14ac:dyDescent="0.3">
      <c r="A206" s="75"/>
      <c r="B206" s="76" t="s">
        <v>216</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76</v>
      </c>
      <c r="C207" s="77"/>
      <c r="D207" s="77"/>
      <c r="E207" s="77"/>
      <c r="F207" s="77"/>
      <c r="G207" s="64"/>
      <c r="H207" s="64"/>
      <c r="I207" s="64"/>
      <c r="J207" s="64"/>
      <c r="K207" s="64"/>
      <c r="L207" s="64"/>
      <c r="M207" s="64"/>
      <c r="N207" s="64"/>
      <c r="O207" s="64"/>
      <c r="P207" s="64"/>
      <c r="Q207" s="64"/>
      <c r="R207" s="64"/>
      <c r="S207" s="64"/>
      <c r="T207" s="133">
        <v>21.06</v>
      </c>
      <c r="U207" s="25" t="s">
        <v>115</v>
      </c>
      <c r="V207" s="25"/>
      <c r="W207" s="25"/>
      <c r="X207" s="5"/>
    </row>
    <row r="208" spans="1:24" ht="15.6" x14ac:dyDescent="0.3">
      <c r="A208" s="75"/>
      <c r="B208" s="76" t="s">
        <v>77</v>
      </c>
      <c r="C208" s="77"/>
      <c r="D208" s="77"/>
      <c r="E208" s="77"/>
      <c r="F208" s="77"/>
      <c r="G208" s="64"/>
      <c r="H208" s="64"/>
      <c r="I208" s="64"/>
      <c r="J208" s="64"/>
      <c r="K208" s="64"/>
      <c r="L208" s="64"/>
      <c r="M208" s="64"/>
      <c r="N208" s="64"/>
      <c r="O208" s="64"/>
      <c r="P208" s="64"/>
      <c r="Q208" s="64"/>
      <c r="R208" s="64"/>
      <c r="S208" s="64"/>
      <c r="T208" s="133">
        <v>20.16</v>
      </c>
      <c r="U208" s="25" t="s">
        <v>115</v>
      </c>
      <c r="V208" s="25"/>
      <c r="W208" s="25"/>
      <c r="X208" s="5"/>
    </row>
    <row r="209" spans="1:24" ht="15.6" x14ac:dyDescent="0.3">
      <c r="A209" s="75"/>
      <c r="B209" s="76" t="s">
        <v>78</v>
      </c>
      <c r="C209" s="77"/>
      <c r="D209" s="77"/>
      <c r="E209" s="77"/>
      <c r="F209" s="77"/>
      <c r="G209" s="64"/>
      <c r="H209" s="64"/>
      <c r="I209" s="64"/>
      <c r="J209" s="64"/>
      <c r="K209" s="64"/>
      <c r="L209" s="64"/>
      <c r="M209" s="64"/>
      <c r="N209" s="64"/>
      <c r="O209" s="64"/>
      <c r="P209" s="64"/>
      <c r="Q209" s="64"/>
      <c r="R209" s="64"/>
      <c r="S209" s="64"/>
      <c r="T209" s="78">
        <f>+P69/N69</f>
        <v>2.2066530473463401E-2</v>
      </c>
      <c r="U209" s="25"/>
      <c r="V209" s="25"/>
      <c r="W209" s="25"/>
      <c r="X209" s="5"/>
    </row>
    <row r="210" spans="1:24" ht="15.6" x14ac:dyDescent="0.3">
      <c r="A210" s="75"/>
      <c r="B210" s="76" t="s">
        <v>79</v>
      </c>
      <c r="C210" s="77"/>
      <c r="D210" s="77"/>
      <c r="E210" s="77"/>
      <c r="F210" s="77"/>
      <c r="G210" s="64"/>
      <c r="H210" s="64"/>
      <c r="I210" s="64"/>
      <c r="J210" s="64"/>
      <c r="K210" s="64"/>
      <c r="L210" s="64"/>
      <c r="M210" s="64"/>
      <c r="N210" s="64"/>
      <c r="O210" s="64"/>
      <c r="P210" s="64"/>
      <c r="Q210" s="64"/>
      <c r="R210" s="64"/>
      <c r="S210" s="64"/>
      <c r="T210" s="78">
        <v>8.3699999999999997E-2</v>
      </c>
      <c r="U210" s="25"/>
      <c r="V210" s="25"/>
      <c r="W210" s="25"/>
      <c r="X210" s="5"/>
    </row>
    <row r="211" spans="1:24" ht="15.6" x14ac:dyDescent="0.3">
      <c r="A211" s="75"/>
      <c r="B211" s="76"/>
      <c r="C211" s="76"/>
      <c r="D211" s="76"/>
      <c r="E211" s="76"/>
      <c r="F211" s="76"/>
      <c r="G211" s="25"/>
      <c r="H211" s="25"/>
      <c r="I211" s="25"/>
      <c r="J211" s="25"/>
      <c r="K211" s="25"/>
      <c r="L211" s="25"/>
      <c r="M211" s="25"/>
      <c r="N211" s="25"/>
      <c r="O211" s="25"/>
      <c r="P211" s="25"/>
      <c r="Q211" s="25"/>
      <c r="R211" s="25"/>
      <c r="S211" s="25"/>
      <c r="T211" s="61"/>
      <c r="U211" s="25"/>
      <c r="V211" s="79"/>
      <c r="W211" s="25"/>
      <c r="X211" s="5"/>
    </row>
    <row r="212" spans="1:24" ht="15.6" x14ac:dyDescent="0.3">
      <c r="A212" s="80"/>
      <c r="B212" s="14" t="s">
        <v>80</v>
      </c>
      <c r="C212" s="81"/>
      <c r="D212" s="81"/>
      <c r="E212" s="81"/>
      <c r="F212" s="82"/>
      <c r="G212" s="81"/>
      <c r="H212" s="17"/>
      <c r="I212" s="17"/>
      <c r="J212" s="17"/>
      <c r="K212" s="17"/>
      <c r="L212" s="17"/>
      <c r="M212" s="17"/>
      <c r="N212" s="17"/>
      <c r="O212" s="17"/>
      <c r="P212" s="17"/>
      <c r="Q212" s="17"/>
      <c r="R212" s="17"/>
      <c r="S212" s="17" t="s">
        <v>104</v>
      </c>
      <c r="T212" s="83" t="s">
        <v>111</v>
      </c>
      <c r="U212" s="8"/>
      <c r="V212" s="8"/>
      <c r="W212" s="8"/>
      <c r="X212" s="5"/>
    </row>
    <row r="213" spans="1:24" ht="15.6" x14ac:dyDescent="0.3">
      <c r="A213" s="84"/>
      <c r="B213" s="76" t="s">
        <v>81</v>
      </c>
      <c r="C213" s="54"/>
      <c r="D213" s="54"/>
      <c r="E213" s="54"/>
      <c r="F213" s="25"/>
      <c r="G213" s="25"/>
      <c r="H213" s="30"/>
      <c r="I213" s="30"/>
      <c r="J213" s="30"/>
      <c r="K213" s="30"/>
      <c r="L213" s="30"/>
      <c r="M213" s="30"/>
      <c r="N213" s="30"/>
      <c r="O213" s="30"/>
      <c r="P213" s="30"/>
      <c r="Q213" s="30"/>
      <c r="R213" s="30"/>
      <c r="S213" s="30">
        <v>0</v>
      </c>
      <c r="T213" s="85">
        <v>0</v>
      </c>
      <c r="U213" s="25"/>
      <c r="V213" s="79"/>
      <c r="W213" s="86"/>
      <c r="X213" s="5"/>
    </row>
    <row r="214" spans="1:24" ht="15.6" x14ac:dyDescent="0.3">
      <c r="A214" s="84"/>
      <c r="B214" s="76" t="s">
        <v>150</v>
      </c>
      <c r="C214" s="54"/>
      <c r="D214" s="54"/>
      <c r="E214" s="54"/>
      <c r="F214" s="25"/>
      <c r="G214" s="25"/>
      <c r="H214" s="30"/>
      <c r="I214" s="30"/>
      <c r="J214" s="30"/>
      <c r="K214" s="30"/>
      <c r="L214" s="30"/>
      <c r="M214" s="30"/>
      <c r="N214" s="30"/>
      <c r="O214" s="30"/>
      <c r="P214" s="30"/>
      <c r="Q214" s="30"/>
      <c r="R214" s="30"/>
      <c r="S214" s="152">
        <f>+R254</f>
        <v>16</v>
      </c>
      <c r="T214" s="85">
        <f>+T254</f>
        <v>2502</v>
      </c>
      <c r="U214" s="25"/>
      <c r="V214" s="79"/>
      <c r="W214" s="86"/>
      <c r="X214" s="5"/>
    </row>
    <row r="215" spans="1:24" ht="15.6" x14ac:dyDescent="0.3">
      <c r="A215" s="84"/>
      <c r="B215" s="76" t="s">
        <v>82</v>
      </c>
      <c r="C215" s="54"/>
      <c r="D215" s="54"/>
      <c r="E215" s="54"/>
      <c r="F215" s="25"/>
      <c r="G215" s="25"/>
      <c r="H215" s="30"/>
      <c r="I215" s="30"/>
      <c r="J215" s="30"/>
      <c r="K215" s="30"/>
      <c r="L215" s="30"/>
      <c r="M215" s="30"/>
      <c r="N215" s="30"/>
      <c r="O215" s="30"/>
      <c r="P215" s="30"/>
      <c r="Q215" s="30"/>
      <c r="R215" s="30"/>
      <c r="S215" s="30">
        <v>0</v>
      </c>
      <c r="T215" s="85">
        <v>0</v>
      </c>
      <c r="U215" s="25"/>
      <c r="V215" s="79"/>
      <c r="W215" s="86"/>
      <c r="X215" s="5"/>
    </row>
    <row r="216" spans="1:24" ht="15.6" x14ac:dyDescent="0.3">
      <c r="A216" s="84"/>
      <c r="B216" s="122" t="s">
        <v>83</v>
      </c>
      <c r="C216" s="54"/>
      <c r="D216" s="54"/>
      <c r="E216" s="54"/>
      <c r="F216" s="25"/>
      <c r="G216" s="25"/>
      <c r="H216" s="25"/>
      <c r="I216" s="25"/>
      <c r="J216" s="25"/>
      <c r="K216" s="25"/>
      <c r="L216" s="25"/>
      <c r="M216" s="25"/>
      <c r="N216" s="25"/>
      <c r="O216" s="25"/>
      <c r="P216" s="25"/>
      <c r="Q216" s="25"/>
      <c r="R216" s="25"/>
      <c r="S216" s="25"/>
      <c r="T216" s="85">
        <v>0</v>
      </c>
      <c r="U216" s="25"/>
      <c r="V216" s="79"/>
      <c r="W216" s="86"/>
      <c r="X216" s="5"/>
    </row>
    <row r="217" spans="1:24" ht="15.6" x14ac:dyDescent="0.3">
      <c r="A217" s="84"/>
      <c r="B217" s="122" t="s">
        <v>84</v>
      </c>
      <c r="C217" s="54"/>
      <c r="D217" s="54"/>
      <c r="E217" s="54"/>
      <c r="F217" s="25"/>
      <c r="G217" s="25"/>
      <c r="H217" s="25"/>
      <c r="I217" s="25"/>
      <c r="J217" s="25"/>
      <c r="K217" s="25"/>
      <c r="L217" s="25"/>
      <c r="M217" s="25"/>
      <c r="N217" s="25"/>
      <c r="O217" s="25"/>
      <c r="P217" s="25"/>
      <c r="Q217" s="25"/>
      <c r="R217" s="25"/>
      <c r="S217" s="25"/>
      <c r="T217" s="62" t="s">
        <v>112</v>
      </c>
      <c r="U217" s="25"/>
      <c r="V217" s="79"/>
      <c r="W217" s="86"/>
      <c r="X217" s="5"/>
    </row>
    <row r="218" spans="1:24" ht="15.6" x14ac:dyDescent="0.3">
      <c r="A218" s="87"/>
      <c r="B218" s="122" t="s">
        <v>85</v>
      </c>
      <c r="C218" s="76"/>
      <c r="D218" s="76"/>
      <c r="E218" s="76"/>
      <c r="F218" s="76"/>
      <c r="G218" s="25"/>
      <c r="H218" s="25"/>
      <c r="I218" s="25"/>
      <c r="J218" s="25"/>
      <c r="K218" s="25"/>
      <c r="L218" s="25"/>
      <c r="M218" s="25"/>
      <c r="N218" s="25"/>
      <c r="O218" s="25"/>
      <c r="P218" s="25"/>
      <c r="Q218" s="25"/>
      <c r="R218" s="25"/>
      <c r="S218" s="25"/>
      <c r="T218" s="85"/>
      <c r="U218" s="25"/>
      <c r="V218" s="79"/>
      <c r="W218" s="88"/>
      <c r="X218" s="5"/>
    </row>
    <row r="219" spans="1:24" ht="15.6" x14ac:dyDescent="0.3">
      <c r="A219" s="87"/>
      <c r="B219" s="131" t="s">
        <v>86</v>
      </c>
      <c r="C219" s="76"/>
      <c r="D219" s="76"/>
      <c r="E219" s="76"/>
      <c r="F219" s="76"/>
      <c r="G219" s="25"/>
      <c r="H219" s="25"/>
      <c r="I219" s="25"/>
      <c r="J219" s="25"/>
      <c r="K219" s="25"/>
      <c r="L219" s="25"/>
      <c r="M219" s="25"/>
      <c r="N219" s="25"/>
      <c r="O219" s="25"/>
      <c r="P219" s="25"/>
      <c r="Q219" s="25"/>
      <c r="R219" s="25"/>
      <c r="S219" s="30"/>
      <c r="T219" s="85">
        <f>+V164</f>
        <v>20</v>
      </c>
      <c r="U219" s="25"/>
      <c r="V219" s="79"/>
      <c r="W219" s="88"/>
      <c r="X219" s="5"/>
    </row>
    <row r="220" spans="1:24" ht="15.6" x14ac:dyDescent="0.3">
      <c r="A220" s="84"/>
      <c r="B220" s="76" t="s">
        <v>87</v>
      </c>
      <c r="C220" s="54"/>
      <c r="D220" s="54"/>
      <c r="E220" s="54"/>
      <c r="F220" s="54"/>
      <c r="G220" s="25"/>
      <c r="H220" s="25"/>
      <c r="I220" s="25"/>
      <c r="J220" s="25"/>
      <c r="K220" s="25"/>
      <c r="L220" s="25"/>
      <c r="M220" s="25"/>
      <c r="N220" s="25"/>
      <c r="O220" s="25"/>
      <c r="P220" s="25"/>
      <c r="Q220" s="25"/>
      <c r="R220" s="25"/>
      <c r="S220" s="30"/>
      <c r="T220" s="85">
        <f>'April 07'!T220+'July 07'!T219</f>
        <v>20</v>
      </c>
      <c r="U220" s="25"/>
      <c r="V220" s="79"/>
      <c r="W220" s="88"/>
      <c r="X220" s="5"/>
    </row>
    <row r="221" spans="1:24" ht="15.6" x14ac:dyDescent="0.3">
      <c r="A221" s="87"/>
      <c r="B221" s="122" t="s">
        <v>292</v>
      </c>
      <c r="C221" s="76"/>
      <c r="D221" s="76"/>
      <c r="E221" s="76"/>
      <c r="F221" s="76"/>
      <c r="G221" s="25"/>
      <c r="H221" s="25"/>
      <c r="I221" s="25"/>
      <c r="J221" s="25"/>
      <c r="K221" s="25"/>
      <c r="L221" s="25"/>
      <c r="M221" s="25"/>
      <c r="N221" s="25"/>
      <c r="O221" s="25"/>
      <c r="P221" s="25"/>
      <c r="Q221" s="25"/>
      <c r="R221" s="25"/>
      <c r="S221" s="30"/>
      <c r="T221" s="85"/>
      <c r="U221" s="25"/>
      <c r="V221" s="79"/>
      <c r="W221" s="88"/>
      <c r="X221" s="5"/>
    </row>
    <row r="222" spans="1:24" ht="15.6" x14ac:dyDescent="0.3">
      <c r="A222" s="87"/>
      <c r="B222" s="76" t="s">
        <v>290</v>
      </c>
      <c r="C222" s="76"/>
      <c r="D222" s="76"/>
      <c r="E222" s="76"/>
      <c r="F222" s="76"/>
      <c r="G222" s="25"/>
      <c r="H222" s="25"/>
      <c r="I222" s="25"/>
      <c r="J222" s="25"/>
      <c r="K222" s="25"/>
      <c r="L222" s="25"/>
      <c r="M222" s="25"/>
      <c r="N222" s="25"/>
      <c r="O222" s="25"/>
      <c r="P222" s="25"/>
      <c r="Q222" s="25"/>
      <c r="R222" s="25"/>
      <c r="S222" s="30">
        <v>0</v>
      </c>
      <c r="T222" s="85">
        <v>0</v>
      </c>
      <c r="U222" s="25"/>
      <c r="V222" s="79"/>
      <c r="W222" s="88"/>
      <c r="X222" s="5"/>
    </row>
    <row r="223" spans="1:24" ht="15.6" x14ac:dyDescent="0.3">
      <c r="A223" s="84"/>
      <c r="B223" s="76" t="s">
        <v>88</v>
      </c>
      <c r="C223" s="89"/>
      <c r="D223" s="89"/>
      <c r="E223" s="89"/>
      <c r="F223" s="90"/>
      <c r="G223" s="25"/>
      <c r="H223" s="25"/>
      <c r="I223" s="25"/>
      <c r="J223" s="25"/>
      <c r="K223" s="25"/>
      <c r="L223" s="25"/>
      <c r="M223" s="25"/>
      <c r="N223" s="25"/>
      <c r="O223" s="25"/>
      <c r="P223" s="25"/>
      <c r="Q223" s="25"/>
      <c r="R223" s="25"/>
      <c r="S223" s="25"/>
      <c r="T223" s="62">
        <v>0</v>
      </c>
      <c r="U223" s="25"/>
      <c r="V223" s="79"/>
      <c r="W223" s="88"/>
      <c r="X223" s="5"/>
    </row>
    <row r="224" spans="1:24" ht="15.6" x14ac:dyDescent="0.3">
      <c r="A224" s="84"/>
      <c r="B224" s="76" t="s">
        <v>89</v>
      </c>
      <c r="C224" s="89"/>
      <c r="D224" s="89"/>
      <c r="E224" s="89"/>
      <c r="F224" s="90"/>
      <c r="G224" s="25"/>
      <c r="H224" s="25"/>
      <c r="I224" s="25"/>
      <c r="J224" s="25"/>
      <c r="K224" s="25"/>
      <c r="L224" s="25"/>
      <c r="M224" s="25"/>
      <c r="N224" s="25"/>
      <c r="O224" s="25"/>
      <c r="P224" s="25"/>
      <c r="Q224" s="25"/>
      <c r="R224" s="25"/>
      <c r="S224" s="25"/>
      <c r="T224" s="62">
        <v>0</v>
      </c>
      <c r="U224" s="25"/>
      <c r="V224" s="79"/>
      <c r="W224" s="88"/>
      <c r="X224" s="5"/>
    </row>
    <row r="225" spans="1:25" ht="15.6" x14ac:dyDescent="0.3">
      <c r="A225" s="84"/>
      <c r="B225" s="122" t="s">
        <v>223</v>
      </c>
      <c r="C225" s="89"/>
      <c r="D225" s="89"/>
      <c r="E225" s="89"/>
      <c r="F225" s="90"/>
      <c r="G225" s="25"/>
      <c r="H225" s="25"/>
      <c r="I225" s="25"/>
      <c r="J225" s="25"/>
      <c r="K225" s="25"/>
      <c r="L225" s="25"/>
      <c r="M225" s="25"/>
      <c r="N225" s="25"/>
      <c r="O225" s="25"/>
      <c r="P225" s="25"/>
      <c r="Q225" s="25"/>
      <c r="R225" s="25"/>
      <c r="S225" s="25"/>
      <c r="T225" s="91"/>
      <c r="U225" s="25"/>
      <c r="V225" s="79"/>
      <c r="W225" s="88"/>
      <c r="X225" s="5"/>
    </row>
    <row r="226" spans="1:25" ht="15.6" x14ac:dyDescent="0.3">
      <c r="A226" s="84"/>
      <c r="B226" s="76" t="s">
        <v>290</v>
      </c>
      <c r="C226" s="89"/>
      <c r="D226" s="89"/>
      <c r="E226" s="89"/>
      <c r="F226" s="90"/>
      <c r="G226" s="25"/>
      <c r="H226" s="25"/>
      <c r="I226" s="25"/>
      <c r="J226" s="25"/>
      <c r="K226" s="25"/>
      <c r="L226" s="25"/>
      <c r="M226" s="25"/>
      <c r="N226" s="25"/>
      <c r="O226" s="25"/>
      <c r="P226" s="25"/>
      <c r="Q226" s="25"/>
      <c r="R226" s="25"/>
      <c r="S226" s="30">
        <v>2</v>
      </c>
      <c r="T226" s="85">
        <v>283</v>
      </c>
      <c r="U226" s="25"/>
      <c r="V226" s="79"/>
      <c r="W226" s="88"/>
      <c r="X226" s="5"/>
    </row>
    <row r="227" spans="1:25" ht="15.6" x14ac:dyDescent="0.3">
      <c r="A227" s="84"/>
      <c r="B227" s="76" t="s">
        <v>224</v>
      </c>
      <c r="C227" s="89"/>
      <c r="D227" s="89"/>
      <c r="E227" s="89"/>
      <c r="F227" s="90"/>
      <c r="G227" s="25"/>
      <c r="H227" s="25"/>
      <c r="I227" s="25"/>
      <c r="J227" s="25"/>
      <c r="K227" s="25"/>
      <c r="L227" s="25"/>
      <c r="M227" s="25"/>
      <c r="N227" s="25"/>
      <c r="O227" s="25"/>
      <c r="P227" s="25"/>
      <c r="Q227" s="25"/>
      <c r="R227" s="25"/>
      <c r="S227" s="25"/>
      <c r="T227" s="62">
        <v>2.0099999999999998</v>
      </c>
      <c r="U227" s="25"/>
      <c r="V227" s="79"/>
      <c r="W227" s="88"/>
      <c r="X227" s="5"/>
    </row>
    <row r="228" spans="1:25" ht="15.6" x14ac:dyDescent="0.3">
      <c r="A228" s="84"/>
      <c r="B228" s="76"/>
      <c r="C228" s="89"/>
      <c r="D228" s="89"/>
      <c r="E228" s="89"/>
      <c r="F228" s="90"/>
      <c r="G228" s="25"/>
      <c r="H228" s="25"/>
      <c r="I228" s="25"/>
      <c r="J228" s="25"/>
      <c r="K228" s="25"/>
      <c r="L228" s="25"/>
      <c r="M228" s="25"/>
      <c r="N228" s="25"/>
      <c r="O228" s="25"/>
      <c r="P228" s="25"/>
      <c r="Q228" s="25"/>
      <c r="R228" s="25"/>
      <c r="S228" s="25"/>
      <c r="T228" s="91"/>
      <c r="U228" s="25"/>
      <c r="V228" s="79"/>
      <c r="W228" s="88"/>
      <c r="X228" s="5"/>
    </row>
    <row r="229" spans="1:25" ht="15.6" x14ac:dyDescent="0.3">
      <c r="A229" s="84"/>
      <c r="B229" s="76"/>
      <c r="C229" s="89"/>
      <c r="D229" s="89"/>
      <c r="E229" s="89"/>
      <c r="F229" s="90"/>
      <c r="G229" s="25"/>
      <c r="H229" s="25"/>
      <c r="I229" s="25"/>
      <c r="J229" s="25"/>
      <c r="K229" s="25"/>
      <c r="L229" s="25"/>
      <c r="M229" s="25"/>
      <c r="N229" s="25"/>
      <c r="O229" s="25"/>
      <c r="P229" s="25"/>
      <c r="Q229" s="25"/>
      <c r="R229" s="25"/>
      <c r="S229" s="25"/>
      <c r="T229" s="91"/>
      <c r="U229" s="25"/>
      <c r="V229" s="79"/>
      <c r="W229" s="88"/>
      <c r="X229" s="5"/>
    </row>
    <row r="230" spans="1:25" ht="17.399999999999999" x14ac:dyDescent="0.3">
      <c r="A230" s="84"/>
      <c r="B230" s="149" t="s">
        <v>174</v>
      </c>
      <c r="C230" s="89"/>
      <c r="D230" s="89"/>
      <c r="E230" s="89"/>
      <c r="F230" s="90"/>
      <c r="G230" s="25"/>
      <c r="H230" s="25"/>
      <c r="I230" s="25"/>
      <c r="J230" s="25"/>
      <c r="K230" s="25"/>
      <c r="L230" s="25"/>
      <c r="M230" s="25"/>
      <c r="N230" s="25"/>
      <c r="O230" s="25"/>
      <c r="P230" s="150" t="s">
        <v>173</v>
      </c>
      <c r="Q230" s="25"/>
      <c r="R230" s="25"/>
      <c r="S230" s="25"/>
      <c r="T230" s="91"/>
      <c r="U230" s="25"/>
      <c r="V230" s="79"/>
      <c r="W230" s="88"/>
      <c r="X230" s="5"/>
    </row>
    <row r="231" spans="1:25" ht="15.6" x14ac:dyDescent="0.3">
      <c r="A231" s="84"/>
      <c r="B231" s="76"/>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5.6" x14ac:dyDescent="0.3">
      <c r="A232" s="6"/>
      <c r="B232" s="14" t="s">
        <v>167</v>
      </c>
      <c r="C232" s="81"/>
      <c r="D232" s="81"/>
      <c r="E232" s="81"/>
      <c r="F232" s="82"/>
      <c r="G232" s="81"/>
      <c r="H232" s="17"/>
      <c r="I232" s="17"/>
      <c r="J232" s="17"/>
      <c r="K232" s="17"/>
      <c r="L232" s="17"/>
      <c r="M232" s="17"/>
      <c r="N232" s="17"/>
      <c r="O232" s="17"/>
      <c r="P232" s="17"/>
      <c r="Q232" s="17"/>
      <c r="R232" s="83" t="s">
        <v>104</v>
      </c>
      <c r="S232" s="17" t="s">
        <v>105</v>
      </c>
      <c r="T232" s="83" t="s">
        <v>113</v>
      </c>
      <c r="U232" s="17" t="s">
        <v>105</v>
      </c>
      <c r="V232" s="8"/>
      <c r="W232" s="92"/>
      <c r="X232" s="5"/>
    </row>
    <row r="233" spans="1:25" ht="15.6" x14ac:dyDescent="0.3">
      <c r="A233" s="24"/>
      <c r="B233" s="54" t="s">
        <v>90</v>
      </c>
      <c r="C233" s="93"/>
      <c r="D233" s="93"/>
      <c r="E233" s="93"/>
      <c r="F233" s="25"/>
      <c r="G233" s="93"/>
      <c r="H233" s="93"/>
      <c r="I233" s="93"/>
      <c r="J233" s="93"/>
      <c r="K233" s="93"/>
      <c r="L233" s="93"/>
      <c r="M233" s="93"/>
      <c r="N233" s="93"/>
      <c r="O233" s="93"/>
      <c r="P233" s="93"/>
      <c r="Q233" s="93"/>
      <c r="R233" s="54">
        <v>10366</v>
      </c>
      <c r="S233" s="94">
        <f t="shared" ref="S233:S240" si="1">R233/$R$242</f>
        <v>0.99434052757793767</v>
      </c>
      <c r="T233" s="53">
        <v>1387544</v>
      </c>
      <c r="U233" s="132">
        <f t="shared" ref="U233:U240" si="2">T233/$T$242</f>
        <v>0.99377753840335992</v>
      </c>
      <c r="V233" s="79"/>
      <c r="W233" s="88"/>
      <c r="X233" s="5"/>
    </row>
    <row r="234" spans="1:25" ht="15.6" x14ac:dyDescent="0.3">
      <c r="A234" s="24"/>
      <c r="B234" s="54" t="s">
        <v>91</v>
      </c>
      <c r="C234" s="93"/>
      <c r="D234" s="93"/>
      <c r="E234" s="93"/>
      <c r="F234" s="25"/>
      <c r="G234" s="94"/>
      <c r="H234" s="93"/>
      <c r="I234" s="93"/>
      <c r="J234" s="93"/>
      <c r="K234" s="93"/>
      <c r="L234" s="93"/>
      <c r="M234" s="93"/>
      <c r="N234" s="93"/>
      <c r="O234" s="93"/>
      <c r="P234" s="93"/>
      <c r="Q234" s="93"/>
      <c r="R234" s="54">
        <v>51</v>
      </c>
      <c r="S234" s="94">
        <f t="shared" si="1"/>
        <v>4.8920863309352518E-3</v>
      </c>
      <c r="T234" s="53">
        <v>7660</v>
      </c>
      <c r="U234" s="132">
        <f t="shared" si="2"/>
        <v>5.4861942714391305E-3</v>
      </c>
      <c r="V234" s="79"/>
      <c r="W234" s="88"/>
      <c r="X234" s="5"/>
      <c r="Y234" s="109"/>
    </row>
    <row r="235" spans="1:25" ht="15.6" x14ac:dyDescent="0.3">
      <c r="A235" s="24"/>
      <c r="B235" s="54" t="s">
        <v>92</v>
      </c>
      <c r="C235" s="93"/>
      <c r="D235" s="93"/>
      <c r="E235" s="93"/>
      <c r="F235" s="25"/>
      <c r="G235" s="94"/>
      <c r="H235" s="93"/>
      <c r="I235" s="93"/>
      <c r="J235" s="93"/>
      <c r="K235" s="93"/>
      <c r="L235" s="93"/>
      <c r="M235" s="93"/>
      <c r="N235" s="93"/>
      <c r="O235" s="93"/>
      <c r="P235" s="93"/>
      <c r="Q235" s="93"/>
      <c r="R235" s="54">
        <v>5</v>
      </c>
      <c r="S235" s="94">
        <f t="shared" si="1"/>
        <v>4.7961630695443646E-4</v>
      </c>
      <c r="T235" s="53">
        <v>541</v>
      </c>
      <c r="U235" s="132">
        <f t="shared" si="2"/>
        <v>3.8747142308728061E-4</v>
      </c>
      <c r="V235" s="79"/>
      <c r="W235" s="88"/>
      <c r="X235" s="5"/>
    </row>
    <row r="236" spans="1:25" ht="15.6" x14ac:dyDescent="0.3">
      <c r="A236" s="24"/>
      <c r="B236" s="54" t="s">
        <v>161</v>
      </c>
      <c r="C236" s="93"/>
      <c r="D236" s="93"/>
      <c r="E236" s="93"/>
      <c r="F236" s="25"/>
      <c r="G236" s="94"/>
      <c r="H236" s="93"/>
      <c r="I236" s="93"/>
      <c r="J236" s="93"/>
      <c r="K236" s="93"/>
      <c r="L236" s="93"/>
      <c r="M236" s="93"/>
      <c r="N236" s="93"/>
      <c r="O236" s="93"/>
      <c r="P236" s="93"/>
      <c r="Q236" s="93"/>
      <c r="R236" s="54">
        <v>0</v>
      </c>
      <c r="S236" s="94">
        <f t="shared" si="1"/>
        <v>0</v>
      </c>
      <c r="T236" s="53">
        <v>0</v>
      </c>
      <c r="U236" s="132">
        <f t="shared" si="2"/>
        <v>0</v>
      </c>
      <c r="V236" s="79"/>
      <c r="W236" s="88"/>
      <c r="X236" s="5"/>
      <c r="Y236" s="109"/>
    </row>
    <row r="237" spans="1:25" ht="15.6" x14ac:dyDescent="0.3">
      <c r="A237" s="24"/>
      <c r="B237" s="54" t="s">
        <v>162</v>
      </c>
      <c r="C237" s="93"/>
      <c r="D237" s="93"/>
      <c r="E237" s="93"/>
      <c r="F237" s="25"/>
      <c r="G237" s="94"/>
      <c r="H237" s="93"/>
      <c r="I237" s="93"/>
      <c r="J237" s="93"/>
      <c r="K237" s="93"/>
      <c r="L237" s="93"/>
      <c r="M237" s="93"/>
      <c r="N237" s="93"/>
      <c r="O237" s="93"/>
      <c r="P237" s="93"/>
      <c r="Q237" s="93"/>
      <c r="R237" s="54">
        <v>3</v>
      </c>
      <c r="S237" s="94">
        <f t="shared" si="1"/>
        <v>2.8776978417266187E-4</v>
      </c>
      <c r="T237" s="53">
        <v>487</v>
      </c>
      <c r="U237" s="132">
        <f t="shared" si="2"/>
        <v>3.4879590211368887E-4</v>
      </c>
      <c r="V237" s="79"/>
      <c r="W237" s="88"/>
      <c r="X237" s="5"/>
    </row>
    <row r="238" spans="1:25" ht="15.6" x14ac:dyDescent="0.3">
      <c r="A238" s="24"/>
      <c r="B238" s="54" t="s">
        <v>163</v>
      </c>
      <c r="C238" s="93"/>
      <c r="D238" s="93"/>
      <c r="E238" s="93"/>
      <c r="F238" s="25"/>
      <c r="G238" s="94"/>
      <c r="H238" s="93"/>
      <c r="I238" s="93"/>
      <c r="J238" s="93"/>
      <c r="K238" s="93"/>
      <c r="L238" s="93"/>
      <c r="M238" s="93"/>
      <c r="N238" s="93"/>
      <c r="O238" s="93"/>
      <c r="P238" s="93"/>
      <c r="Q238" s="93"/>
      <c r="R238" s="54">
        <v>0</v>
      </c>
      <c r="S238" s="94">
        <f t="shared" si="1"/>
        <v>0</v>
      </c>
      <c r="T238" s="53">
        <v>0</v>
      </c>
      <c r="U238" s="132">
        <f t="shared" si="2"/>
        <v>0</v>
      </c>
      <c r="V238" s="79"/>
      <c r="W238" s="88"/>
      <c r="X238" s="5"/>
      <c r="Y238" s="109"/>
    </row>
    <row r="239" spans="1:25" ht="15.6" x14ac:dyDescent="0.3">
      <c r="A239" s="24"/>
      <c r="B239" s="54" t="s">
        <v>164</v>
      </c>
      <c r="C239" s="93"/>
      <c r="D239" s="93"/>
      <c r="E239" s="93"/>
      <c r="F239" s="25"/>
      <c r="G239" s="94"/>
      <c r="H239" s="93"/>
      <c r="I239" s="93"/>
      <c r="J239" s="93"/>
      <c r="K239" s="93"/>
      <c r="L239" s="93"/>
      <c r="M239" s="93"/>
      <c r="N239" s="93"/>
      <c r="O239" s="93"/>
      <c r="P239" s="93"/>
      <c r="Q239" s="93"/>
      <c r="R239" s="54">
        <v>0</v>
      </c>
      <c r="S239" s="94">
        <f t="shared" si="1"/>
        <v>0</v>
      </c>
      <c r="T239" s="53">
        <v>0</v>
      </c>
      <c r="U239" s="132">
        <f t="shared" si="2"/>
        <v>0</v>
      </c>
      <c r="V239" s="79"/>
      <c r="W239" s="88"/>
      <c r="X239" s="5"/>
    </row>
    <row r="240" spans="1:25" ht="15.6" x14ac:dyDescent="0.3">
      <c r="A240" s="24"/>
      <c r="B240" s="54" t="s">
        <v>165</v>
      </c>
      <c r="C240" s="93"/>
      <c r="D240" s="93"/>
      <c r="E240" s="93"/>
      <c r="F240" s="25"/>
      <c r="G240" s="94"/>
      <c r="H240" s="93"/>
      <c r="I240" s="93"/>
      <c r="J240" s="93"/>
      <c r="K240" s="93"/>
      <c r="L240" s="93"/>
      <c r="M240" s="93"/>
      <c r="N240" s="93"/>
      <c r="O240" s="93"/>
      <c r="P240" s="93"/>
      <c r="Q240" s="93"/>
      <c r="R240" s="54">
        <v>0</v>
      </c>
      <c r="S240" s="94">
        <f t="shared" si="1"/>
        <v>0</v>
      </c>
      <c r="T240" s="53">
        <v>0</v>
      </c>
      <c r="U240" s="132">
        <f t="shared" si="2"/>
        <v>0</v>
      </c>
      <c r="V240" s="79"/>
      <c r="W240" s="88"/>
      <c r="X240" s="5"/>
      <c r="Y240" s="109"/>
    </row>
    <row r="241" spans="1:24" ht="15.6" x14ac:dyDescent="0.3">
      <c r="A241" s="24"/>
      <c r="B241" s="54"/>
      <c r="C241" s="93"/>
      <c r="D241" s="93"/>
      <c r="E241" s="93"/>
      <c r="F241" s="25"/>
      <c r="G241" s="94"/>
      <c r="H241" s="93"/>
      <c r="I241" s="93"/>
      <c r="J241" s="93"/>
      <c r="K241" s="93"/>
      <c r="L241" s="93"/>
      <c r="M241" s="93"/>
      <c r="N241" s="93"/>
      <c r="O241" s="93"/>
      <c r="P241" s="93"/>
      <c r="Q241" s="93"/>
      <c r="R241" s="54"/>
      <c r="S241" s="94"/>
      <c r="T241" s="53"/>
      <c r="U241" s="132"/>
      <c r="V241" s="79"/>
      <c r="W241" s="88"/>
      <c r="X241" s="5"/>
    </row>
    <row r="242" spans="1:24" ht="15.6" x14ac:dyDescent="0.3">
      <c r="A242" s="24"/>
      <c r="B242" s="25"/>
      <c r="C242" s="25"/>
      <c r="D242" s="25"/>
      <c r="E242" s="25"/>
      <c r="F242" s="25"/>
      <c r="G242" s="25"/>
      <c r="H242" s="95"/>
      <c r="I242" s="95"/>
      <c r="J242" s="95"/>
      <c r="K242" s="95"/>
      <c r="L242" s="95"/>
      <c r="M242" s="95"/>
      <c r="N242" s="95"/>
      <c r="O242" s="95"/>
      <c r="P242" s="95"/>
      <c r="Q242" s="95"/>
      <c r="R242" s="34">
        <f>SUM(R233:R241)</f>
        <v>10425</v>
      </c>
      <c r="S242" s="132">
        <f>SUM(S233:S241)</f>
        <v>1</v>
      </c>
      <c r="T242" s="53">
        <f>SUM(T233:T241)</f>
        <v>1396232</v>
      </c>
      <c r="U242" s="132">
        <f>SUM(U233:U241)</f>
        <v>1</v>
      </c>
      <c r="V242" s="25"/>
      <c r="W242" s="25"/>
      <c r="X242" s="5"/>
    </row>
    <row r="243" spans="1:24" ht="15.6" x14ac:dyDescent="0.3">
      <c r="A243" s="24"/>
      <c r="B243" s="25"/>
      <c r="C243" s="25"/>
      <c r="D243" s="25"/>
      <c r="E243" s="25"/>
      <c r="F243" s="25"/>
      <c r="G243" s="25"/>
      <c r="H243" s="95"/>
      <c r="I243" s="95"/>
      <c r="J243" s="95"/>
      <c r="K243" s="95"/>
      <c r="L243" s="95"/>
      <c r="M243" s="95"/>
      <c r="N243" s="95"/>
      <c r="O243" s="95"/>
      <c r="P243" s="95"/>
      <c r="Q243" s="95"/>
      <c r="R243" s="34"/>
      <c r="S243" s="132"/>
      <c r="T243" s="53"/>
      <c r="U243" s="132"/>
      <c r="V243" s="25"/>
      <c r="W243" s="25"/>
      <c r="X243" s="5"/>
    </row>
    <row r="244" spans="1:24" ht="15.6" x14ac:dyDescent="0.3">
      <c r="A244" s="141"/>
      <c r="B244" s="14" t="s">
        <v>168</v>
      </c>
      <c r="C244" s="81"/>
      <c r="D244" s="81"/>
      <c r="E244" s="81"/>
      <c r="F244" s="82"/>
      <c r="G244" s="81"/>
      <c r="H244" s="17"/>
      <c r="I244" s="17"/>
      <c r="J244" s="17"/>
      <c r="K244" s="17"/>
      <c r="L244" s="17"/>
      <c r="M244" s="17"/>
      <c r="N244" s="17"/>
      <c r="O244" s="17"/>
      <c r="P244" s="17"/>
      <c r="Q244" s="17"/>
      <c r="R244" s="83" t="s">
        <v>104</v>
      </c>
      <c r="S244" s="17" t="s">
        <v>105</v>
      </c>
      <c r="T244" s="83" t="s">
        <v>113</v>
      </c>
      <c r="U244" s="17" t="s">
        <v>105</v>
      </c>
      <c r="V244" s="139"/>
      <c r="W244" s="140"/>
      <c r="X244" s="5"/>
    </row>
    <row r="245" spans="1:24" ht="15.6" x14ac:dyDescent="0.3">
      <c r="A245" s="24"/>
      <c r="B245" s="54" t="s">
        <v>90</v>
      </c>
      <c r="C245" s="93"/>
      <c r="D245" s="93"/>
      <c r="E245" s="93"/>
      <c r="F245" s="25"/>
      <c r="G245" s="93"/>
      <c r="H245" s="93"/>
      <c r="I245" s="93"/>
      <c r="J245" s="93"/>
      <c r="K245" s="93"/>
      <c r="L245" s="93"/>
      <c r="M245" s="93"/>
      <c r="N245" s="93"/>
      <c r="O245" s="93"/>
      <c r="P245" s="93"/>
      <c r="Q245" s="93"/>
      <c r="R245" s="54">
        <v>2</v>
      </c>
      <c r="S245" s="94">
        <f t="shared" ref="S245:S252" si="3">R245/$R$254</f>
        <v>0.125</v>
      </c>
      <c r="T245" s="53">
        <v>580</v>
      </c>
      <c r="U245" s="132">
        <f t="shared" ref="U245:U252" si="4">T245/$T$254</f>
        <v>0.23181454836131096</v>
      </c>
      <c r="V245" s="25"/>
      <c r="W245" s="25"/>
      <c r="X245" s="5"/>
    </row>
    <row r="246" spans="1:24" ht="15.6" x14ac:dyDescent="0.3">
      <c r="A246" s="24"/>
      <c r="B246" s="54" t="s">
        <v>91</v>
      </c>
      <c r="C246" s="93"/>
      <c r="D246" s="93"/>
      <c r="E246" s="93"/>
      <c r="F246" s="25"/>
      <c r="G246" s="94"/>
      <c r="H246" s="93"/>
      <c r="I246" s="93"/>
      <c r="J246" s="93"/>
      <c r="K246" s="93"/>
      <c r="L246" s="93"/>
      <c r="M246" s="93"/>
      <c r="N246" s="93"/>
      <c r="O246" s="93"/>
      <c r="P246" s="93"/>
      <c r="Q246" s="93"/>
      <c r="R246" s="54">
        <v>5</v>
      </c>
      <c r="S246" s="94">
        <f t="shared" si="3"/>
        <v>0.3125</v>
      </c>
      <c r="T246" s="53">
        <v>511</v>
      </c>
      <c r="U246" s="132">
        <f t="shared" si="4"/>
        <v>0.20423661071143084</v>
      </c>
      <c r="V246" s="25"/>
      <c r="W246" s="25"/>
      <c r="X246" s="5"/>
    </row>
    <row r="247" spans="1:24" ht="15.6" x14ac:dyDescent="0.3">
      <c r="A247" s="24"/>
      <c r="B247" s="54" t="s">
        <v>92</v>
      </c>
      <c r="C247" s="93"/>
      <c r="D247" s="93"/>
      <c r="E247" s="93"/>
      <c r="F247" s="25"/>
      <c r="G247" s="94"/>
      <c r="H247" s="93"/>
      <c r="I247" s="93"/>
      <c r="J247" s="93"/>
      <c r="K247" s="93"/>
      <c r="L247" s="93"/>
      <c r="M247" s="93"/>
      <c r="N247" s="93"/>
      <c r="O247" s="93"/>
      <c r="P247" s="93"/>
      <c r="Q247" s="93"/>
      <c r="R247" s="54">
        <v>1</v>
      </c>
      <c r="S247" s="94">
        <f t="shared" si="3"/>
        <v>6.25E-2</v>
      </c>
      <c r="T247" s="53">
        <v>166</v>
      </c>
      <c r="U247" s="132">
        <f t="shared" si="4"/>
        <v>6.6346922462030375E-2</v>
      </c>
      <c r="V247" s="25"/>
      <c r="W247" s="25"/>
      <c r="X247" s="5"/>
    </row>
    <row r="248" spans="1:24" ht="15.6" x14ac:dyDescent="0.3">
      <c r="A248" s="24"/>
      <c r="B248" s="54" t="s">
        <v>161</v>
      </c>
      <c r="C248" s="93"/>
      <c r="D248" s="93"/>
      <c r="E248" s="93"/>
      <c r="F248" s="25"/>
      <c r="G248" s="94"/>
      <c r="H248" s="93"/>
      <c r="I248" s="93"/>
      <c r="J248" s="93"/>
      <c r="K248" s="93"/>
      <c r="L248" s="93"/>
      <c r="M248" s="93"/>
      <c r="N248" s="93"/>
      <c r="O248" s="93"/>
      <c r="P248" s="93"/>
      <c r="Q248" s="93"/>
      <c r="R248" s="54">
        <v>0</v>
      </c>
      <c r="S248" s="94">
        <f t="shared" si="3"/>
        <v>0</v>
      </c>
      <c r="T248" s="53">
        <v>0</v>
      </c>
      <c r="U248" s="132">
        <f t="shared" si="4"/>
        <v>0</v>
      </c>
      <c r="V248" s="25"/>
      <c r="W248" s="25"/>
      <c r="X248" s="5"/>
    </row>
    <row r="249" spans="1:24" ht="15.6" x14ac:dyDescent="0.3">
      <c r="A249" s="24"/>
      <c r="B249" s="54" t="s">
        <v>162</v>
      </c>
      <c r="C249" s="93"/>
      <c r="D249" s="93"/>
      <c r="E249" s="93"/>
      <c r="F249" s="25"/>
      <c r="G249" s="94"/>
      <c r="H249" s="93"/>
      <c r="I249" s="93"/>
      <c r="J249" s="93"/>
      <c r="K249" s="93"/>
      <c r="L249" s="93"/>
      <c r="M249" s="93"/>
      <c r="N249" s="93"/>
      <c r="O249" s="93"/>
      <c r="P249" s="93"/>
      <c r="Q249" s="93"/>
      <c r="R249" s="54">
        <v>2</v>
      </c>
      <c r="S249" s="94">
        <f t="shared" si="3"/>
        <v>0.125</v>
      </c>
      <c r="T249" s="53">
        <v>332</v>
      </c>
      <c r="U249" s="132">
        <f t="shared" si="4"/>
        <v>0.13269384492406075</v>
      </c>
      <c r="V249" s="25"/>
      <c r="W249" s="25"/>
      <c r="X249" s="5"/>
    </row>
    <row r="250" spans="1:24" ht="15.6" x14ac:dyDescent="0.3">
      <c r="A250" s="24"/>
      <c r="B250" s="54" t="s">
        <v>163</v>
      </c>
      <c r="C250" s="93"/>
      <c r="D250" s="93"/>
      <c r="E250" s="93"/>
      <c r="F250" s="25"/>
      <c r="G250" s="94"/>
      <c r="H250" s="93"/>
      <c r="I250" s="93"/>
      <c r="J250" s="93"/>
      <c r="K250" s="93"/>
      <c r="L250" s="93"/>
      <c r="M250" s="93"/>
      <c r="N250" s="93"/>
      <c r="O250" s="93"/>
      <c r="P250" s="93"/>
      <c r="Q250" s="93"/>
      <c r="R250" s="54">
        <v>1</v>
      </c>
      <c r="S250" s="94">
        <f t="shared" si="3"/>
        <v>6.25E-2</v>
      </c>
      <c r="T250" s="53">
        <v>162</v>
      </c>
      <c r="U250" s="132">
        <f t="shared" si="4"/>
        <v>6.4748201438848921E-2</v>
      </c>
      <c r="V250" s="25"/>
      <c r="W250" s="25"/>
      <c r="X250" s="5"/>
    </row>
    <row r="251" spans="1:24" ht="15.6" x14ac:dyDescent="0.3">
      <c r="A251" s="24"/>
      <c r="B251" s="54" t="s">
        <v>164</v>
      </c>
      <c r="C251" s="93"/>
      <c r="D251" s="93"/>
      <c r="E251" s="93"/>
      <c r="F251" s="25"/>
      <c r="G251" s="94"/>
      <c r="H251" s="93"/>
      <c r="I251" s="93"/>
      <c r="J251" s="93"/>
      <c r="K251" s="93"/>
      <c r="L251" s="93"/>
      <c r="M251" s="93"/>
      <c r="N251" s="93"/>
      <c r="O251" s="93"/>
      <c r="P251" s="93"/>
      <c r="Q251" s="93"/>
      <c r="R251" s="54">
        <v>2</v>
      </c>
      <c r="S251" s="94">
        <f t="shared" si="3"/>
        <v>0.125</v>
      </c>
      <c r="T251" s="53">
        <v>154</v>
      </c>
      <c r="U251" s="132">
        <f t="shared" si="4"/>
        <v>6.1550759392486012E-2</v>
      </c>
      <c r="V251" s="25"/>
      <c r="W251" s="25"/>
      <c r="X251" s="5"/>
    </row>
    <row r="252" spans="1:24" ht="15.6" x14ac:dyDescent="0.3">
      <c r="A252" s="24"/>
      <c r="B252" s="54" t="s">
        <v>165</v>
      </c>
      <c r="C252" s="93"/>
      <c r="D252" s="93"/>
      <c r="E252" s="93"/>
      <c r="F252" s="25"/>
      <c r="G252" s="94"/>
      <c r="H252" s="93"/>
      <c r="I252" s="93"/>
      <c r="J252" s="93"/>
      <c r="K252" s="93"/>
      <c r="L252" s="93"/>
      <c r="M252" s="93"/>
      <c r="N252" s="93"/>
      <c r="O252" s="93"/>
      <c r="P252" s="93"/>
      <c r="Q252" s="93"/>
      <c r="R252" s="54">
        <v>3</v>
      </c>
      <c r="S252" s="94">
        <f t="shared" si="3"/>
        <v>0.1875</v>
      </c>
      <c r="T252" s="53">
        <v>597</v>
      </c>
      <c r="U252" s="132">
        <f t="shared" si="4"/>
        <v>0.23860911270983212</v>
      </c>
      <c r="V252" s="25"/>
      <c r="W252" s="25"/>
      <c r="X252" s="5"/>
    </row>
    <row r="253" spans="1:24" ht="15.6" x14ac:dyDescent="0.3">
      <c r="A253" s="24"/>
      <c r="B253" s="54"/>
      <c r="C253" s="93"/>
      <c r="D253" s="93"/>
      <c r="E253" s="93"/>
      <c r="F253" s="25"/>
      <c r="G253" s="94"/>
      <c r="H253" s="93"/>
      <c r="I253" s="93"/>
      <c r="J253" s="93"/>
      <c r="K253" s="93"/>
      <c r="L253" s="93"/>
      <c r="M253" s="93"/>
      <c r="N253" s="93"/>
      <c r="O253" s="93"/>
      <c r="P253" s="93"/>
      <c r="Q253" s="93"/>
      <c r="R253" s="54"/>
      <c r="S253" s="94"/>
      <c r="T253" s="53"/>
      <c r="U253" s="132"/>
      <c r="V253" s="25"/>
      <c r="W253" s="25"/>
      <c r="X253" s="5"/>
    </row>
    <row r="254" spans="1:24" ht="15.6" x14ac:dyDescent="0.3">
      <c r="A254" s="24"/>
      <c r="B254" s="25"/>
      <c r="C254" s="25"/>
      <c r="D254" s="25"/>
      <c r="E254" s="25"/>
      <c r="F254" s="25"/>
      <c r="G254" s="25"/>
      <c r="H254" s="95"/>
      <c r="I254" s="95"/>
      <c r="J254" s="95"/>
      <c r="K254" s="95"/>
      <c r="L254" s="95"/>
      <c r="M254" s="95"/>
      <c r="N254" s="95"/>
      <c r="O254" s="95"/>
      <c r="P254" s="95"/>
      <c r="Q254" s="95"/>
      <c r="R254" s="34">
        <f>SUM(R245:R253)</f>
        <v>16</v>
      </c>
      <c r="S254" s="132">
        <f>SUM(S245:S253)</f>
        <v>1</v>
      </c>
      <c r="T254" s="53">
        <f>SUM(T245:T253)</f>
        <v>2502</v>
      </c>
      <c r="U254" s="132">
        <f>SUM(U245:U253)</f>
        <v>1</v>
      </c>
      <c r="V254" s="25"/>
      <c r="W254" s="25"/>
      <c r="X254" s="5"/>
    </row>
    <row r="255" spans="1:24" ht="15.6" x14ac:dyDescent="0.3">
      <c r="A255" s="24"/>
      <c r="B255" s="25"/>
      <c r="C255" s="25"/>
      <c r="D255" s="25"/>
      <c r="E255" s="25"/>
      <c r="F255" s="25"/>
      <c r="G255" s="25"/>
      <c r="H255" s="95"/>
      <c r="I255" s="95"/>
      <c r="J255" s="95"/>
      <c r="K255" s="95"/>
      <c r="L255" s="95"/>
      <c r="M255" s="95"/>
      <c r="N255" s="95"/>
      <c r="O255" s="95"/>
      <c r="P255" s="95"/>
      <c r="Q255" s="95"/>
      <c r="R255" s="34"/>
      <c r="S255" s="132"/>
      <c r="T255" s="53"/>
      <c r="U255" s="132"/>
      <c r="V255" s="25"/>
      <c r="W255" s="25"/>
      <c r="X255" s="5"/>
    </row>
    <row r="256" spans="1:24" ht="15.6" x14ac:dyDescent="0.3">
      <c r="A256" s="141"/>
      <c r="B256" s="14" t="s">
        <v>169</v>
      </c>
      <c r="C256" s="139"/>
      <c r="D256" s="139"/>
      <c r="E256" s="139"/>
      <c r="F256" s="139"/>
      <c r="G256" s="139"/>
      <c r="H256" s="145"/>
      <c r="I256" s="145"/>
      <c r="J256" s="145"/>
      <c r="K256" s="145"/>
      <c r="L256" s="145"/>
      <c r="M256" s="145"/>
      <c r="N256" s="145"/>
      <c r="O256" s="145"/>
      <c r="P256" s="145"/>
      <c r="Q256" s="145"/>
      <c r="R256" s="83" t="s">
        <v>104</v>
      </c>
      <c r="S256" s="17" t="s">
        <v>105</v>
      </c>
      <c r="T256" s="83" t="s">
        <v>113</v>
      </c>
      <c r="U256" s="17" t="s">
        <v>105</v>
      </c>
      <c r="V256" s="139"/>
      <c r="W256" s="140"/>
      <c r="X256" s="5"/>
    </row>
    <row r="257" spans="1:24" ht="15.6" x14ac:dyDescent="0.3">
      <c r="A257" s="24"/>
      <c r="B257" s="54" t="s">
        <v>90</v>
      </c>
      <c r="C257" s="25"/>
      <c r="D257" s="25"/>
      <c r="E257" s="25"/>
      <c r="F257" s="25"/>
      <c r="G257" s="25"/>
      <c r="H257" s="95"/>
      <c r="I257" s="95"/>
      <c r="J257" s="95"/>
      <c r="K257" s="95"/>
      <c r="L257" s="95"/>
      <c r="M257" s="95"/>
      <c r="N257" s="95"/>
      <c r="O257" s="95"/>
      <c r="P257" s="95"/>
      <c r="Q257" s="95"/>
      <c r="R257" s="54">
        <v>0</v>
      </c>
      <c r="S257" s="94">
        <v>0</v>
      </c>
      <c r="T257" s="53">
        <v>0</v>
      </c>
      <c r="U257" s="132">
        <v>0</v>
      </c>
      <c r="V257" s="25"/>
      <c r="W257" s="25"/>
      <c r="X257" s="5"/>
    </row>
    <row r="258" spans="1:24" ht="15.6" x14ac:dyDescent="0.3">
      <c r="A258" s="24"/>
      <c r="B258" s="54" t="s">
        <v>91</v>
      </c>
      <c r="C258" s="25"/>
      <c r="D258" s="25"/>
      <c r="E258" s="25"/>
      <c r="F258" s="25"/>
      <c r="G258" s="25"/>
      <c r="H258" s="95"/>
      <c r="I258" s="95"/>
      <c r="J258" s="95"/>
      <c r="K258" s="95"/>
      <c r="L258" s="95"/>
      <c r="M258" s="95"/>
      <c r="N258" s="95"/>
      <c r="O258" s="95"/>
      <c r="P258" s="95"/>
      <c r="Q258" s="95"/>
      <c r="R258" s="54">
        <v>0</v>
      </c>
      <c r="S258" s="94">
        <v>0</v>
      </c>
      <c r="T258" s="53">
        <v>0</v>
      </c>
      <c r="U258" s="132">
        <v>0</v>
      </c>
      <c r="V258" s="25"/>
      <c r="W258" s="25"/>
      <c r="X258" s="5"/>
    </row>
    <row r="259" spans="1:24" ht="15.6" x14ac:dyDescent="0.3">
      <c r="A259" s="24"/>
      <c r="B259" s="54" t="s">
        <v>92</v>
      </c>
      <c r="C259" s="25"/>
      <c r="D259" s="25"/>
      <c r="E259" s="25"/>
      <c r="F259" s="25"/>
      <c r="G259" s="25"/>
      <c r="H259" s="95"/>
      <c r="I259" s="95"/>
      <c r="J259" s="95"/>
      <c r="K259" s="95"/>
      <c r="L259" s="95"/>
      <c r="M259" s="95"/>
      <c r="N259" s="95"/>
      <c r="O259" s="95"/>
      <c r="P259" s="95"/>
      <c r="Q259" s="95"/>
      <c r="R259" s="54">
        <v>0</v>
      </c>
      <c r="S259" s="94">
        <v>0</v>
      </c>
      <c r="T259" s="53">
        <v>0</v>
      </c>
      <c r="U259" s="132">
        <v>0</v>
      </c>
      <c r="V259" s="25"/>
      <c r="W259" s="25"/>
      <c r="X259" s="5"/>
    </row>
    <row r="260" spans="1:24" ht="15.6" x14ac:dyDescent="0.3">
      <c r="A260" s="24"/>
      <c r="B260" s="54" t="s">
        <v>161</v>
      </c>
      <c r="C260" s="25"/>
      <c r="D260" s="25"/>
      <c r="E260" s="25"/>
      <c r="F260" s="25"/>
      <c r="G260" s="25"/>
      <c r="H260" s="95"/>
      <c r="I260" s="95"/>
      <c r="J260" s="95"/>
      <c r="K260" s="95"/>
      <c r="L260" s="95"/>
      <c r="M260" s="95"/>
      <c r="N260" s="95"/>
      <c r="O260" s="95"/>
      <c r="P260" s="95"/>
      <c r="Q260" s="95"/>
      <c r="R260" s="54">
        <v>0</v>
      </c>
      <c r="S260" s="94">
        <v>0</v>
      </c>
      <c r="T260" s="53">
        <v>0</v>
      </c>
      <c r="U260" s="132">
        <v>0</v>
      </c>
      <c r="V260" s="25"/>
      <c r="W260" s="25"/>
      <c r="X260" s="5"/>
    </row>
    <row r="261" spans="1:24" ht="15.6" x14ac:dyDescent="0.3">
      <c r="A261" s="24"/>
      <c r="B261" s="54" t="s">
        <v>162</v>
      </c>
      <c r="C261" s="25"/>
      <c r="D261" s="25"/>
      <c r="E261" s="25"/>
      <c r="F261" s="25"/>
      <c r="G261" s="25"/>
      <c r="H261" s="95"/>
      <c r="I261" s="95"/>
      <c r="J261" s="95"/>
      <c r="K261" s="95"/>
      <c r="L261" s="95"/>
      <c r="M261" s="95"/>
      <c r="N261" s="95"/>
      <c r="O261" s="95"/>
      <c r="P261" s="95"/>
      <c r="Q261" s="95"/>
      <c r="R261" s="54">
        <v>0</v>
      </c>
      <c r="S261" s="94">
        <v>0</v>
      </c>
      <c r="T261" s="53">
        <v>0</v>
      </c>
      <c r="U261" s="132">
        <v>0</v>
      </c>
      <c r="V261" s="25"/>
      <c r="W261" s="25"/>
      <c r="X261" s="5"/>
    </row>
    <row r="262" spans="1:24" ht="15.6" x14ac:dyDescent="0.3">
      <c r="A262" s="24"/>
      <c r="B262" s="54" t="s">
        <v>163</v>
      </c>
      <c r="C262" s="25"/>
      <c r="D262" s="25"/>
      <c r="E262" s="25"/>
      <c r="F262" s="25"/>
      <c r="G262" s="25"/>
      <c r="H262" s="95"/>
      <c r="I262" s="95"/>
      <c r="J262" s="95"/>
      <c r="K262" s="95"/>
      <c r="L262" s="95"/>
      <c r="M262" s="95"/>
      <c r="N262" s="95"/>
      <c r="O262" s="95"/>
      <c r="P262" s="95"/>
      <c r="Q262" s="95"/>
      <c r="R262" s="54">
        <v>0</v>
      </c>
      <c r="S262" s="94">
        <v>0</v>
      </c>
      <c r="T262" s="53">
        <v>0</v>
      </c>
      <c r="U262" s="132">
        <v>0</v>
      </c>
      <c r="V262" s="25"/>
      <c r="W262" s="25"/>
      <c r="X262" s="5"/>
    </row>
    <row r="263" spans="1:24" ht="15.6" x14ac:dyDescent="0.3">
      <c r="A263" s="24"/>
      <c r="B263" s="54" t="s">
        <v>164</v>
      </c>
      <c r="C263" s="25"/>
      <c r="D263" s="25"/>
      <c r="E263" s="25"/>
      <c r="F263" s="25"/>
      <c r="G263" s="25"/>
      <c r="H263" s="95"/>
      <c r="I263" s="95"/>
      <c r="J263" s="95"/>
      <c r="K263" s="95"/>
      <c r="L263" s="95"/>
      <c r="M263" s="95"/>
      <c r="N263" s="95"/>
      <c r="O263" s="95"/>
      <c r="P263" s="95"/>
      <c r="Q263" s="95"/>
      <c r="R263" s="54">
        <v>0</v>
      </c>
      <c r="S263" s="94">
        <v>0</v>
      </c>
      <c r="T263" s="53">
        <v>0</v>
      </c>
      <c r="U263" s="132">
        <v>0</v>
      </c>
      <c r="V263" s="25"/>
      <c r="W263" s="25"/>
      <c r="X263" s="5"/>
    </row>
    <row r="264" spans="1:24" ht="15.6" x14ac:dyDescent="0.3">
      <c r="A264" s="24"/>
      <c r="B264" s="54" t="s">
        <v>165</v>
      </c>
      <c r="C264" s="25"/>
      <c r="D264" s="25"/>
      <c r="E264" s="25"/>
      <c r="F264" s="25"/>
      <c r="G264" s="25"/>
      <c r="H264" s="95"/>
      <c r="I264" s="95"/>
      <c r="J264" s="95"/>
      <c r="K264" s="95"/>
      <c r="L264" s="95"/>
      <c r="M264" s="95"/>
      <c r="N264" s="95"/>
      <c r="O264" s="95"/>
      <c r="P264" s="95"/>
      <c r="Q264" s="95"/>
      <c r="R264" s="54">
        <v>0</v>
      </c>
      <c r="S264" s="94">
        <v>0</v>
      </c>
      <c r="T264" s="53">
        <v>0</v>
      </c>
      <c r="U264" s="132">
        <v>0</v>
      </c>
      <c r="V264" s="25"/>
      <c r="W264" s="25"/>
      <c r="X264" s="5"/>
    </row>
    <row r="265" spans="1:24" ht="15.6" x14ac:dyDescent="0.3">
      <c r="A265" s="24"/>
      <c r="B265" s="54"/>
      <c r="C265" s="25"/>
      <c r="D265" s="25"/>
      <c r="E265" s="25"/>
      <c r="F265" s="25"/>
      <c r="G265" s="25"/>
      <c r="H265" s="95"/>
      <c r="I265" s="95"/>
      <c r="J265" s="95"/>
      <c r="K265" s="95"/>
      <c r="L265" s="95"/>
      <c r="M265" s="95"/>
      <c r="N265" s="95"/>
      <c r="O265" s="95"/>
      <c r="P265" s="95"/>
      <c r="Q265" s="95"/>
      <c r="R265" s="54"/>
      <c r="S265" s="94"/>
      <c r="T265" s="53"/>
      <c r="U265" s="132"/>
      <c r="V265" s="25"/>
      <c r="W265" s="25"/>
      <c r="X265" s="5"/>
    </row>
    <row r="266" spans="1:24" ht="15.6" x14ac:dyDescent="0.3">
      <c r="A266" s="24"/>
      <c r="B266" s="25" t="s">
        <v>119</v>
      </c>
      <c r="C266" s="25"/>
      <c r="D266" s="25"/>
      <c r="E266" s="25"/>
      <c r="F266" s="25"/>
      <c r="G266" s="25"/>
      <c r="H266" s="95"/>
      <c r="I266" s="95"/>
      <c r="J266" s="95"/>
      <c r="K266" s="95"/>
      <c r="L266" s="95"/>
      <c r="M266" s="95"/>
      <c r="N266" s="95"/>
      <c r="O266" s="95"/>
      <c r="P266" s="95"/>
      <c r="Q266" s="95"/>
      <c r="R266" s="34">
        <f>SUM(R257:R264)</f>
        <v>0</v>
      </c>
      <c r="S266" s="94">
        <f>SUM(S257:S264)</f>
        <v>0</v>
      </c>
      <c r="T266" s="53">
        <f>SUM(T257:T264)</f>
        <v>0</v>
      </c>
      <c r="U266" s="132">
        <f>SUM(U257:U264)</f>
        <v>0</v>
      </c>
      <c r="V266" s="25"/>
      <c r="W266" s="25"/>
      <c r="X266" s="5"/>
    </row>
    <row r="267" spans="1:24" ht="15.6" x14ac:dyDescent="0.3">
      <c r="A267" s="24"/>
      <c r="B267" s="25"/>
      <c r="C267" s="25"/>
      <c r="D267" s="25"/>
      <c r="E267" s="25"/>
      <c r="F267" s="25"/>
      <c r="G267" s="25"/>
      <c r="H267" s="95"/>
      <c r="I267" s="95"/>
      <c r="J267" s="95"/>
      <c r="K267" s="95"/>
      <c r="L267" s="95"/>
      <c r="M267" s="95"/>
      <c r="N267" s="95"/>
      <c r="O267" s="95"/>
      <c r="P267" s="95"/>
      <c r="Q267" s="95"/>
      <c r="R267" s="34"/>
      <c r="S267" s="132"/>
      <c r="T267" s="53"/>
      <c r="U267" s="132"/>
      <c r="V267" s="25"/>
      <c r="W267" s="25"/>
      <c r="X267" s="5"/>
    </row>
    <row r="268" spans="1:24" ht="15.6" x14ac:dyDescent="0.3">
      <c r="A268" s="24"/>
      <c r="B268" s="142" t="s">
        <v>170</v>
      </c>
      <c r="C268" s="25"/>
      <c r="D268" s="25"/>
      <c r="E268" s="25"/>
      <c r="F268" s="25"/>
      <c r="G268" s="25"/>
      <c r="H268" s="95"/>
      <c r="I268" s="95"/>
      <c r="J268" s="95"/>
      <c r="K268" s="95"/>
      <c r="L268" s="95"/>
      <c r="M268" s="95"/>
      <c r="N268" s="95"/>
      <c r="O268" s="95"/>
      <c r="P268" s="95"/>
      <c r="Q268" s="95"/>
      <c r="R268" s="161">
        <f>R266+R254+R242</f>
        <v>10441</v>
      </c>
      <c r="S268" s="143"/>
      <c r="T268" s="144">
        <f>+T266+T254+T242</f>
        <v>1398734</v>
      </c>
      <c r="U268" s="143"/>
      <c r="V268" s="25"/>
      <c r="W268" s="25"/>
      <c r="X268" s="5"/>
    </row>
    <row r="269" spans="1:24" ht="15.6" x14ac:dyDescent="0.3">
      <c r="A269" s="24"/>
      <c r="B269" s="25"/>
      <c r="C269" s="25"/>
      <c r="D269" s="25"/>
      <c r="E269" s="25"/>
      <c r="F269" s="25"/>
      <c r="G269" s="25"/>
      <c r="H269" s="95"/>
      <c r="I269" s="95"/>
      <c r="J269" s="95"/>
      <c r="K269" s="95"/>
      <c r="L269" s="95"/>
      <c r="M269" s="95"/>
      <c r="N269" s="95"/>
      <c r="O269" s="95"/>
      <c r="P269" s="95"/>
      <c r="Q269" s="95"/>
      <c r="R269" s="95"/>
      <c r="S269" s="95"/>
      <c r="T269" s="53"/>
      <c r="U269" s="95"/>
      <c r="V269" s="25"/>
      <c r="W269" s="25"/>
      <c r="X269" s="5"/>
    </row>
    <row r="270" spans="1:24" ht="15.6" x14ac:dyDescent="0.3">
      <c r="A270" s="6"/>
      <c r="B270" s="8"/>
      <c r="C270" s="8"/>
      <c r="D270" s="8"/>
      <c r="E270" s="8"/>
      <c r="F270" s="8"/>
      <c r="G270" s="8"/>
      <c r="H270" s="96"/>
      <c r="I270" s="96"/>
      <c r="J270" s="96"/>
      <c r="K270" s="96"/>
      <c r="L270" s="96"/>
      <c r="M270" s="96"/>
      <c r="N270" s="96"/>
      <c r="O270" s="96"/>
      <c r="P270" s="96"/>
      <c r="Q270" s="96"/>
      <c r="R270" s="96"/>
      <c r="S270" s="96"/>
      <c r="T270" s="97"/>
      <c r="U270" s="96"/>
      <c r="V270" s="8"/>
      <c r="W270" s="8"/>
      <c r="X270" s="5"/>
    </row>
    <row r="271" spans="1:24" ht="15.6" x14ac:dyDescent="0.3">
      <c r="A271" s="167"/>
      <c r="B271" s="14" t="s">
        <v>93</v>
      </c>
      <c r="C271" s="15"/>
      <c r="D271" s="15"/>
      <c r="E271" s="15"/>
      <c r="F271" s="17" t="s">
        <v>99</v>
      </c>
      <c r="G271" s="15"/>
      <c r="H271" s="14" t="s">
        <v>101</v>
      </c>
      <c r="I271" s="162"/>
      <c r="J271" s="162"/>
      <c r="K271" s="162"/>
      <c r="L271" s="162"/>
      <c r="M271" s="162"/>
      <c r="N271" s="162"/>
      <c r="O271" s="162"/>
      <c r="P271" s="162"/>
      <c r="Q271" s="162"/>
      <c r="R271" s="162"/>
      <c r="S271" s="162"/>
      <c r="T271" s="162"/>
      <c r="U271" s="162"/>
      <c r="V271" s="162"/>
      <c r="W271" s="162"/>
      <c r="X271" s="5"/>
    </row>
    <row r="272" spans="1:24" ht="15.6" x14ac:dyDescent="0.3">
      <c r="A272" s="167"/>
      <c r="B272" s="162"/>
      <c r="C272" s="8"/>
      <c r="D272" s="8"/>
      <c r="E272" s="8"/>
      <c r="F272" s="8"/>
      <c r="G272" s="8"/>
      <c r="H272" s="8"/>
      <c r="I272" s="162"/>
      <c r="J272" s="162"/>
      <c r="K272" s="162"/>
      <c r="L272" s="162"/>
      <c r="M272" s="162"/>
      <c r="N272" s="162"/>
      <c r="O272" s="162"/>
      <c r="P272" s="162"/>
      <c r="Q272" s="162"/>
      <c r="R272" s="162"/>
      <c r="S272" s="162"/>
      <c r="T272" s="162"/>
      <c r="U272" s="162"/>
      <c r="V272" s="162"/>
      <c r="W272" s="162"/>
      <c r="X272" s="5"/>
    </row>
    <row r="273" spans="1:24" ht="15.6" x14ac:dyDescent="0.3">
      <c r="A273" s="167"/>
      <c r="B273" s="13" t="s">
        <v>94</v>
      </c>
      <c r="C273" s="13"/>
      <c r="D273" s="13"/>
      <c r="E273" s="13"/>
      <c r="F273" s="130" t="s">
        <v>153</v>
      </c>
      <c r="G273" s="13"/>
      <c r="H273" s="13" t="s">
        <v>157</v>
      </c>
      <c r="I273" s="162"/>
      <c r="J273" s="162"/>
      <c r="K273" s="162"/>
      <c r="L273" s="162"/>
      <c r="M273" s="162"/>
      <c r="N273" s="162"/>
      <c r="O273" s="162"/>
      <c r="P273" s="162"/>
      <c r="Q273" s="162"/>
      <c r="R273" s="162"/>
      <c r="S273" s="162"/>
      <c r="T273" s="162"/>
      <c r="U273" s="162"/>
      <c r="V273" s="162"/>
      <c r="W273" s="162"/>
      <c r="X273" s="5"/>
    </row>
    <row r="274" spans="1:24" ht="15.6" x14ac:dyDescent="0.3">
      <c r="A274" s="167"/>
      <c r="B274" s="13" t="s">
        <v>277</v>
      </c>
      <c r="C274" s="13"/>
      <c r="D274" s="13"/>
      <c r="E274" s="13"/>
      <c r="F274" s="130" t="s">
        <v>278</v>
      </c>
      <c r="G274" s="13"/>
      <c r="H274" s="13" t="s">
        <v>279</v>
      </c>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95</v>
      </c>
      <c r="C275" s="13"/>
      <c r="D275" s="13"/>
      <c r="E275" s="13"/>
      <c r="F275" s="130" t="s">
        <v>152</v>
      </c>
      <c r="G275" s="13"/>
      <c r="H275" s="13" t="s">
        <v>158</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c r="C276" s="13"/>
      <c r="D276" s="13"/>
      <c r="E276" s="13"/>
      <c r="F276" s="13"/>
      <c r="G276" s="99"/>
      <c r="H276" s="162"/>
      <c r="I276" s="162"/>
      <c r="J276" s="162"/>
      <c r="K276" s="162"/>
      <c r="L276" s="162"/>
      <c r="M276" s="162"/>
      <c r="N276" s="162"/>
      <c r="O276" s="162"/>
      <c r="P276" s="162"/>
      <c r="Q276" s="162"/>
      <c r="R276" s="162"/>
      <c r="S276" s="162"/>
      <c r="T276" s="162"/>
      <c r="U276" s="162"/>
      <c r="V276" s="162"/>
      <c r="W276" s="162"/>
      <c r="X276" s="5"/>
    </row>
    <row r="277" spans="1:24" ht="18" thickBot="1" x14ac:dyDescent="0.35">
      <c r="A277" s="167"/>
      <c r="B277" s="49" t="str">
        <f>B194</f>
        <v>PM12 INVESTOR REPORT QUARTER ENDING JULY 2007</v>
      </c>
      <c r="C277" s="13"/>
      <c r="D277" s="13"/>
      <c r="E277" s="13"/>
      <c r="F277" s="13"/>
      <c r="G277" s="99"/>
      <c r="H277" s="162"/>
      <c r="I277" s="162"/>
      <c r="J277" s="162"/>
      <c r="K277" s="162"/>
      <c r="L277" s="162"/>
      <c r="M277" s="162"/>
      <c r="N277" s="162"/>
      <c r="O277" s="162"/>
      <c r="P277" s="162"/>
      <c r="Q277" s="162"/>
      <c r="R277" s="162"/>
      <c r="S277" s="162"/>
      <c r="T277" s="162"/>
      <c r="U277" s="162"/>
      <c r="V277" s="162"/>
      <c r="W277" s="162"/>
      <c r="X277" s="5"/>
    </row>
    <row r="278" spans="1:24" x14ac:dyDescent="0.25">
      <c r="A278" s="100"/>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row>
  </sheetData>
  <phoneticPr fontId="0" type="noConversion"/>
  <hyperlinks>
    <hyperlink ref="P230" r:id="rId1" xr:uid="{00000000-0004-0000-0300-000000000000}"/>
    <hyperlink ref="I9" r:id="rId2" xr:uid="{00000000-0004-0000-03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5" max="14" man="1"/>
    <brk id="194" max="14" man="1"/>
  </rowBreaks>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2D2926"/>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0.66149999999999998</v>
      </c>
      <c r="T16" s="381" t="s">
        <v>145</v>
      </c>
      <c r="U16" s="380">
        <v>0.33850000000000002</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42600</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338</v>
      </c>
      <c r="E27" s="285"/>
      <c r="F27" s="285" t="s">
        <v>317</v>
      </c>
      <c r="G27" s="285"/>
      <c r="H27" s="285" t="s">
        <v>317</v>
      </c>
      <c r="I27" s="285"/>
      <c r="J27" s="285" t="s">
        <v>317</v>
      </c>
      <c r="K27" s="285"/>
      <c r="L27" s="285" t="s">
        <v>149</v>
      </c>
      <c r="M27" s="285"/>
      <c r="N27" s="285" t="s">
        <v>149</v>
      </c>
      <c r="O27" s="285"/>
      <c r="P27" s="285" t="s">
        <v>337</v>
      </c>
      <c r="Q27" s="285"/>
      <c r="R27" s="285" t="s">
        <v>337</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148</v>
      </c>
      <c r="M28" s="285"/>
      <c r="N28" s="285" t="s">
        <v>148</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731659.65</v>
      </c>
      <c r="E32" s="289"/>
      <c r="F32" s="290">
        <f>F31*F38</f>
        <v>70727.375</v>
      </c>
      <c r="G32" s="290"/>
      <c r="H32" s="295">
        <f>H31*H38</f>
        <v>119504.875</v>
      </c>
      <c r="I32" s="295"/>
      <c r="J32" s="294">
        <f>J31*J38</f>
        <v>151697.43410000001</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715063.35</v>
      </c>
      <c r="E33" s="301"/>
      <c r="F33" s="303">
        <f>F37*F31</f>
        <v>69123.065999999992</v>
      </c>
      <c r="G33" s="303"/>
      <c r="H33" s="384">
        <f>H31*H37</f>
        <v>116794.14599999999</v>
      </c>
      <c r="I33" s="384"/>
      <c r="J33" s="383">
        <f>J37*J31</f>
        <v>148256.46789999999</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397640.92326270003</v>
      </c>
      <c r="E35" s="289"/>
      <c r="F35" s="290">
        <f>F34*F38</f>
        <v>70727.375</v>
      </c>
      <c r="G35" s="290"/>
      <c r="H35" s="290">
        <f>H34*H38</f>
        <v>82417.390650000001</v>
      </c>
      <c r="I35" s="290"/>
      <c r="J35" s="290">
        <f>J34*J38</f>
        <v>82444.384908200009</v>
      </c>
      <c r="K35" s="290"/>
      <c r="L35" s="290">
        <f>+L34</f>
        <v>25000</v>
      </c>
      <c r="M35" s="290"/>
      <c r="N35" s="290">
        <f>+N34</f>
        <v>86897</v>
      </c>
      <c r="O35" s="290"/>
      <c r="P35" s="290">
        <f>+P34</f>
        <v>17000</v>
      </c>
      <c r="Q35" s="290"/>
      <c r="R35" s="290">
        <f>+R34</f>
        <v>73103</v>
      </c>
      <c r="S35" s="290"/>
      <c r="T35" s="290"/>
      <c r="U35" s="291"/>
      <c r="V35" s="290">
        <f>SUM(C35:R35)</f>
        <v>835230.07382090006</v>
      </c>
      <c r="W35" s="292"/>
      <c r="X35" s="5"/>
    </row>
    <row r="36" spans="1:24" ht="15.6" x14ac:dyDescent="0.3">
      <c r="A36" s="283"/>
      <c r="B36" s="288" t="s">
        <v>295</v>
      </c>
      <c r="C36" s="301"/>
      <c r="D36" s="303">
        <f>D34*D37</f>
        <v>388621.19933129998</v>
      </c>
      <c r="E36" s="301"/>
      <c r="F36" s="303">
        <f>F34*F37</f>
        <v>69123.065999999992</v>
      </c>
      <c r="G36" s="303"/>
      <c r="H36" s="303">
        <f>H34*H37</f>
        <v>80547.917032800004</v>
      </c>
      <c r="I36" s="303"/>
      <c r="J36" s="303">
        <f>J34*J37</f>
        <v>80574.291695799999</v>
      </c>
      <c r="K36" s="303"/>
      <c r="L36" s="303">
        <f>+L34</f>
        <v>25000</v>
      </c>
      <c r="M36" s="303"/>
      <c r="N36" s="303">
        <f>+N34</f>
        <v>86897</v>
      </c>
      <c r="O36" s="303"/>
      <c r="P36" s="303">
        <f>+P34</f>
        <v>17000</v>
      </c>
      <c r="Q36" s="303"/>
      <c r="R36" s="303">
        <f>+R34</f>
        <v>73103</v>
      </c>
      <c r="S36" s="302"/>
      <c r="T36" s="302"/>
      <c r="U36" s="291"/>
      <c r="V36" s="303">
        <f>SUM(C36:R36)</f>
        <v>820866.47405990004</v>
      </c>
      <c r="W36" s="292"/>
      <c r="X36" s="5"/>
    </row>
    <row r="37" spans="1:24" ht="15.6" x14ac:dyDescent="0.3">
      <c r="A37" s="278"/>
      <c r="B37" s="304" t="s">
        <v>135</v>
      </c>
      <c r="C37" s="305"/>
      <c r="D37" s="306">
        <v>0.47670889999999999</v>
      </c>
      <c r="E37" s="307"/>
      <c r="F37" s="306">
        <v>0.47671079999999999</v>
      </c>
      <c r="G37" s="306"/>
      <c r="H37" s="306">
        <v>0.47671079999999999</v>
      </c>
      <c r="I37" s="306"/>
      <c r="J37" s="306">
        <v>0.47670889999999999</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0.48777310000000001</v>
      </c>
      <c r="E38" s="307"/>
      <c r="F38" s="306">
        <v>0.48777500000000001</v>
      </c>
      <c r="G38" s="306"/>
      <c r="H38" s="306">
        <v>0.48777500000000001</v>
      </c>
      <c r="I38" s="306"/>
      <c r="J38" s="306">
        <v>0.48777310000000001</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7.2135000000000003E-3</v>
      </c>
      <c r="E40" s="279"/>
      <c r="F40" s="314">
        <v>8.3075000000000006E-3</v>
      </c>
      <c r="G40" s="313"/>
      <c r="H40" s="314">
        <v>0</v>
      </c>
      <c r="I40" s="314"/>
      <c r="J40" s="314">
        <v>8.4609999999999998E-3</v>
      </c>
      <c r="K40" s="313"/>
      <c r="L40" s="314">
        <v>1.07075E-2</v>
      </c>
      <c r="M40" s="313"/>
      <c r="N40" s="314">
        <v>2.2200000000000002E-3</v>
      </c>
      <c r="O40" s="313"/>
      <c r="P40" s="314">
        <v>1.5107499999999999E-2</v>
      </c>
      <c r="Q40" s="313"/>
      <c r="R40" s="314">
        <v>6.62E-3</v>
      </c>
      <c r="S40" s="313"/>
      <c r="T40" s="314"/>
      <c r="U40" s="281"/>
      <c r="V40" s="287"/>
      <c r="W40" s="282"/>
      <c r="X40" s="5"/>
    </row>
    <row r="41" spans="1:24" ht="15.6" x14ac:dyDescent="0.3">
      <c r="A41" s="278"/>
      <c r="B41" s="279" t="s">
        <v>13</v>
      </c>
      <c r="C41" s="279"/>
      <c r="D41" s="314">
        <v>6.7275E-3</v>
      </c>
      <c r="E41" s="279"/>
      <c r="F41" s="314">
        <v>8.3288000000000008E-3</v>
      </c>
      <c r="G41" s="313"/>
      <c r="H41" s="314">
        <v>5.6999999999999998E-4</v>
      </c>
      <c r="I41" s="314"/>
      <c r="J41" s="314">
        <v>8.3820000000000006E-3</v>
      </c>
      <c r="K41" s="313"/>
      <c r="L41" s="314">
        <v>1.07288E-2</v>
      </c>
      <c r="M41" s="313"/>
      <c r="N41" s="314">
        <v>2.97E-3</v>
      </c>
      <c r="O41" s="313"/>
      <c r="P41" s="314">
        <v>1.51288E-2</v>
      </c>
      <c r="Q41" s="313"/>
      <c r="R41" s="314">
        <v>7.3699999999999998E-3</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8.5217999999999995E-3</v>
      </c>
      <c r="E43" s="314"/>
      <c r="F43" s="314">
        <f>+F40</f>
        <v>8.3075000000000006E-3</v>
      </c>
      <c r="G43" s="314"/>
      <c r="H43" s="314">
        <v>8.2295000000000007E-3</v>
      </c>
      <c r="I43" s="314"/>
      <c r="J43" s="314">
        <v>8.4714999999999999E-3</v>
      </c>
      <c r="K43" s="314"/>
      <c r="L43" s="314">
        <f>+L40</f>
        <v>1.07075E-2</v>
      </c>
      <c r="M43" s="314"/>
      <c r="N43" s="314">
        <v>1.0909500000000001E-2</v>
      </c>
      <c r="O43" s="314"/>
      <c r="P43" s="314">
        <f>+P40</f>
        <v>1.5107499999999999E-2</v>
      </c>
      <c r="Q43" s="313"/>
      <c r="R43" s="314">
        <v>1.55795E-2</v>
      </c>
      <c r="S43" s="287"/>
      <c r="T43" s="287"/>
      <c r="U43" s="281"/>
      <c r="V43" s="313">
        <f>SUMPRODUCT(D43:R43,D35:R35)/V35</f>
        <v>9.5354464241721813E-3</v>
      </c>
      <c r="W43" s="282"/>
      <c r="X43" s="5"/>
    </row>
    <row r="44" spans="1:24" ht="15.6" x14ac:dyDescent="0.3">
      <c r="A44" s="278"/>
      <c r="B44" s="279" t="s">
        <v>298</v>
      </c>
      <c r="C44" s="315"/>
      <c r="D44" s="314">
        <v>8.5430999999999997E-3</v>
      </c>
      <c r="E44" s="314"/>
      <c r="F44" s="314">
        <f>+F41</f>
        <v>8.3288000000000008E-3</v>
      </c>
      <c r="G44" s="314"/>
      <c r="H44" s="314">
        <v>8.2508000000000008E-3</v>
      </c>
      <c r="I44" s="314"/>
      <c r="J44" s="314">
        <v>8.4928E-3</v>
      </c>
      <c r="K44" s="314"/>
      <c r="L44" s="314">
        <f>+L41</f>
        <v>1.07288E-2</v>
      </c>
      <c r="M44" s="314"/>
      <c r="N44" s="314">
        <v>1.0930799999999999E-2</v>
      </c>
      <c r="O44" s="314"/>
      <c r="P44" s="314">
        <f>+P41</f>
        <v>1.51288E-2</v>
      </c>
      <c r="Q44" s="313"/>
      <c r="R44" s="314">
        <v>1.56008E-2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0.32640320403016115</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42597</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90</v>
      </c>
      <c r="S57" s="279"/>
      <c r="T57" s="325">
        <v>42416</v>
      </c>
      <c r="U57" s="326"/>
      <c r="V57" s="325">
        <v>42505</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91</v>
      </c>
      <c r="S58" s="279"/>
      <c r="T58" s="325">
        <v>42506</v>
      </c>
      <c r="U58" s="326"/>
      <c r="V58" s="325">
        <v>42596</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42583</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342</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835230</v>
      </c>
      <c r="O68" s="329"/>
      <c r="P68" s="329">
        <f>14364+154+17</f>
        <v>14535</v>
      </c>
      <c r="Q68" s="329"/>
      <c r="R68" s="329">
        <f>154+17</f>
        <v>171</v>
      </c>
      <c r="S68" s="329"/>
      <c r="T68" s="329">
        <v>0</v>
      </c>
      <c r="U68" s="329"/>
      <c r="V68" s="330">
        <f>+N68-P68+R68-T68</f>
        <v>820866</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835230</v>
      </c>
      <c r="O71" s="329"/>
      <c r="P71" s="329">
        <f>SUM(P68:P70)</f>
        <v>14535</v>
      </c>
      <c r="Q71" s="329"/>
      <c r="R71" s="329">
        <f>SUM(R68:R70)</f>
        <v>171</v>
      </c>
      <c r="S71" s="329"/>
      <c r="T71" s="329">
        <f>SUM(T68:T70)</f>
        <v>0</v>
      </c>
      <c r="U71" s="329"/>
      <c r="V71" s="329">
        <f>SUM(V68:V70)</f>
        <v>820866</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835230</v>
      </c>
      <c r="O84" s="329"/>
      <c r="P84" s="329"/>
      <c r="Q84" s="329"/>
      <c r="R84" s="329"/>
      <c r="S84" s="329"/>
      <c r="T84" s="329"/>
      <c r="U84" s="329"/>
      <c r="V84" s="329">
        <f>SUM(V71:V83)</f>
        <v>820866</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42580</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14535-100</f>
        <v>14435</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4149+2283-1040-581</f>
        <v>4811</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54+48</f>
        <v>102</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61</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484</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14435</v>
      </c>
      <c r="U96" s="279"/>
      <c r="V96" s="329">
        <f>SUM(V88:V95)</f>
        <v>5458</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72</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14435</v>
      </c>
      <c r="U100" s="279"/>
      <c r="V100" s="329">
        <f>V96+V98+V97+V99</f>
        <v>5530</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-319-102-11</f>
        <v>-432</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-1334+146</f>
        <v>-1188</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-146</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-236</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-67</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-284</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-64</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-13</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100</v>
      </c>
      <c r="U114" s="279"/>
      <c r="V114" s="330">
        <v>-100</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-319</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-2679</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-171</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-9020</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-1604</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-1870</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-1870</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-14535</v>
      </c>
      <c r="U132" s="329"/>
      <c r="V132" s="329">
        <f>SUM(V101:V129)</f>
        <v>-5530</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JULY 2016</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100</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100</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-100</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v>0</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820866</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820866</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+'Apr 16'!S182</f>
        <v>52870</v>
      </c>
      <c r="T180" s="330">
        <f>+'Apr 16'!T182</f>
        <v>6367</v>
      </c>
      <c r="U180" s="279"/>
      <c r="V180" s="330">
        <f>S180+T180</f>
        <v>59237</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17+154</f>
        <v>171</v>
      </c>
      <c r="T181" s="329">
        <v>0</v>
      </c>
      <c r="U181" s="279"/>
      <c r="V181" s="330">
        <f>S181+T181</f>
        <v>171</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53041</v>
      </c>
      <c r="T182" s="330">
        <f>T181+T180</f>
        <v>6367</v>
      </c>
      <c r="U182" s="279"/>
      <c r="V182" s="330">
        <f>S182+T182</f>
        <v>59408</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180624.80000000002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3.8200899550224889</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1.85</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12.415841584158416</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7.12</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9.9396551724137936</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6.62</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JULY 2016</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42580</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2.2849999999999999E-2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9.5354464241721813E-3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1.3314553575827818E-2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6.6209307615866285E-3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11.53</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1.7402392155454187E-2</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6.2700000000000006E-2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1</v>
      </c>
      <c r="T215" s="263">
        <v>49</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89</v>
      </c>
      <c r="T216" s="355">
        <f>+T268</f>
        <v>15363</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0</v>
      </c>
      <c r="T217" s="355">
        <f>+T280</f>
        <v>0</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100</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'Apr 16'!T222+'July 16'!T221</f>
        <v>7094</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0</v>
      </c>
      <c r="T224" s="355">
        <v>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0</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3</v>
      </c>
      <c r="T228" s="355">
        <v>406</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0</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6212</v>
      </c>
      <c r="S235" s="372">
        <f t="shared" ref="S235:S242" si="2">R235/$R$244</f>
        <v>0.998392799742848</v>
      </c>
      <c r="T235" s="330">
        <f t="shared" ref="T235:T242" si="3">+T247+T259+T271</f>
        <v>819658</v>
      </c>
      <c r="U235" s="372">
        <f t="shared" ref="U235:U242" si="4">T235/$T$244</f>
        <v>0.99852838343895345</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4</v>
      </c>
      <c r="S236" s="372">
        <f t="shared" si="2"/>
        <v>6.4288010286081641E-4</v>
      </c>
      <c r="T236" s="330">
        <f t="shared" si="3"/>
        <v>622</v>
      </c>
      <c r="U236" s="372">
        <f t="shared" si="4"/>
        <v>7.5773634186334922E-4</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2</v>
      </c>
      <c r="S237" s="372">
        <f t="shared" si="2"/>
        <v>3.214400514304082E-4</v>
      </c>
      <c r="T237" s="330">
        <f t="shared" si="3"/>
        <v>235</v>
      </c>
      <c r="U237" s="372">
        <f t="shared" si="4"/>
        <v>2.8628302305126535E-4</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0</v>
      </c>
      <c r="S238" s="372">
        <f t="shared" si="2"/>
        <v>0</v>
      </c>
      <c r="T238" s="330">
        <f t="shared" si="3"/>
        <v>0</v>
      </c>
      <c r="U238" s="372">
        <f t="shared" si="4"/>
        <v>0</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1</v>
      </c>
      <c r="S239" s="372">
        <f t="shared" si="2"/>
        <v>1.607200257152041E-4</v>
      </c>
      <c r="T239" s="330">
        <f t="shared" si="3"/>
        <v>103</v>
      </c>
      <c r="U239" s="372">
        <f t="shared" si="4"/>
        <v>1.2547723989055461E-4</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3</v>
      </c>
      <c r="S241" s="372">
        <f t="shared" si="2"/>
        <v>4.8216007714561236E-4</v>
      </c>
      <c r="T241" s="330">
        <f t="shared" si="3"/>
        <v>248</v>
      </c>
      <c r="U241" s="372">
        <f t="shared" si="4"/>
        <v>3.0211995624133535E-4</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0</v>
      </c>
      <c r="S242" s="372">
        <f t="shared" si="2"/>
        <v>0</v>
      </c>
      <c r="T242" s="330">
        <f t="shared" si="3"/>
        <v>0</v>
      </c>
      <c r="U242" s="372">
        <f t="shared" si="4"/>
        <v>0</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6222</v>
      </c>
      <c r="S244" s="372">
        <f>SUM(S235:S243)</f>
        <v>1</v>
      </c>
      <c r="T244" s="330">
        <f>SUM(T235:T243)</f>
        <v>820866</v>
      </c>
      <c r="U244" s="372">
        <f>SUM(U235:U243)</f>
        <v>0.99999999999999989</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6126</v>
      </c>
      <c r="S247" s="250">
        <f t="shared" ref="S247:S254" si="5">R247/$R$256</f>
        <v>0.99885863362139249</v>
      </c>
      <c r="T247" s="251">
        <v>804653</v>
      </c>
      <c r="U247" s="250">
        <f t="shared" ref="U247:U254" si="6">T247/$T$256</f>
        <v>0.99894475874081168</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4</v>
      </c>
      <c r="S248" s="372">
        <f t="shared" si="5"/>
        <v>6.522093592043046E-4</v>
      </c>
      <c r="T248" s="330">
        <v>622</v>
      </c>
      <c r="U248" s="372">
        <f t="shared" si="6"/>
        <v>7.7218830966489262E-4</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1</v>
      </c>
      <c r="S251" s="372">
        <f t="shared" si="5"/>
        <v>1.6305233980107615E-4</v>
      </c>
      <c r="T251" s="330">
        <v>103</v>
      </c>
      <c r="U251" s="372">
        <f t="shared" si="6"/>
        <v>1.2787041140753045E-4</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2</v>
      </c>
      <c r="S253" s="372">
        <f t="shared" si="5"/>
        <v>3.261046796021523E-4</v>
      </c>
      <c r="T253" s="330">
        <v>125</v>
      </c>
      <c r="U253" s="372">
        <f t="shared" si="6"/>
        <v>1.5518253811593502E-4</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0</v>
      </c>
      <c r="S254" s="372">
        <f t="shared" si="5"/>
        <v>0</v>
      </c>
      <c r="T254" s="330">
        <v>0</v>
      </c>
      <c r="U254" s="372">
        <f t="shared" si="6"/>
        <v>0</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6133</v>
      </c>
      <c r="S256" s="372">
        <f>SUM(S247:S255)</f>
        <v>1</v>
      </c>
      <c r="T256" s="330">
        <f>SUM(T247:T255)</f>
        <v>805503</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86</v>
      </c>
      <c r="S259" s="250">
        <f t="shared" ref="S259:S266" si="7">R259/$R$268</f>
        <v>0.9662921348314607</v>
      </c>
      <c r="T259" s="251">
        <v>15005</v>
      </c>
      <c r="U259" s="250">
        <f t="shared" ref="U259:U266" si="8">T259/$T$268</f>
        <v>0.97669725964980803</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0</v>
      </c>
      <c r="S260" s="372">
        <f t="shared" si="7"/>
        <v>0</v>
      </c>
      <c r="T260" s="330">
        <v>0</v>
      </c>
      <c r="U260" s="372">
        <f t="shared" si="8"/>
        <v>0</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2</v>
      </c>
      <c r="S261" s="372">
        <f t="shared" si="7"/>
        <v>2.247191011235955E-2</v>
      </c>
      <c r="T261" s="330">
        <v>235</v>
      </c>
      <c r="U261" s="372">
        <f t="shared" si="8"/>
        <v>1.5296491570656772E-2</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0</v>
      </c>
      <c r="S262" s="372">
        <f t="shared" si="7"/>
        <v>0</v>
      </c>
      <c r="T262" s="330">
        <v>0</v>
      </c>
      <c r="U262" s="372">
        <f t="shared" si="8"/>
        <v>0</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0</v>
      </c>
      <c r="S263" s="372">
        <f t="shared" si="7"/>
        <v>0</v>
      </c>
      <c r="T263" s="330">
        <v>0</v>
      </c>
      <c r="U263" s="372">
        <f t="shared" si="8"/>
        <v>0</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1</v>
      </c>
      <c r="S265" s="372">
        <f t="shared" si="7"/>
        <v>1.1235955056179775E-2</v>
      </c>
      <c r="T265" s="330">
        <v>123</v>
      </c>
      <c r="U265" s="372">
        <f t="shared" si="8"/>
        <v>8.0062487795352476E-3</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0</v>
      </c>
      <c r="S266" s="372">
        <f t="shared" si="7"/>
        <v>0</v>
      </c>
      <c r="T266" s="330">
        <v>0</v>
      </c>
      <c r="U266" s="372">
        <f t="shared" si="8"/>
        <v>0</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89</v>
      </c>
      <c r="S268" s="372">
        <f>SUM(S259:S267)</f>
        <v>1</v>
      </c>
      <c r="T268" s="330">
        <f>SUM(T259:T267)</f>
        <v>15363</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0</v>
      </c>
      <c r="S278" s="372">
        <v>0</v>
      </c>
      <c r="T278" s="330">
        <v>0</v>
      </c>
      <c r="U278" s="372">
        <v>0</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0</v>
      </c>
      <c r="S280" s="372">
        <f>SUM(S271:S279)</f>
        <v>0</v>
      </c>
      <c r="T280" s="330">
        <f>SUM(T271:T278)</f>
        <v>0</v>
      </c>
      <c r="U280" s="372">
        <f>SUM(U271:U279)</f>
        <v>0</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6222</v>
      </c>
      <c r="S282" s="372"/>
      <c r="T282" s="397">
        <f>+T280+T268+T256</f>
        <v>820866</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JULY 2016</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2700-000000000000}"/>
    <hyperlink ref="I9" r:id="rId2" xr:uid="{00000000-0004-0000-27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89CB31"/>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0.66390000000000005</v>
      </c>
      <c r="T16" s="381" t="s">
        <v>145</v>
      </c>
      <c r="U16" s="380">
        <v>0.33610000000000001</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42691</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344</v>
      </c>
      <c r="E27" s="285"/>
      <c r="F27" s="285" t="s">
        <v>148</v>
      </c>
      <c r="G27" s="285"/>
      <c r="H27" s="285" t="s">
        <v>148</v>
      </c>
      <c r="I27" s="285"/>
      <c r="J27" s="285" t="s">
        <v>148</v>
      </c>
      <c r="K27" s="285"/>
      <c r="L27" s="285" t="s">
        <v>149</v>
      </c>
      <c r="M27" s="285"/>
      <c r="N27" s="285" t="s">
        <v>149</v>
      </c>
      <c r="O27" s="285"/>
      <c r="P27" s="285" t="s">
        <v>337</v>
      </c>
      <c r="Q27" s="285"/>
      <c r="R27" s="285" t="s">
        <v>337</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148</v>
      </c>
      <c r="M28" s="285"/>
      <c r="N28" s="285" t="s">
        <v>148</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715063.35</v>
      </c>
      <c r="E32" s="289"/>
      <c r="F32" s="290">
        <f>F31*F38</f>
        <v>69123.065999999992</v>
      </c>
      <c r="G32" s="290"/>
      <c r="H32" s="295">
        <f>H31*H38</f>
        <v>116794.14599999999</v>
      </c>
      <c r="I32" s="295"/>
      <c r="J32" s="294">
        <f>J31*J38</f>
        <v>148256.46789999999</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702988.35</v>
      </c>
      <c r="E33" s="301"/>
      <c r="F33" s="303">
        <f>F37*F31</f>
        <v>67955.815999999992</v>
      </c>
      <c r="G33" s="303"/>
      <c r="H33" s="384">
        <f>H31*H37</f>
        <v>114821.89599999999</v>
      </c>
      <c r="I33" s="384"/>
      <c r="J33" s="383">
        <f>J37*J31</f>
        <v>145752.9179</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388621.19933129998</v>
      </c>
      <c r="E35" s="289"/>
      <c r="F35" s="290">
        <f>F34*F38</f>
        <v>69123.065999999992</v>
      </c>
      <c r="G35" s="290"/>
      <c r="H35" s="290">
        <f>H34*H38</f>
        <v>80547.917032800004</v>
      </c>
      <c r="I35" s="290"/>
      <c r="J35" s="290">
        <f>J34*J38</f>
        <v>80574.291695799999</v>
      </c>
      <c r="K35" s="290"/>
      <c r="L35" s="290">
        <f>+L34</f>
        <v>25000</v>
      </c>
      <c r="M35" s="290"/>
      <c r="N35" s="290">
        <f>+N34</f>
        <v>86897</v>
      </c>
      <c r="O35" s="290"/>
      <c r="P35" s="290">
        <f>+P34</f>
        <v>17000</v>
      </c>
      <c r="Q35" s="290"/>
      <c r="R35" s="290">
        <f>+R34</f>
        <v>73103</v>
      </c>
      <c r="S35" s="290"/>
      <c r="T35" s="290"/>
      <c r="U35" s="291"/>
      <c r="V35" s="290">
        <f>SUM(C35:R35)</f>
        <v>820866.47405990004</v>
      </c>
      <c r="W35" s="292"/>
      <c r="X35" s="5"/>
    </row>
    <row r="36" spans="1:24" ht="15.6" x14ac:dyDescent="0.3">
      <c r="A36" s="283"/>
      <c r="B36" s="288" t="s">
        <v>295</v>
      </c>
      <c r="C36" s="301"/>
      <c r="D36" s="303">
        <f>D34*D37</f>
        <v>382058.70248129999</v>
      </c>
      <c r="E36" s="301"/>
      <c r="F36" s="303">
        <f>F34*F37</f>
        <v>67955.815999999992</v>
      </c>
      <c r="G36" s="303"/>
      <c r="H36" s="303">
        <f>H34*H37</f>
        <v>79187.740732799997</v>
      </c>
      <c r="I36" s="303"/>
      <c r="J36" s="303">
        <f>J34*J37</f>
        <v>79213.664595800001</v>
      </c>
      <c r="K36" s="303"/>
      <c r="L36" s="303">
        <f>+L34</f>
        <v>25000</v>
      </c>
      <c r="M36" s="303"/>
      <c r="N36" s="303">
        <f>+N34</f>
        <v>86897</v>
      </c>
      <c r="O36" s="303"/>
      <c r="P36" s="303">
        <f>+P34</f>
        <v>17000</v>
      </c>
      <c r="Q36" s="303"/>
      <c r="R36" s="303">
        <f>+R34</f>
        <v>73103</v>
      </c>
      <c r="S36" s="302"/>
      <c r="T36" s="302"/>
      <c r="U36" s="291"/>
      <c r="V36" s="303">
        <f>SUM(C36:R36)-1</f>
        <v>810414.92380989995</v>
      </c>
      <c r="W36" s="292"/>
      <c r="X36" s="5"/>
    </row>
    <row r="37" spans="1:24" ht="15.6" x14ac:dyDescent="0.3">
      <c r="A37" s="278"/>
      <c r="B37" s="304" t="s">
        <v>135</v>
      </c>
      <c r="C37" s="305"/>
      <c r="D37" s="306">
        <v>0.46865889999999999</v>
      </c>
      <c r="E37" s="307"/>
      <c r="F37" s="306">
        <v>0.46866079999999999</v>
      </c>
      <c r="G37" s="306"/>
      <c r="H37" s="306">
        <v>0.46866079999999999</v>
      </c>
      <c r="I37" s="306"/>
      <c r="J37" s="306">
        <v>0.46865889999999999</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0.47670889999999999</v>
      </c>
      <c r="E38" s="307"/>
      <c r="F38" s="306">
        <v>0.47671079999999999</v>
      </c>
      <c r="G38" s="306"/>
      <c r="H38" s="306">
        <v>0.47671079999999999</v>
      </c>
      <c r="I38" s="306"/>
      <c r="J38" s="306">
        <v>0.47670889999999999</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7.7456000000000001E-3</v>
      </c>
      <c r="E40" s="279"/>
      <c r="F40" s="314">
        <v>6.2563000000000002E-3</v>
      </c>
      <c r="G40" s="313"/>
      <c r="H40" s="314">
        <v>0</v>
      </c>
      <c r="I40" s="314"/>
      <c r="J40" s="314">
        <v>1.0370000000000001E-2</v>
      </c>
      <c r="K40" s="313"/>
      <c r="L40" s="314">
        <v>8.6563000000000005E-3</v>
      </c>
      <c r="M40" s="313"/>
      <c r="N40" s="314">
        <v>1.81E-3</v>
      </c>
      <c r="O40" s="313"/>
      <c r="P40" s="314">
        <v>1.30563E-2</v>
      </c>
      <c r="Q40" s="313"/>
      <c r="R40" s="314">
        <v>6.2100000000000002E-3</v>
      </c>
      <c r="S40" s="313"/>
      <c r="T40" s="314"/>
      <c r="U40" s="281"/>
      <c r="V40" s="287"/>
      <c r="W40" s="282"/>
      <c r="X40" s="5"/>
    </row>
    <row r="41" spans="1:24" ht="15.6" x14ac:dyDescent="0.3">
      <c r="A41" s="278"/>
      <c r="B41" s="279" t="s">
        <v>13</v>
      </c>
      <c r="C41" s="279"/>
      <c r="D41" s="314">
        <v>7.2135000000000003E-3</v>
      </c>
      <c r="E41" s="279"/>
      <c r="F41" s="314">
        <v>8.3075000000000006E-3</v>
      </c>
      <c r="G41" s="313"/>
      <c r="H41" s="314">
        <v>0</v>
      </c>
      <c r="I41" s="314"/>
      <c r="J41" s="314">
        <v>8.4609999999999998E-3</v>
      </c>
      <c r="K41" s="313"/>
      <c r="L41" s="314">
        <v>1.07075E-2</v>
      </c>
      <c r="M41" s="313"/>
      <c r="N41" s="314">
        <v>2.2200000000000002E-3</v>
      </c>
      <c r="O41" s="313"/>
      <c r="P41" s="314">
        <v>1.5107499999999999E-2</v>
      </c>
      <c r="Q41" s="313"/>
      <c r="R41" s="314">
        <v>6.62E-3</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6.4706E-3</v>
      </c>
      <c r="E43" s="314"/>
      <c r="F43" s="314">
        <f>+F40</f>
        <v>6.2563000000000002E-3</v>
      </c>
      <c r="G43" s="314"/>
      <c r="H43" s="314">
        <v>6.1783000000000003E-3</v>
      </c>
      <c r="I43" s="314"/>
      <c r="J43" s="314">
        <v>6.4203000000000003E-3</v>
      </c>
      <c r="K43" s="314"/>
      <c r="L43" s="314">
        <f>+L40</f>
        <v>8.6563000000000005E-3</v>
      </c>
      <c r="M43" s="314"/>
      <c r="N43" s="314">
        <v>8.8582999999999995E-3</v>
      </c>
      <c r="O43" s="314"/>
      <c r="P43" s="314">
        <f>+P40</f>
        <v>1.30563E-2</v>
      </c>
      <c r="Q43" s="313"/>
      <c r="R43" s="314">
        <v>1.35283E-2</v>
      </c>
      <c r="S43" s="287"/>
      <c r="T43" s="287"/>
      <c r="U43" s="281"/>
      <c r="V43" s="313">
        <f>SUMPRODUCT(D43:R43,D35:R35)/V35</f>
        <v>7.5031824244508752E-3</v>
      </c>
      <c r="W43" s="282"/>
      <c r="X43" s="5"/>
    </row>
    <row r="44" spans="1:24" ht="15.6" x14ac:dyDescent="0.3">
      <c r="A44" s="278"/>
      <c r="B44" s="279" t="s">
        <v>298</v>
      </c>
      <c r="C44" s="315"/>
      <c r="D44" s="314">
        <v>8.5217999999999995E-3</v>
      </c>
      <c r="E44" s="314"/>
      <c r="F44" s="314">
        <f>+F41</f>
        <v>8.3075000000000006E-3</v>
      </c>
      <c r="G44" s="314"/>
      <c r="H44" s="314">
        <v>8.2295000000000007E-3</v>
      </c>
      <c r="I44" s="314"/>
      <c r="J44" s="314">
        <v>8.4714999999999999E-3</v>
      </c>
      <c r="K44" s="314"/>
      <c r="L44" s="314">
        <f>+L41</f>
        <v>1.07075E-2</v>
      </c>
      <c r="M44" s="314"/>
      <c r="N44" s="314">
        <v>1.0909500000000001E-2</v>
      </c>
      <c r="O44" s="314"/>
      <c r="P44" s="314">
        <f>+P41</f>
        <v>1.5107499999999999E-2</v>
      </c>
      <c r="Q44" s="313"/>
      <c r="R44" s="314">
        <v>1.55795E-2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0.33200971916559346</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42689</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91</v>
      </c>
      <c r="S57" s="279"/>
      <c r="T57" s="325">
        <v>42506</v>
      </c>
      <c r="U57" s="326"/>
      <c r="V57" s="325">
        <v>42596</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42597</v>
      </c>
      <c r="U58" s="326"/>
      <c r="V58" s="325">
        <v>42688</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42675</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343</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820866</v>
      </c>
      <c r="O68" s="329"/>
      <c r="P68" s="329">
        <f>10451+1255</f>
        <v>11706</v>
      </c>
      <c r="Q68" s="329"/>
      <c r="R68" s="329">
        <v>1255</v>
      </c>
      <c r="S68" s="329"/>
      <c r="T68" s="329">
        <v>0</v>
      </c>
      <c r="U68" s="329"/>
      <c r="V68" s="330">
        <f>+N68-P68+R68-T68</f>
        <v>810415</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820866</v>
      </c>
      <c r="O71" s="329"/>
      <c r="P71" s="329">
        <f>SUM(P68:P70)</f>
        <v>11706</v>
      </c>
      <c r="Q71" s="329"/>
      <c r="R71" s="329">
        <f>SUM(R68:R70)</f>
        <v>1255</v>
      </c>
      <c r="S71" s="329"/>
      <c r="T71" s="329">
        <f>SUM(T68:T70)</f>
        <v>0</v>
      </c>
      <c r="U71" s="329"/>
      <c r="V71" s="329">
        <f>SUM(V68:V70)</f>
        <v>810415</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820866</v>
      </c>
      <c r="O84" s="329"/>
      <c r="P84" s="329"/>
      <c r="Q84" s="329"/>
      <c r="R84" s="329"/>
      <c r="S84" s="329"/>
      <c r="T84" s="329"/>
      <c r="U84" s="329"/>
      <c r="V84" s="329">
        <f>SUM(V71:V83)</f>
        <v>810415</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42674</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11706-77</f>
        <v>11629</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4045+2173-996-576</f>
        <v>4646</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53+37</f>
        <v>90</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45</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261</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11629</v>
      </c>
      <c r="U96" s="279"/>
      <c r="V96" s="329">
        <f>SUM(V88:V95)</f>
        <v>5042</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-1</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11629</v>
      </c>
      <c r="U100" s="279"/>
      <c r="V100" s="329">
        <f>V96+V98+V97+V99</f>
        <v>5041</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-314-122-11</f>
        <v>-447</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-999+109</f>
        <v>-890</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-109</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-194</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-55</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-249</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-56</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-23</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77</v>
      </c>
      <c r="U114" s="279"/>
      <c r="V114" s="330">
        <v>-77</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-313</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-2626</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-1255</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-6563</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-1167</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-1360</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-1361</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-11706</v>
      </c>
      <c r="U132" s="329"/>
      <c r="V132" s="329">
        <f>SUM(V101:V129)</f>
        <v>-5041</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OCTOBER 2016</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77</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77</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-77</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f>-V99</f>
        <v>1</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810415</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810415</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+'July 16'!S182</f>
        <v>53041</v>
      </c>
      <c r="T180" s="330">
        <f>+'July 16'!T182</f>
        <v>6367</v>
      </c>
      <c r="U180" s="279"/>
      <c r="V180" s="330">
        <f>S180+T180</f>
        <v>59408</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v>1255</v>
      </c>
      <c r="T181" s="329">
        <v>0</v>
      </c>
      <c r="U181" s="279"/>
      <c r="V181" s="330">
        <f>S181+T181</f>
        <v>1255</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54296</v>
      </c>
      <c r="T182" s="330">
        <f>T181+T180</f>
        <v>6367</v>
      </c>
      <c r="U182" s="279"/>
      <c r="V182" s="330">
        <f>S182+T182</f>
        <v>60663</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179369.80000000002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4.5965965965965969</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1.86</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14.429718875502008</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7.19</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10.963934426229509</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6.68</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OCTOBER 2016</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42674</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2.086E-2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7.5031824244508752E-3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1.3356817575549126E-2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6.1410754008571437E-3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11.27</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1.4260549224843032E-2</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6.2600000000000003E-2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1</v>
      </c>
      <c r="T215" s="263">
        <v>170</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87</v>
      </c>
      <c r="T216" s="355">
        <f>+T268</f>
        <v>14830</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0</v>
      </c>
      <c r="T217" s="355">
        <f>+T280</f>
        <v>0</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77</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'July 16'!T222+'Oct 16'!T221</f>
        <v>7171</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0</v>
      </c>
      <c r="T224" s="355">
        <v>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0</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5</v>
      </c>
      <c r="T228" s="355">
        <v>942</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1.49</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6120</v>
      </c>
      <c r="S235" s="372">
        <f t="shared" ref="S235:S242" si="2">R235/$R$244</f>
        <v>0.99771763938702318</v>
      </c>
      <c r="T235" s="330">
        <f t="shared" ref="T235:T242" si="3">+T247+T259+T271</f>
        <v>808740</v>
      </c>
      <c r="U235" s="372">
        <f t="shared" ref="U235:U242" si="4">T235/$T$244</f>
        <v>0.99793315770315205</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6</v>
      </c>
      <c r="S236" s="372">
        <f t="shared" si="2"/>
        <v>9.7815454841865008E-4</v>
      </c>
      <c r="T236" s="330">
        <f t="shared" si="3"/>
        <v>845</v>
      </c>
      <c r="U236" s="372">
        <f t="shared" si="4"/>
        <v>1.0426756661710357E-3</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0</v>
      </c>
      <c r="S237" s="372">
        <f t="shared" si="2"/>
        <v>0</v>
      </c>
      <c r="T237" s="330">
        <f t="shared" si="3"/>
        <v>0</v>
      </c>
      <c r="U237" s="372">
        <f t="shared" si="4"/>
        <v>0</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3</v>
      </c>
      <c r="S238" s="372">
        <f t="shared" si="2"/>
        <v>4.8907727420932504E-4</v>
      </c>
      <c r="T238" s="330">
        <f t="shared" si="3"/>
        <v>436</v>
      </c>
      <c r="U238" s="372">
        <f t="shared" si="4"/>
        <v>5.3799596503026229E-4</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0</v>
      </c>
      <c r="S239" s="372">
        <f t="shared" si="2"/>
        <v>0</v>
      </c>
      <c r="T239" s="330">
        <f t="shared" si="3"/>
        <v>0</v>
      </c>
      <c r="U239" s="372">
        <f t="shared" si="4"/>
        <v>0</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3</v>
      </c>
      <c r="S241" s="372">
        <f t="shared" si="2"/>
        <v>4.8907727420932504E-4</v>
      </c>
      <c r="T241" s="330">
        <f t="shared" si="3"/>
        <v>275</v>
      </c>
      <c r="U241" s="372">
        <f t="shared" si="4"/>
        <v>3.3933231739294067E-4</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2</v>
      </c>
      <c r="S242" s="372">
        <f t="shared" si="2"/>
        <v>3.2605151613955004E-4</v>
      </c>
      <c r="T242" s="330">
        <f t="shared" si="3"/>
        <v>119</v>
      </c>
      <c r="U242" s="372">
        <f t="shared" si="4"/>
        <v>1.468383482536725E-4</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6134</v>
      </c>
      <c r="S244" s="372">
        <f>SUM(S235:S243)</f>
        <v>1</v>
      </c>
      <c r="T244" s="330">
        <f>SUM(T235:T243)</f>
        <v>810415</v>
      </c>
      <c r="U244" s="372">
        <f>SUM(U235:U243)</f>
        <v>0.99999999999999989</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6039</v>
      </c>
      <c r="S247" s="250">
        <f t="shared" ref="S247:S254" si="5">R247/$R$256</f>
        <v>0.99867702993219776</v>
      </c>
      <c r="T247" s="251">
        <v>794807</v>
      </c>
      <c r="U247" s="250">
        <f t="shared" ref="U247:U254" si="6">T247/$T$256</f>
        <v>0.99902210323221274</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5</v>
      </c>
      <c r="S248" s="372">
        <f t="shared" si="5"/>
        <v>8.2685629237638498E-4</v>
      </c>
      <c r="T248" s="330">
        <v>619</v>
      </c>
      <c r="U248" s="372">
        <f t="shared" si="6"/>
        <v>7.7804382938340968E-4</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1</v>
      </c>
      <c r="S253" s="372">
        <f t="shared" si="5"/>
        <v>1.65371258475277E-4</v>
      </c>
      <c r="T253" s="330">
        <v>40</v>
      </c>
      <c r="U253" s="372">
        <f t="shared" si="6"/>
        <v>5.0277468780834226E-5</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2</v>
      </c>
      <c r="S254" s="372">
        <f t="shared" si="5"/>
        <v>3.30742516950554E-4</v>
      </c>
      <c r="T254" s="330">
        <v>119</v>
      </c>
      <c r="U254" s="372">
        <f t="shared" si="6"/>
        <v>1.4957546962298182E-4</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6047</v>
      </c>
      <c r="S256" s="372">
        <f>SUM(S247:S255)</f>
        <v>0.99999999999999989</v>
      </c>
      <c r="T256" s="330">
        <f>SUM(T247:T255)</f>
        <v>795585</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81</v>
      </c>
      <c r="S259" s="250">
        <f t="shared" ref="S259:S266" si="7">R259/$R$268</f>
        <v>0.93103448275862066</v>
      </c>
      <c r="T259" s="251">
        <v>13933</v>
      </c>
      <c r="U259" s="250">
        <f t="shared" ref="U259:U266" si="8">T259/$T$268</f>
        <v>0.93951449763991912</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1</v>
      </c>
      <c r="S260" s="372">
        <f t="shared" si="7"/>
        <v>1.1494252873563218E-2</v>
      </c>
      <c r="T260" s="330">
        <v>226</v>
      </c>
      <c r="U260" s="372">
        <f t="shared" si="8"/>
        <v>1.523937963587323E-2</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0</v>
      </c>
      <c r="S261" s="372">
        <f t="shared" si="7"/>
        <v>0</v>
      </c>
      <c r="T261" s="330">
        <v>0</v>
      </c>
      <c r="U261" s="372">
        <f t="shared" si="8"/>
        <v>0</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3</v>
      </c>
      <c r="S262" s="372">
        <f t="shared" si="7"/>
        <v>3.4482758620689655E-2</v>
      </c>
      <c r="T262" s="330">
        <v>436</v>
      </c>
      <c r="U262" s="372">
        <f t="shared" si="8"/>
        <v>2.9399865138233311E-2</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0</v>
      </c>
      <c r="S263" s="372">
        <f t="shared" si="7"/>
        <v>0</v>
      </c>
      <c r="T263" s="330">
        <v>0</v>
      </c>
      <c r="U263" s="372">
        <f t="shared" si="8"/>
        <v>0</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2</v>
      </c>
      <c r="S265" s="372">
        <f t="shared" si="7"/>
        <v>2.2988505747126436E-2</v>
      </c>
      <c r="T265" s="330">
        <v>235</v>
      </c>
      <c r="U265" s="372">
        <f t="shared" si="8"/>
        <v>1.5846257585974376E-2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0</v>
      </c>
      <c r="S266" s="372">
        <f t="shared" si="7"/>
        <v>0</v>
      </c>
      <c r="T266" s="330">
        <v>0</v>
      </c>
      <c r="U266" s="372">
        <f t="shared" si="8"/>
        <v>0</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87</v>
      </c>
      <c r="S268" s="372">
        <f>SUM(S259:S267)</f>
        <v>0.99999999999999989</v>
      </c>
      <c r="T268" s="330">
        <f>SUM(T259:T267)</f>
        <v>14830</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0</v>
      </c>
      <c r="S278" s="372">
        <v>0</v>
      </c>
      <c r="T278" s="330">
        <v>0</v>
      </c>
      <c r="U278" s="372">
        <v>0</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0</v>
      </c>
      <c r="S280" s="372">
        <f>SUM(S271:S279)</f>
        <v>0</v>
      </c>
      <c r="T280" s="330">
        <f>SUM(T271:T278)</f>
        <v>0</v>
      </c>
      <c r="U280" s="372">
        <f>SUM(U271:U279)</f>
        <v>0</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6134</v>
      </c>
      <c r="S282" s="372"/>
      <c r="T282" s="397">
        <f>+T280+T268+T256</f>
        <v>810415</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OCTOBER 2016</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2800-000000000000}"/>
    <hyperlink ref="I9" r:id="rId2" xr:uid="{00000000-0004-0000-28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2D2926"/>
  </sheetPr>
  <dimension ref="A1:Y291"/>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0.66579999999999995</v>
      </c>
      <c r="T16" s="381" t="s">
        <v>145</v>
      </c>
      <c r="U16" s="380">
        <v>0.3342</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42782</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344</v>
      </c>
      <c r="E27" s="285"/>
      <c r="F27" s="285" t="s">
        <v>148</v>
      </c>
      <c r="G27" s="285"/>
      <c r="H27" s="285" t="s">
        <v>148</v>
      </c>
      <c r="I27" s="285"/>
      <c r="J27" s="285" t="s">
        <v>148</v>
      </c>
      <c r="K27" s="285"/>
      <c r="L27" s="285" t="s">
        <v>149</v>
      </c>
      <c r="M27" s="285"/>
      <c r="N27" s="285" t="s">
        <v>149</v>
      </c>
      <c r="O27" s="285"/>
      <c r="P27" s="285" t="s">
        <v>337</v>
      </c>
      <c r="Q27" s="285"/>
      <c r="R27" s="285" t="s">
        <v>337</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148</v>
      </c>
      <c r="M28" s="285"/>
      <c r="N28" s="285" t="s">
        <v>148</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702988.35</v>
      </c>
      <c r="E32" s="289"/>
      <c r="F32" s="290">
        <f>F31*F38</f>
        <v>67955.815999999992</v>
      </c>
      <c r="G32" s="290"/>
      <c r="H32" s="295">
        <f>H31*H38</f>
        <v>114821.89599999999</v>
      </c>
      <c r="I32" s="295"/>
      <c r="J32" s="294">
        <f>J31*J38</f>
        <v>145752.9179</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691505.85</v>
      </c>
      <c r="E33" s="301"/>
      <c r="F33" s="303">
        <f>F37*F31</f>
        <v>66845.841</v>
      </c>
      <c r="G33" s="303"/>
      <c r="H33" s="384">
        <f>H31*H37</f>
        <v>112946.421</v>
      </c>
      <c r="I33" s="384"/>
      <c r="J33" s="383">
        <f>J37*J31</f>
        <v>143372.21290000001</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382058.70248129999</v>
      </c>
      <c r="E35" s="289"/>
      <c r="F35" s="290">
        <f>F34*F38</f>
        <v>67955.815999999992</v>
      </c>
      <c r="G35" s="290"/>
      <c r="H35" s="290">
        <f>H34*H38</f>
        <v>79187.740732799997</v>
      </c>
      <c r="I35" s="290"/>
      <c r="J35" s="290">
        <f>J34*J38</f>
        <v>79213.664595800001</v>
      </c>
      <c r="K35" s="290"/>
      <c r="L35" s="290">
        <f>+L34</f>
        <v>25000</v>
      </c>
      <c r="M35" s="290"/>
      <c r="N35" s="290">
        <f>+N34</f>
        <v>86897</v>
      </c>
      <c r="O35" s="290"/>
      <c r="P35" s="290">
        <f>+P34</f>
        <v>17000</v>
      </c>
      <c r="Q35" s="290"/>
      <c r="R35" s="290">
        <f>+R34</f>
        <v>73103</v>
      </c>
      <c r="S35" s="290"/>
      <c r="T35" s="290"/>
      <c r="U35" s="291"/>
      <c r="V35" s="290">
        <f>SUM(C35:R35)-1</f>
        <v>810414.92380989995</v>
      </c>
      <c r="W35" s="292"/>
      <c r="X35" s="5"/>
    </row>
    <row r="36" spans="1:24" ht="15.6" x14ac:dyDescent="0.3">
      <c r="A36" s="283"/>
      <c r="B36" s="288" t="s">
        <v>295</v>
      </c>
      <c r="C36" s="301"/>
      <c r="D36" s="303">
        <f>D34*D37</f>
        <v>375818.21634630003</v>
      </c>
      <c r="E36" s="301"/>
      <c r="F36" s="303">
        <f>F34*F37</f>
        <v>66845.841</v>
      </c>
      <c r="G36" s="303"/>
      <c r="H36" s="303">
        <f>H34*H37</f>
        <v>77894.306002800004</v>
      </c>
      <c r="I36" s="303"/>
      <c r="J36" s="303">
        <f>J34*J37</f>
        <v>77919.80118580001</v>
      </c>
      <c r="K36" s="303"/>
      <c r="L36" s="303">
        <f>+L34</f>
        <v>25000</v>
      </c>
      <c r="M36" s="303"/>
      <c r="N36" s="303">
        <f>+N34</f>
        <v>86897</v>
      </c>
      <c r="O36" s="303"/>
      <c r="P36" s="303">
        <f>+P34</f>
        <v>17000</v>
      </c>
      <c r="Q36" s="303"/>
      <c r="R36" s="303">
        <f>+R34</f>
        <v>73103</v>
      </c>
      <c r="S36" s="302"/>
      <c r="T36" s="302"/>
      <c r="U36" s="291"/>
      <c r="V36" s="303">
        <f>SUM(C36:R36)</f>
        <v>800478.1645349001</v>
      </c>
      <c r="W36" s="292"/>
      <c r="X36" s="5"/>
    </row>
    <row r="37" spans="1:24" ht="15.6" x14ac:dyDescent="0.3">
      <c r="A37" s="278"/>
      <c r="B37" s="304" t="s">
        <v>135</v>
      </c>
      <c r="C37" s="305"/>
      <c r="D37" s="306">
        <v>0.46100390000000002</v>
      </c>
      <c r="E37" s="307"/>
      <c r="F37" s="306">
        <v>0.46100580000000002</v>
      </c>
      <c r="G37" s="306"/>
      <c r="H37" s="306">
        <v>0.46100580000000002</v>
      </c>
      <c r="I37" s="306"/>
      <c r="J37" s="306">
        <v>0.46100390000000002</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0.46865889999999999</v>
      </c>
      <c r="E38" s="307"/>
      <c r="F38" s="306">
        <v>0.46866079999999999</v>
      </c>
      <c r="G38" s="306"/>
      <c r="H38" s="306">
        <v>0.46866079999999999</v>
      </c>
      <c r="I38" s="306"/>
      <c r="J38" s="306">
        <v>0.46865889999999999</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1.00833E-2</v>
      </c>
      <c r="E40" s="279"/>
      <c r="F40" s="314">
        <v>6.3775000000000004E-3</v>
      </c>
      <c r="G40" s="313"/>
      <c r="H40" s="314">
        <v>0</v>
      </c>
      <c r="I40" s="314"/>
      <c r="J40" s="314">
        <v>1.12567E-2</v>
      </c>
      <c r="K40" s="313"/>
      <c r="L40" s="314">
        <v>8.7775000000000006E-3</v>
      </c>
      <c r="M40" s="313"/>
      <c r="N40" s="314">
        <v>1.6800000000000001E-3</v>
      </c>
      <c r="O40" s="313"/>
      <c r="P40" s="314">
        <v>1.31775E-2</v>
      </c>
      <c r="Q40" s="313"/>
      <c r="R40" s="314">
        <v>6.0800000000000003E-3</v>
      </c>
      <c r="S40" s="313"/>
      <c r="T40" s="314"/>
      <c r="U40" s="281"/>
      <c r="V40" s="287"/>
      <c r="W40" s="282"/>
      <c r="X40" s="5"/>
    </row>
    <row r="41" spans="1:24" ht="15.6" x14ac:dyDescent="0.3">
      <c r="A41" s="278"/>
      <c r="B41" s="279" t="s">
        <v>13</v>
      </c>
      <c r="C41" s="279"/>
      <c r="D41" s="314">
        <v>7.7456000000000001E-3</v>
      </c>
      <c r="E41" s="279"/>
      <c r="F41" s="314">
        <v>6.2563000000000002E-3</v>
      </c>
      <c r="G41" s="313"/>
      <c r="H41" s="314">
        <v>0</v>
      </c>
      <c r="I41" s="314"/>
      <c r="J41" s="314">
        <v>1.0370000000000001E-2</v>
      </c>
      <c r="K41" s="313"/>
      <c r="L41" s="314">
        <v>8.6563000000000005E-3</v>
      </c>
      <c r="M41" s="313"/>
      <c r="N41" s="314">
        <v>1.81E-3</v>
      </c>
      <c r="O41" s="313"/>
      <c r="P41" s="314">
        <v>1.30563E-2</v>
      </c>
      <c r="Q41" s="313"/>
      <c r="R41" s="314">
        <v>6.2100000000000002E-3</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6.5918000000000001E-3</v>
      </c>
      <c r="E43" s="314"/>
      <c r="F43" s="314">
        <f>+F40</f>
        <v>6.3775000000000004E-3</v>
      </c>
      <c r="G43" s="314"/>
      <c r="H43" s="314">
        <v>6.2995000000000004E-3</v>
      </c>
      <c r="I43" s="314"/>
      <c r="J43" s="314">
        <v>6.5414999999999996E-3</v>
      </c>
      <c r="K43" s="314"/>
      <c r="L43" s="314">
        <f>+L40</f>
        <v>8.7775000000000006E-3</v>
      </c>
      <c r="M43" s="314"/>
      <c r="N43" s="314">
        <v>8.9794999999999996E-3</v>
      </c>
      <c r="O43" s="314"/>
      <c r="P43" s="314">
        <f>+P40</f>
        <v>1.31775E-2</v>
      </c>
      <c r="Q43" s="313"/>
      <c r="R43" s="314">
        <v>1.36495E-2</v>
      </c>
      <c r="S43" s="287"/>
      <c r="T43" s="287"/>
      <c r="U43" s="281"/>
      <c r="V43" s="313">
        <f>SUMPRODUCT(D43:R43,D35:R35)/V35</f>
        <v>7.6385909975024459E-3</v>
      </c>
      <c r="W43" s="282"/>
      <c r="X43" s="5"/>
    </row>
    <row r="44" spans="1:24" ht="15.6" x14ac:dyDescent="0.3">
      <c r="A44" s="278"/>
      <c r="B44" s="279" t="s">
        <v>298</v>
      </c>
      <c r="C44" s="315"/>
      <c r="D44" s="314">
        <v>6.4706E-3</v>
      </c>
      <c r="E44" s="314"/>
      <c r="F44" s="314">
        <f>+F41</f>
        <v>6.2563000000000002E-3</v>
      </c>
      <c r="G44" s="314"/>
      <c r="H44" s="314">
        <v>6.1783000000000003E-3</v>
      </c>
      <c r="I44" s="314"/>
      <c r="J44" s="314">
        <v>6.4203000000000003E-3</v>
      </c>
      <c r="K44" s="314"/>
      <c r="L44" s="314">
        <f>+L41</f>
        <v>8.6563000000000005E-3</v>
      </c>
      <c r="M44" s="314"/>
      <c r="N44" s="314">
        <v>8.8582999999999995E-3</v>
      </c>
      <c r="O44" s="314"/>
      <c r="P44" s="314">
        <f>+P41</f>
        <v>1.30563E-2</v>
      </c>
      <c r="Q44" s="313"/>
      <c r="R44" s="314">
        <v>1.35283E-2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0.33752275683605232</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42781</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92</v>
      </c>
      <c r="S57" s="279"/>
      <c r="T57" s="325">
        <v>42597</v>
      </c>
      <c r="U57" s="326"/>
      <c r="V57" s="325">
        <v>42688</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42689</v>
      </c>
      <c r="U58" s="326"/>
      <c r="V58" s="325">
        <v>42780</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42767</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345</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810415</v>
      </c>
      <c r="O68" s="329"/>
      <c r="P68" s="329">
        <f>9938+38+18-1</f>
        <v>9993</v>
      </c>
      <c r="Q68" s="329"/>
      <c r="R68" s="329">
        <f>38+18</f>
        <v>56</v>
      </c>
      <c r="S68" s="329"/>
      <c r="T68" s="329">
        <v>0</v>
      </c>
      <c r="U68" s="329"/>
      <c r="V68" s="330">
        <f>+N68-P68+R68-T68</f>
        <v>800478</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810415</v>
      </c>
      <c r="O71" s="329"/>
      <c r="P71" s="329">
        <f>SUM(P68:P70)</f>
        <v>9993</v>
      </c>
      <c r="Q71" s="329"/>
      <c r="R71" s="329">
        <f>SUM(R68:R70)</f>
        <v>56</v>
      </c>
      <c r="S71" s="329"/>
      <c r="T71" s="329">
        <f>SUM(T68:T70)</f>
        <v>0</v>
      </c>
      <c r="U71" s="329"/>
      <c r="V71" s="329">
        <f>SUM(V68:V70)</f>
        <v>800478</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810415</v>
      </c>
      <c r="O84" s="329"/>
      <c r="P84" s="329"/>
      <c r="Q84" s="329"/>
      <c r="R84" s="329"/>
      <c r="S84" s="329"/>
      <c r="T84" s="329"/>
      <c r="U84" s="329"/>
      <c r="V84" s="329">
        <f>SUM(V71:V83)</f>
        <v>800478</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42766</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9993+66</f>
        <v>10059</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3903+1868-1043-332</f>
        <v>4396</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92+21</f>
        <v>113</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27</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498</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10059</v>
      </c>
      <c r="U96" s="279"/>
      <c r="V96" s="329">
        <f>SUM(V88:V95)</f>
        <v>5034</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-2</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10059</v>
      </c>
      <c r="U100" s="279"/>
      <c r="V100" s="329">
        <f>V96+V98+V97+V99</f>
        <v>5032</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-309-123-10</f>
        <v>-442</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-1000+109</f>
        <v>-891</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-109</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-197</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-55</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-252</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-56</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-26</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-66</v>
      </c>
      <c r="U114" s="279"/>
      <c r="V114" s="330">
        <v>66</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-309</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-2759</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-56</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-6240</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-1110</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-1293</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-1294</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-9993</v>
      </c>
      <c r="U132" s="329"/>
      <c r="V132" s="329">
        <f>SUM(V101:V129)</f>
        <v>-5032</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JANUARY 2017</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-66</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-66</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66</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f>-V99</f>
        <v>2</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800478</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800478</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+'Oct 16'!S182</f>
        <v>54296</v>
      </c>
      <c r="T180" s="330">
        <f>+'Oct 16'!T182</f>
        <v>6367</v>
      </c>
      <c r="U180" s="279"/>
      <c r="V180" s="330">
        <f>S180+T180</f>
        <v>60663</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38+18</f>
        <v>56</v>
      </c>
      <c r="T181" s="329">
        <v>0</v>
      </c>
      <c r="U181" s="279"/>
      <c r="V181" s="330">
        <f>S181+T181</f>
        <v>56</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54352</v>
      </c>
      <c r="T182" s="330">
        <f>T181+T180</f>
        <v>6367</v>
      </c>
      <c r="U182" s="279"/>
      <c r="V182" s="330">
        <f>S182+T182</f>
        <v>60719</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179313.80000000002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4.5880000000000001</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1.87</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14.238095238095237</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7.26</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10.831168831168831</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6.73</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JANUARY 2017</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42766</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2.0809999999999999E-2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7.6385909975024459E-3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1.3171409002497553E-2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6.2091644404410088E-3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11.04</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1.2330719446209658E-2</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6.2199999999999998E-2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0</v>
      </c>
      <c r="T215" s="263">
        <v>0</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89</v>
      </c>
      <c r="T216" s="355">
        <f>+T268</f>
        <v>15033</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0</v>
      </c>
      <c r="T217" s="355">
        <f>+T280</f>
        <v>0</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-66</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'Oct 16'!T222+'Jan 17'!T221</f>
        <v>7105</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0</v>
      </c>
      <c r="T224" s="355">
        <v>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0</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1</v>
      </c>
      <c r="T228" s="355">
        <v>140</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0</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6053</v>
      </c>
      <c r="S235" s="372">
        <f t="shared" ref="S235:S242" si="2">R235/$R$244</f>
        <v>0.99868008579442336</v>
      </c>
      <c r="T235" s="330">
        <f t="shared" ref="T235:T242" si="3">+T247+T259+T271</f>
        <v>799488</v>
      </c>
      <c r="U235" s="372">
        <f t="shared" ref="U235:U242" si="4">T235/$T$244</f>
        <v>0.99876323896471864</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3</v>
      </c>
      <c r="S236" s="372">
        <f t="shared" si="2"/>
        <v>4.9496782709123905E-4</v>
      </c>
      <c r="T236" s="330">
        <f t="shared" si="3"/>
        <v>430</v>
      </c>
      <c r="U236" s="372">
        <f t="shared" si="4"/>
        <v>5.3717903552627305E-4</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0</v>
      </c>
      <c r="S237" s="372">
        <f t="shared" si="2"/>
        <v>0</v>
      </c>
      <c r="T237" s="330">
        <f t="shared" si="3"/>
        <v>0</v>
      </c>
      <c r="U237" s="372">
        <f t="shared" si="4"/>
        <v>0</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0</v>
      </c>
      <c r="S238" s="372">
        <f t="shared" si="2"/>
        <v>0</v>
      </c>
      <c r="T238" s="330">
        <f t="shared" si="3"/>
        <v>0</v>
      </c>
      <c r="U238" s="372">
        <f t="shared" si="4"/>
        <v>0</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0</v>
      </c>
      <c r="S239" s="372">
        <f t="shared" si="2"/>
        <v>0</v>
      </c>
      <c r="T239" s="330">
        <f t="shared" si="3"/>
        <v>0</v>
      </c>
      <c r="U239" s="372">
        <f t="shared" si="4"/>
        <v>0</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1</v>
      </c>
      <c r="S240" s="372">
        <f t="shared" si="2"/>
        <v>1.6498927569707968E-4</v>
      </c>
      <c r="T240" s="330">
        <f t="shared" si="3"/>
        <v>226</v>
      </c>
      <c r="U240" s="372">
        <f t="shared" si="4"/>
        <v>2.8233130704404121E-4</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2</v>
      </c>
      <c r="S241" s="372">
        <f t="shared" si="2"/>
        <v>3.2997855139415937E-4</v>
      </c>
      <c r="T241" s="330">
        <f t="shared" si="3"/>
        <v>235</v>
      </c>
      <c r="U241" s="372">
        <f t="shared" si="4"/>
        <v>2.9357458918296316E-4</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2</v>
      </c>
      <c r="S242" s="372">
        <f t="shared" si="2"/>
        <v>3.2997855139415937E-4</v>
      </c>
      <c r="T242" s="330">
        <f t="shared" si="3"/>
        <v>99</v>
      </c>
      <c r="U242" s="372">
        <f t="shared" si="4"/>
        <v>1.2367610352814192E-4</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6061</v>
      </c>
      <c r="S244" s="372">
        <f>SUM(S235:S243)</f>
        <v>1</v>
      </c>
      <c r="T244" s="330">
        <f>SUM(T235:T243)</f>
        <v>800478</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5967</v>
      </c>
      <c r="S247" s="250">
        <f t="shared" ref="S247:S254" si="5">R247/$R$256</f>
        <v>0.99916275954454115</v>
      </c>
      <c r="T247" s="251">
        <v>784916</v>
      </c>
      <c r="U247" s="250">
        <f t="shared" ref="U247:U254" si="6">T247/$T$256</f>
        <v>0.99932649644469063</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3</v>
      </c>
      <c r="S248" s="372">
        <f t="shared" si="5"/>
        <v>5.0234427327528462E-4</v>
      </c>
      <c r="T248" s="330">
        <v>430</v>
      </c>
      <c r="U248" s="372">
        <f t="shared" si="6"/>
        <v>5.4746035686776282E-4</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2</v>
      </c>
      <c r="S254" s="372">
        <f t="shared" si="5"/>
        <v>3.348961821835231E-4</v>
      </c>
      <c r="T254" s="330">
        <v>99</v>
      </c>
      <c r="U254" s="372">
        <f t="shared" si="6"/>
        <v>1.2604319844164772E-4</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5972</v>
      </c>
      <c r="S256" s="372">
        <f>SUM(S247:S255)</f>
        <v>1</v>
      </c>
      <c r="T256" s="330">
        <f>SUM(T247:T255)</f>
        <v>785445</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86</v>
      </c>
      <c r="S259" s="250">
        <f t="shared" ref="S259:S266" si="7">R259/$R$268</f>
        <v>0.9662921348314607</v>
      </c>
      <c r="T259" s="251">
        <v>14572</v>
      </c>
      <c r="U259" s="250">
        <f t="shared" ref="U259:U266" si="8">T259/$T$268</f>
        <v>0.96933413157719683</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0</v>
      </c>
      <c r="S260" s="372">
        <f t="shared" si="7"/>
        <v>0</v>
      </c>
      <c r="T260" s="330">
        <v>0</v>
      </c>
      <c r="U260" s="372">
        <f t="shared" si="8"/>
        <v>0</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0</v>
      </c>
      <c r="S261" s="372">
        <f t="shared" si="7"/>
        <v>0</v>
      </c>
      <c r="T261" s="330">
        <v>0</v>
      </c>
      <c r="U261" s="372">
        <f t="shared" si="8"/>
        <v>0</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0</v>
      </c>
      <c r="S262" s="372">
        <f t="shared" si="7"/>
        <v>0</v>
      </c>
      <c r="T262" s="330">
        <v>0</v>
      </c>
      <c r="U262" s="372">
        <f t="shared" si="8"/>
        <v>0</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0</v>
      </c>
      <c r="S263" s="372">
        <f t="shared" si="7"/>
        <v>0</v>
      </c>
      <c r="T263" s="330">
        <v>0</v>
      </c>
      <c r="U263" s="372">
        <f t="shared" si="8"/>
        <v>0</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1</v>
      </c>
      <c r="S264" s="372">
        <f t="shared" si="7"/>
        <v>1.1235955056179775E-2</v>
      </c>
      <c r="T264" s="330">
        <v>226</v>
      </c>
      <c r="U264" s="372">
        <f t="shared" si="8"/>
        <v>1.5033592762588971E-2</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2</v>
      </c>
      <c r="S265" s="372">
        <f t="shared" si="7"/>
        <v>2.247191011235955E-2</v>
      </c>
      <c r="T265" s="330">
        <v>235</v>
      </c>
      <c r="U265" s="372">
        <f t="shared" si="8"/>
        <v>1.5632275660214197E-2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0</v>
      </c>
      <c r="S266" s="372">
        <f t="shared" si="7"/>
        <v>0</v>
      </c>
      <c r="T266" s="330">
        <v>0</v>
      </c>
      <c r="U266" s="372">
        <f t="shared" si="8"/>
        <v>0</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89</v>
      </c>
      <c r="S268" s="372">
        <f>SUM(S259:S267)</f>
        <v>1</v>
      </c>
      <c r="T268" s="330">
        <f>SUM(T259:T267)</f>
        <v>15033</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0</v>
      </c>
      <c r="S278" s="372">
        <v>0</v>
      </c>
      <c r="T278" s="330">
        <v>0</v>
      </c>
      <c r="U278" s="372">
        <v>0</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0</v>
      </c>
      <c r="S280" s="372">
        <f>SUM(S271:S279)</f>
        <v>0</v>
      </c>
      <c r="T280" s="330">
        <f>SUM(T271:T278)</f>
        <v>0</v>
      </c>
      <c r="U280" s="372">
        <f>SUM(U271:U279)</f>
        <v>0</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6061</v>
      </c>
      <c r="S282" s="372"/>
      <c r="T282" s="397">
        <f>+T280+T268+T256</f>
        <v>800478</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327</v>
      </c>
      <c r="C287" s="378"/>
      <c r="D287" s="378"/>
      <c r="E287" s="378"/>
      <c r="F287" s="398" t="s">
        <v>278</v>
      </c>
      <c r="G287" s="378"/>
      <c r="H287" s="378" t="s">
        <v>279</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328</v>
      </c>
      <c r="C288" s="378"/>
      <c r="D288" s="378"/>
      <c r="E288" s="378"/>
      <c r="F288" s="398" t="s">
        <v>152</v>
      </c>
      <c r="G288" s="378"/>
      <c r="H288" s="378" t="s">
        <v>158</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c r="C289" s="378"/>
      <c r="D289" s="378"/>
      <c r="E289" s="378"/>
      <c r="F289" s="378"/>
      <c r="G289" s="259"/>
      <c r="H289" s="257"/>
      <c r="I289" s="257"/>
      <c r="J289" s="257"/>
      <c r="K289" s="257"/>
      <c r="L289" s="257"/>
      <c r="M289" s="257"/>
      <c r="N289" s="257"/>
      <c r="O289" s="257"/>
      <c r="P289" s="257"/>
      <c r="Q289" s="257"/>
      <c r="R289" s="257"/>
      <c r="S289" s="257"/>
      <c r="T289" s="257"/>
      <c r="U289" s="257"/>
      <c r="V289" s="257"/>
      <c r="W289" s="187"/>
      <c r="X289" s="5"/>
    </row>
    <row r="290" spans="1:24" ht="18" thickBot="1" x14ac:dyDescent="0.35">
      <c r="A290" s="222"/>
      <c r="B290" s="260" t="str">
        <f>B196</f>
        <v>PM12 INVESTOR REPORT QUARTER ENDING JANUARY 2017</v>
      </c>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x14ac:dyDescent="0.2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row>
  </sheetData>
  <hyperlinks>
    <hyperlink ref="P232" r:id="rId1" xr:uid="{00000000-0004-0000-2900-000000000000}"/>
    <hyperlink ref="I9" r:id="rId2" xr:uid="{00000000-0004-0000-29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89CB31"/>
  </sheetPr>
  <dimension ref="A1:Y291"/>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0.66620000000000001</v>
      </c>
      <c r="T16" s="381" t="s">
        <v>145</v>
      </c>
      <c r="U16" s="380">
        <v>0.33379999999999999</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42873</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347</v>
      </c>
      <c r="M26" s="285"/>
      <c r="N26" s="285" t="s">
        <v>347</v>
      </c>
      <c r="O26" s="285"/>
      <c r="P26" s="285" t="s">
        <v>147</v>
      </c>
      <c r="Q26" s="285"/>
      <c r="R26" s="285" t="s">
        <v>147</v>
      </c>
      <c r="S26" s="285"/>
      <c r="T26" s="280"/>
      <c r="U26" s="281"/>
      <c r="V26" s="281"/>
      <c r="W26" s="282"/>
      <c r="X26" s="5"/>
    </row>
    <row r="27" spans="1:25" ht="15.6" x14ac:dyDescent="0.3">
      <c r="A27" s="278"/>
      <c r="B27" s="288" t="s">
        <v>197</v>
      </c>
      <c r="C27" s="280"/>
      <c r="D27" s="285" t="s">
        <v>344</v>
      </c>
      <c r="E27" s="285"/>
      <c r="F27" s="285" t="s">
        <v>148</v>
      </c>
      <c r="G27" s="285"/>
      <c r="H27" s="285" t="s">
        <v>148</v>
      </c>
      <c r="I27" s="285"/>
      <c r="J27" s="285" t="s">
        <v>148</v>
      </c>
      <c r="K27" s="285"/>
      <c r="L27" s="285" t="s">
        <v>149</v>
      </c>
      <c r="M27" s="285"/>
      <c r="N27" s="285" t="s">
        <v>149</v>
      </c>
      <c r="O27" s="285"/>
      <c r="P27" s="285" t="s">
        <v>337</v>
      </c>
      <c r="Q27" s="285"/>
      <c r="R27" s="285" t="s">
        <v>337</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148</v>
      </c>
      <c r="M28" s="285"/>
      <c r="N28" s="285" t="s">
        <v>148</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691505.85</v>
      </c>
      <c r="E32" s="289"/>
      <c r="F32" s="290">
        <f>F31*F38</f>
        <v>66845.841</v>
      </c>
      <c r="G32" s="290"/>
      <c r="H32" s="295">
        <f>H31*H38</f>
        <v>112946.421</v>
      </c>
      <c r="I32" s="295"/>
      <c r="J32" s="294">
        <f>J31*J38</f>
        <v>143372.21290000001</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680338.35</v>
      </c>
      <c r="E33" s="301"/>
      <c r="F33" s="303">
        <f>F37*F31</f>
        <v>65766.315999999992</v>
      </c>
      <c r="G33" s="303"/>
      <c r="H33" s="384">
        <f>H31*H37</f>
        <v>111122.39599999999</v>
      </c>
      <c r="I33" s="384"/>
      <c r="J33" s="383">
        <f>J37*J31</f>
        <v>141056.81789999999</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375818.21634630003</v>
      </c>
      <c r="E35" s="289"/>
      <c r="F35" s="290">
        <f>F34*F38</f>
        <v>66845.841</v>
      </c>
      <c r="G35" s="290"/>
      <c r="H35" s="290">
        <f>H34*H38</f>
        <v>77894.306002800004</v>
      </c>
      <c r="I35" s="290"/>
      <c r="J35" s="290">
        <f>J34*J38</f>
        <v>77919.80118580001</v>
      </c>
      <c r="K35" s="290"/>
      <c r="L35" s="290">
        <f>+L34</f>
        <v>25000</v>
      </c>
      <c r="M35" s="290"/>
      <c r="N35" s="290">
        <f>+N34</f>
        <v>86897</v>
      </c>
      <c r="O35" s="290"/>
      <c r="P35" s="290">
        <f>+P34</f>
        <v>17000</v>
      </c>
      <c r="Q35" s="290"/>
      <c r="R35" s="290">
        <f>+R34</f>
        <v>73103</v>
      </c>
      <c r="S35" s="290"/>
      <c r="T35" s="290"/>
      <c r="U35" s="291"/>
      <c r="V35" s="290">
        <f>SUM(C35:R35)</f>
        <v>800478.1645349001</v>
      </c>
      <c r="W35" s="292"/>
      <c r="X35" s="5"/>
    </row>
    <row r="36" spans="1:24" ht="15.6" x14ac:dyDescent="0.3">
      <c r="A36" s="283"/>
      <c r="B36" s="288" t="s">
        <v>295</v>
      </c>
      <c r="C36" s="301"/>
      <c r="D36" s="303">
        <f>D34*D37</f>
        <v>369748.9257813</v>
      </c>
      <c r="E36" s="301"/>
      <c r="F36" s="303">
        <f>F34*F37</f>
        <v>65766.315999999992</v>
      </c>
      <c r="G36" s="303"/>
      <c r="H36" s="303">
        <f>H34*H37</f>
        <v>76636.354132799999</v>
      </c>
      <c r="I36" s="303"/>
      <c r="J36" s="303">
        <f>J34*J37</f>
        <v>76661.432395800002</v>
      </c>
      <c r="K36" s="303"/>
      <c r="L36" s="303">
        <f>+L34</f>
        <v>25000</v>
      </c>
      <c r="M36" s="303"/>
      <c r="N36" s="303">
        <f>+N34</f>
        <v>86897</v>
      </c>
      <c r="O36" s="303"/>
      <c r="P36" s="303">
        <f>+P34</f>
        <v>17000</v>
      </c>
      <c r="Q36" s="303"/>
      <c r="R36" s="303">
        <f>+R34</f>
        <v>73103</v>
      </c>
      <c r="S36" s="302"/>
      <c r="T36" s="302"/>
      <c r="U36" s="291"/>
      <c r="V36" s="303">
        <f>SUM(C36:R36)</f>
        <v>790813.02830989996</v>
      </c>
      <c r="W36" s="292"/>
      <c r="X36" s="5"/>
    </row>
    <row r="37" spans="1:24" ht="15.6" x14ac:dyDescent="0.3">
      <c r="A37" s="278"/>
      <c r="B37" s="304" t="s">
        <v>135</v>
      </c>
      <c r="C37" s="305"/>
      <c r="D37" s="306">
        <v>0.45355889999999999</v>
      </c>
      <c r="E37" s="307"/>
      <c r="F37" s="306">
        <v>0.45356079999999999</v>
      </c>
      <c r="G37" s="306"/>
      <c r="H37" s="306">
        <v>0.45356079999999999</v>
      </c>
      <c r="I37" s="306"/>
      <c r="J37" s="306">
        <v>0.45355889999999999</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0.46100390000000002</v>
      </c>
      <c r="E38" s="307"/>
      <c r="F38" s="306">
        <v>0.46100580000000002</v>
      </c>
      <c r="G38" s="306"/>
      <c r="H38" s="306">
        <v>0.46100580000000002</v>
      </c>
      <c r="I38" s="306"/>
      <c r="J38" s="306">
        <v>0.46100390000000002</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1.23389E-2</v>
      </c>
      <c r="E40" s="279"/>
      <c r="F40" s="314">
        <v>5.9806E-3</v>
      </c>
      <c r="G40" s="313"/>
      <c r="H40" s="314">
        <v>0</v>
      </c>
      <c r="I40" s="314"/>
      <c r="J40" s="314">
        <v>1.259E-2</v>
      </c>
      <c r="K40" s="313"/>
      <c r="L40" s="314">
        <v>8.3806000000000002E-3</v>
      </c>
      <c r="M40" s="313"/>
      <c r="N40" s="314">
        <v>1.5100000000000001E-3</v>
      </c>
      <c r="O40" s="313"/>
      <c r="P40" s="314">
        <v>1.27806E-2</v>
      </c>
      <c r="Q40" s="313"/>
      <c r="R40" s="314">
        <v>5.9100000000000003E-3</v>
      </c>
      <c r="S40" s="313"/>
      <c r="T40" s="314"/>
      <c r="U40" s="281"/>
      <c r="V40" s="287"/>
      <c r="W40" s="282"/>
      <c r="X40" s="5"/>
    </row>
    <row r="41" spans="1:24" ht="15.6" x14ac:dyDescent="0.3">
      <c r="A41" s="278"/>
      <c r="B41" s="279" t="s">
        <v>13</v>
      </c>
      <c r="C41" s="279"/>
      <c r="D41" s="314">
        <v>1.00833E-2</v>
      </c>
      <c r="E41" s="279"/>
      <c r="F41" s="314">
        <v>6.3775000000000004E-3</v>
      </c>
      <c r="G41" s="313"/>
      <c r="H41" s="314">
        <v>0</v>
      </c>
      <c r="I41" s="314"/>
      <c r="J41" s="314">
        <v>1.12567E-2</v>
      </c>
      <c r="K41" s="313"/>
      <c r="L41" s="314">
        <v>8.7775000000000006E-3</v>
      </c>
      <c r="M41" s="313"/>
      <c r="N41" s="314">
        <v>1.6800000000000001E-3</v>
      </c>
      <c r="O41" s="313"/>
      <c r="P41" s="314">
        <v>1.31775E-2</v>
      </c>
      <c r="Q41" s="313"/>
      <c r="R41" s="314">
        <v>6.0800000000000003E-3</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6.1948999999999997E-3</v>
      </c>
      <c r="E43" s="314"/>
      <c r="F43" s="314">
        <f>+F40</f>
        <v>5.9806E-3</v>
      </c>
      <c r="G43" s="314"/>
      <c r="H43" s="314">
        <v>5.9026E-3</v>
      </c>
      <c r="I43" s="314"/>
      <c r="J43" s="314">
        <v>6.1446000000000001E-3</v>
      </c>
      <c r="K43" s="314"/>
      <c r="L43" s="314">
        <f>+L40</f>
        <v>8.3806000000000002E-3</v>
      </c>
      <c r="M43" s="314"/>
      <c r="N43" s="314">
        <v>8.5825999999999993E-3</v>
      </c>
      <c r="O43" s="314"/>
      <c r="P43" s="314">
        <f>+P40</f>
        <v>1.27806E-2</v>
      </c>
      <c r="Q43" s="313"/>
      <c r="R43" s="314">
        <v>1.32526E-2</v>
      </c>
      <c r="S43" s="287"/>
      <c r="T43" s="287"/>
      <c r="U43" s="281"/>
      <c r="V43" s="313">
        <f>SUMPRODUCT(D43:R43,D35:R35)/V35</f>
        <v>7.2555278999786752E-3</v>
      </c>
      <c r="W43" s="282"/>
      <c r="X43" s="5"/>
    </row>
    <row r="44" spans="1:24" ht="15.6" x14ac:dyDescent="0.3">
      <c r="A44" s="278"/>
      <c r="B44" s="279" t="s">
        <v>298</v>
      </c>
      <c r="C44" s="315"/>
      <c r="D44" s="314">
        <v>6.5918000000000001E-3</v>
      </c>
      <c r="E44" s="314"/>
      <c r="F44" s="314">
        <f>+F41</f>
        <v>6.3775000000000004E-3</v>
      </c>
      <c r="G44" s="314"/>
      <c r="H44" s="314">
        <v>6.2995000000000004E-3</v>
      </c>
      <c r="I44" s="314"/>
      <c r="J44" s="314">
        <v>6.5414999999999996E-3</v>
      </c>
      <c r="K44" s="314"/>
      <c r="L44" s="314">
        <f>+L41</f>
        <v>8.7775000000000006E-3</v>
      </c>
      <c r="M44" s="314"/>
      <c r="N44" s="314">
        <v>8.9794999999999996E-3</v>
      </c>
      <c r="O44" s="314"/>
      <c r="P44" s="314">
        <f>+P41</f>
        <v>1.31775E-2</v>
      </c>
      <c r="Q44" s="313"/>
      <c r="R44" s="314">
        <v>1.36495E-2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0.34306306125700187</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42870</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92</v>
      </c>
      <c r="S57" s="279"/>
      <c r="T57" s="325">
        <v>42689</v>
      </c>
      <c r="U57" s="326"/>
      <c r="V57" s="325">
        <v>42780</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89</v>
      </c>
      <c r="S58" s="279"/>
      <c r="T58" s="325">
        <v>42781</v>
      </c>
      <c r="U58" s="326"/>
      <c r="V58" s="325">
        <v>42869</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42857</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346</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800478</v>
      </c>
      <c r="O68" s="329"/>
      <c r="P68" s="329">
        <f>9665+141</f>
        <v>9806</v>
      </c>
      <c r="Q68" s="329"/>
      <c r="R68" s="329">
        <v>141</v>
      </c>
      <c r="S68" s="329"/>
      <c r="T68" s="329">
        <v>0</v>
      </c>
      <c r="U68" s="329"/>
      <c r="V68" s="330">
        <f>+N68-P68+R68-T68</f>
        <v>790813</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800478</v>
      </c>
      <c r="O71" s="329"/>
      <c r="P71" s="329">
        <f>SUM(P68:P70)</f>
        <v>9806</v>
      </c>
      <c r="Q71" s="329"/>
      <c r="R71" s="329">
        <f>SUM(R68:R70)</f>
        <v>141</v>
      </c>
      <c r="S71" s="329"/>
      <c r="T71" s="329">
        <f>SUM(T68:T70)</f>
        <v>0</v>
      </c>
      <c r="U71" s="329"/>
      <c r="V71" s="329">
        <f>SUM(V68:V70)</f>
        <v>790813</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800478</v>
      </c>
      <c r="O84" s="329"/>
      <c r="P84" s="329"/>
      <c r="Q84" s="329"/>
      <c r="R84" s="329"/>
      <c r="S84" s="329"/>
      <c r="T84" s="329"/>
      <c r="U84" s="329"/>
      <c r="V84" s="329">
        <f>SUM(V71:V83)</f>
        <v>790813</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42853</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9806-43</f>
        <v>9763</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3828+1998-1028-514</f>
        <v>4284</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22+65</f>
        <v>87</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28</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435</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9763</v>
      </c>
      <c r="U96" s="279"/>
      <c r="V96" s="329">
        <f>SUM(V88:V95)</f>
        <v>4834</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25</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9763</v>
      </c>
      <c r="U100" s="279"/>
      <c r="V100" s="329">
        <f>V96+V98+V97+V99</f>
        <v>4859</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-296-172-10</f>
        <v>-478</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-894+97</f>
        <v>-797</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-97</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-182</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-51</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-236</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-53</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-29</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43</v>
      </c>
      <c r="U114" s="279"/>
      <c r="V114" s="330">
        <v>-43</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-295</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-2596</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-141</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-6069</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-1080</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-1258</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-1258</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-9806</v>
      </c>
      <c r="U132" s="329"/>
      <c r="V132" s="329">
        <f>SUM(V101:V129)</f>
        <v>-4859</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APRIL 2017</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43</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43</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-43</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v>0</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790813</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790813</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+'Jan 17'!S182</f>
        <v>54352</v>
      </c>
      <c r="T180" s="330">
        <f>+'Jan 17'!T182</f>
        <v>6367</v>
      </c>
      <c r="U180" s="279"/>
      <c r="V180" s="330">
        <f>S180+T180</f>
        <v>60719</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v>141</v>
      </c>
      <c r="T181" s="329">
        <v>0</v>
      </c>
      <c r="U181" s="279"/>
      <c r="V181" s="330">
        <f>S181+T181</f>
        <v>141</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54493</v>
      </c>
      <c r="T182" s="330">
        <f>T181+T180</f>
        <v>6367</v>
      </c>
      <c r="U182" s="279"/>
      <c r="V182" s="330">
        <f>S182+T182</f>
        <v>60860</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179172.80000000002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4.8982102908277403</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1.88</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14.957081545064378</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7.33</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11.252595155709342</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6.78</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APRIL 2017</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42853</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2.0719999999999999E-2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7.2555278999786752E-3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1.3464472100021323E-2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6.0701231014468858E-3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10.82</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1.2250180517141008E-2</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6.1899999999999997E-2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0</v>
      </c>
      <c r="T215" s="263">
        <v>0</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87</v>
      </c>
      <c r="T216" s="355">
        <f>+T268</f>
        <v>14994</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1</v>
      </c>
      <c r="T217" s="355">
        <f>+T280</f>
        <v>40</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43</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'Jan 17'!T222+'April 17'!T221</f>
        <v>7148</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0</v>
      </c>
      <c r="T224" s="355">
        <v>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0</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3</v>
      </c>
      <c r="T228" s="355">
        <v>402</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3.08</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5983</v>
      </c>
      <c r="S235" s="372">
        <f t="shared" ref="S235:S242" si="2">R235/$R$244</f>
        <v>0.9983313866177207</v>
      </c>
      <c r="T235" s="330">
        <f t="shared" ref="T235:T242" si="3">+T247+T259+T271</f>
        <v>789509</v>
      </c>
      <c r="U235" s="372">
        <f t="shared" ref="U235:U242" si="4">T235/$T$244</f>
        <v>0.99835106403157259</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7</v>
      </c>
      <c r="S236" s="372">
        <f t="shared" si="2"/>
        <v>1.1680293675955281E-3</v>
      </c>
      <c r="T236" s="330">
        <f t="shared" si="3"/>
        <v>1043</v>
      </c>
      <c r="U236" s="372">
        <f t="shared" si="4"/>
        <v>1.3188958704523066E-3</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0</v>
      </c>
      <c r="S237" s="372">
        <f t="shared" si="2"/>
        <v>0</v>
      </c>
      <c r="T237" s="330">
        <f t="shared" si="3"/>
        <v>0</v>
      </c>
      <c r="U237" s="372">
        <f t="shared" si="4"/>
        <v>0</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0</v>
      </c>
      <c r="S238" s="372">
        <f t="shared" si="2"/>
        <v>0</v>
      </c>
      <c r="T238" s="330">
        <f t="shared" si="3"/>
        <v>0</v>
      </c>
      <c r="U238" s="372">
        <f t="shared" si="4"/>
        <v>0</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0</v>
      </c>
      <c r="S239" s="372">
        <f t="shared" si="2"/>
        <v>0</v>
      </c>
      <c r="T239" s="330">
        <f t="shared" si="3"/>
        <v>0</v>
      </c>
      <c r="U239" s="372">
        <f t="shared" si="4"/>
        <v>0</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2</v>
      </c>
      <c r="S241" s="372">
        <f t="shared" si="2"/>
        <v>3.3372267645586517E-4</v>
      </c>
      <c r="T241" s="330">
        <f t="shared" si="3"/>
        <v>221</v>
      </c>
      <c r="U241" s="372">
        <f t="shared" si="4"/>
        <v>2.7945924004790009E-4</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1</v>
      </c>
      <c r="S242" s="372">
        <f t="shared" si="2"/>
        <v>1.6686133822793259E-4</v>
      </c>
      <c r="T242" s="330">
        <f t="shared" si="3"/>
        <v>40</v>
      </c>
      <c r="U242" s="372">
        <f t="shared" si="4"/>
        <v>5.058085792722173E-5</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5993</v>
      </c>
      <c r="S244" s="372">
        <f>SUM(S235:S243)</f>
        <v>1</v>
      </c>
      <c r="T244" s="330">
        <f>SUM(T235:T243)</f>
        <v>790813</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5899</v>
      </c>
      <c r="S247" s="250">
        <f t="shared" ref="S247:S254" si="5">R247/$R$256</f>
        <v>0.99898391193903469</v>
      </c>
      <c r="T247" s="251">
        <v>775211</v>
      </c>
      <c r="U247" s="250">
        <f t="shared" ref="U247:U254" si="6">T247/$T$256</f>
        <v>0.99926783272040109</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5</v>
      </c>
      <c r="S248" s="372">
        <f t="shared" si="5"/>
        <v>8.4674005080440302E-4</v>
      </c>
      <c r="T248" s="330">
        <v>517</v>
      </c>
      <c r="U248" s="372">
        <f t="shared" si="6"/>
        <v>6.6642690766313597E-4</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1</v>
      </c>
      <c r="S253" s="372">
        <f t="shared" si="5"/>
        <v>1.6934801016088062E-4</v>
      </c>
      <c r="T253" s="330">
        <v>51</v>
      </c>
      <c r="U253" s="372">
        <f t="shared" si="6"/>
        <v>6.5740371935821935E-5</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0</v>
      </c>
      <c r="S254" s="372">
        <f t="shared" si="5"/>
        <v>0</v>
      </c>
      <c r="T254" s="330">
        <v>0</v>
      </c>
      <c r="U254" s="372">
        <f t="shared" si="6"/>
        <v>0</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5905</v>
      </c>
      <c r="S256" s="372">
        <f>SUM(S247:S255)</f>
        <v>1</v>
      </c>
      <c r="T256" s="330">
        <f>SUM(T247:T255)</f>
        <v>775779</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84</v>
      </c>
      <c r="S259" s="250">
        <f t="shared" ref="S259:S266" si="7">R259/$R$268</f>
        <v>0.96551724137931039</v>
      </c>
      <c r="T259" s="251">
        <v>14298</v>
      </c>
      <c r="U259" s="250">
        <f t="shared" ref="U259:U266" si="8">T259/$T$268</f>
        <v>0.95358143257302919</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2</v>
      </c>
      <c r="S260" s="372">
        <f t="shared" si="7"/>
        <v>2.2988505747126436E-2</v>
      </c>
      <c r="T260" s="330">
        <v>526</v>
      </c>
      <c r="U260" s="372">
        <f t="shared" si="8"/>
        <v>3.5080698946245166E-2</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0</v>
      </c>
      <c r="S261" s="372">
        <f t="shared" si="7"/>
        <v>0</v>
      </c>
      <c r="T261" s="330">
        <v>0</v>
      </c>
      <c r="U261" s="372">
        <f t="shared" si="8"/>
        <v>0</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0</v>
      </c>
      <c r="S262" s="372">
        <f t="shared" si="7"/>
        <v>0</v>
      </c>
      <c r="T262" s="330">
        <v>0</v>
      </c>
      <c r="U262" s="372">
        <f t="shared" si="8"/>
        <v>0</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0</v>
      </c>
      <c r="S263" s="372">
        <f t="shared" si="7"/>
        <v>0</v>
      </c>
      <c r="T263" s="330">
        <v>0</v>
      </c>
      <c r="U263" s="372">
        <f t="shared" si="8"/>
        <v>0</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1</v>
      </c>
      <c r="S265" s="372">
        <f t="shared" si="7"/>
        <v>1.1494252873563218E-2</v>
      </c>
      <c r="T265" s="330">
        <v>170</v>
      </c>
      <c r="U265" s="372">
        <f t="shared" si="8"/>
        <v>1.1337868480725623E-2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0</v>
      </c>
      <c r="S266" s="372">
        <f t="shared" si="7"/>
        <v>0</v>
      </c>
      <c r="T266" s="330">
        <v>0</v>
      </c>
      <c r="U266" s="372">
        <f t="shared" si="8"/>
        <v>0</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87</v>
      </c>
      <c r="S268" s="372">
        <f>SUM(S259:S267)</f>
        <v>1</v>
      </c>
      <c r="T268" s="330">
        <f>SUM(T259:T267)</f>
        <v>14994</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1</v>
      </c>
      <c r="S278" s="372">
        <v>1</v>
      </c>
      <c r="T278" s="330">
        <v>40</v>
      </c>
      <c r="U278" s="372">
        <v>1</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1</v>
      </c>
      <c r="S280" s="372">
        <f>SUM(S271:S279)</f>
        <v>1</v>
      </c>
      <c r="T280" s="330">
        <f>SUM(T271:T278)</f>
        <v>40</v>
      </c>
      <c r="U280" s="372">
        <f>SUM(U271:U279)</f>
        <v>1</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5993</v>
      </c>
      <c r="S282" s="372"/>
      <c r="T282" s="397">
        <f>+T280+T268+T256</f>
        <v>790813</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327</v>
      </c>
      <c r="C287" s="378"/>
      <c r="D287" s="378"/>
      <c r="E287" s="378"/>
      <c r="F287" s="398" t="s">
        <v>278</v>
      </c>
      <c r="G287" s="378"/>
      <c r="H287" s="378" t="s">
        <v>279</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328</v>
      </c>
      <c r="C288" s="378"/>
      <c r="D288" s="378"/>
      <c r="E288" s="378"/>
      <c r="F288" s="398" t="s">
        <v>152</v>
      </c>
      <c r="G288" s="378"/>
      <c r="H288" s="378" t="s">
        <v>158</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c r="C289" s="378"/>
      <c r="D289" s="378"/>
      <c r="E289" s="378"/>
      <c r="F289" s="378"/>
      <c r="G289" s="259"/>
      <c r="H289" s="257"/>
      <c r="I289" s="257"/>
      <c r="J289" s="257"/>
      <c r="K289" s="257"/>
      <c r="L289" s="257"/>
      <c r="M289" s="257"/>
      <c r="N289" s="257"/>
      <c r="O289" s="257"/>
      <c r="P289" s="257"/>
      <c r="Q289" s="257"/>
      <c r="R289" s="257"/>
      <c r="S289" s="257"/>
      <c r="T289" s="257"/>
      <c r="U289" s="257"/>
      <c r="V289" s="257"/>
      <c r="W289" s="187"/>
      <c r="X289" s="5"/>
    </row>
    <row r="290" spans="1:24" ht="18" thickBot="1" x14ac:dyDescent="0.35">
      <c r="A290" s="222"/>
      <c r="B290" s="260" t="str">
        <f>B196</f>
        <v>PM12 INVESTOR REPORT QUARTER ENDING APRIL 2017</v>
      </c>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x14ac:dyDescent="0.2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row>
  </sheetData>
  <hyperlinks>
    <hyperlink ref="P232" r:id="rId1" xr:uid="{00000000-0004-0000-2A00-000000000000}"/>
    <hyperlink ref="I9" r:id="rId2" xr:uid="{00000000-0004-0000-2A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2D2926"/>
  </sheetPr>
  <dimension ref="A1:Y291"/>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0.66639999999999999</v>
      </c>
      <c r="T16" s="381" t="s">
        <v>145</v>
      </c>
      <c r="U16" s="380">
        <v>0.33360000000000001</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42965</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347</v>
      </c>
      <c r="M26" s="285"/>
      <c r="N26" s="285" t="s">
        <v>347</v>
      </c>
      <c r="O26" s="285"/>
      <c r="P26" s="285" t="s">
        <v>147</v>
      </c>
      <c r="Q26" s="285"/>
      <c r="R26" s="285" t="s">
        <v>147</v>
      </c>
      <c r="S26" s="285"/>
      <c r="T26" s="280"/>
      <c r="U26" s="281"/>
      <c r="V26" s="281"/>
      <c r="W26" s="282"/>
      <c r="X26" s="5"/>
    </row>
    <row r="27" spans="1:25" ht="15.6" x14ac:dyDescent="0.3">
      <c r="A27" s="278"/>
      <c r="B27" s="288" t="s">
        <v>197</v>
      </c>
      <c r="C27" s="280"/>
      <c r="D27" s="285" t="s">
        <v>344</v>
      </c>
      <c r="E27" s="285"/>
      <c r="F27" s="285" t="s">
        <v>148</v>
      </c>
      <c r="G27" s="285"/>
      <c r="H27" s="285" t="s">
        <v>148</v>
      </c>
      <c r="I27" s="285"/>
      <c r="J27" s="285" t="s">
        <v>148</v>
      </c>
      <c r="K27" s="285"/>
      <c r="L27" s="285" t="s">
        <v>149</v>
      </c>
      <c r="M27" s="285"/>
      <c r="N27" s="285" t="s">
        <v>149</v>
      </c>
      <c r="O27" s="285"/>
      <c r="P27" s="285" t="s">
        <v>337</v>
      </c>
      <c r="Q27" s="285"/>
      <c r="R27" s="285" t="s">
        <v>337</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148</v>
      </c>
      <c r="M28" s="285"/>
      <c r="N28" s="285" t="s">
        <v>148</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680338.35</v>
      </c>
      <c r="E32" s="289"/>
      <c r="F32" s="290">
        <f>F31*F38</f>
        <v>65766.315999999992</v>
      </c>
      <c r="G32" s="290"/>
      <c r="H32" s="295">
        <f>H31*H38</f>
        <v>111122.39599999999</v>
      </c>
      <c r="I32" s="295"/>
      <c r="J32" s="294">
        <f>J31*J38</f>
        <v>141056.81789999999</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666064.94999999995</v>
      </c>
      <c r="E33" s="301"/>
      <c r="F33" s="303">
        <f>F37*F31</f>
        <v>64386.553999999996</v>
      </c>
      <c r="G33" s="303"/>
      <c r="H33" s="384">
        <f>H31*H37</f>
        <v>108791.07399999999</v>
      </c>
      <c r="I33" s="384"/>
      <c r="J33" s="383">
        <f>J37*J31</f>
        <v>138097.4663</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369748.9257813</v>
      </c>
      <c r="E35" s="289"/>
      <c r="F35" s="290">
        <f>F34*F38</f>
        <v>65766.315999999992</v>
      </c>
      <c r="G35" s="290"/>
      <c r="H35" s="290">
        <f>H34*H38</f>
        <v>76636.354132799999</v>
      </c>
      <c r="I35" s="290"/>
      <c r="J35" s="290">
        <f>J34*J38</f>
        <v>76661.432395800002</v>
      </c>
      <c r="K35" s="290"/>
      <c r="L35" s="290">
        <f>+L34</f>
        <v>25000</v>
      </c>
      <c r="M35" s="290"/>
      <c r="N35" s="290">
        <f>+N34</f>
        <v>86897</v>
      </c>
      <c r="O35" s="290"/>
      <c r="P35" s="290">
        <f>+P34</f>
        <v>17000</v>
      </c>
      <c r="Q35" s="290"/>
      <c r="R35" s="290">
        <f>+R34</f>
        <v>73103</v>
      </c>
      <c r="S35" s="290"/>
      <c r="T35" s="290"/>
      <c r="U35" s="291"/>
      <c r="V35" s="290">
        <f>SUM(C35:R35)</f>
        <v>790813.02830989996</v>
      </c>
      <c r="W35" s="292"/>
      <c r="X35" s="5"/>
    </row>
    <row r="36" spans="1:24" ht="15.6" x14ac:dyDescent="0.3">
      <c r="A36" s="283"/>
      <c r="B36" s="288" t="s">
        <v>295</v>
      </c>
      <c r="C36" s="301"/>
      <c r="D36" s="303">
        <f>D34*D37</f>
        <v>361991.64689609996</v>
      </c>
      <c r="E36" s="301"/>
      <c r="F36" s="303">
        <f>F34*F37</f>
        <v>64386.553999999996</v>
      </c>
      <c r="G36" s="303"/>
      <c r="H36" s="303">
        <f>H34*H37</f>
        <v>75028.541263199993</v>
      </c>
      <c r="I36" s="303"/>
      <c r="J36" s="303">
        <f>J34*J37</f>
        <v>75053.086652600003</v>
      </c>
      <c r="K36" s="303"/>
      <c r="L36" s="303">
        <f>+L34</f>
        <v>25000</v>
      </c>
      <c r="M36" s="303"/>
      <c r="N36" s="303">
        <f>+N34</f>
        <v>86897</v>
      </c>
      <c r="O36" s="303"/>
      <c r="P36" s="303">
        <f>+P34</f>
        <v>17000</v>
      </c>
      <c r="Q36" s="303"/>
      <c r="R36" s="303">
        <f>+R34</f>
        <v>73103</v>
      </c>
      <c r="S36" s="302"/>
      <c r="T36" s="302"/>
      <c r="U36" s="291"/>
      <c r="V36" s="303">
        <f>SUM(C36:R36)</f>
        <v>778459.82881189999</v>
      </c>
      <c r="W36" s="292"/>
      <c r="X36" s="5"/>
    </row>
    <row r="37" spans="1:24" ht="15.6" x14ac:dyDescent="0.3">
      <c r="A37" s="278"/>
      <c r="B37" s="304" t="s">
        <v>135</v>
      </c>
      <c r="C37" s="305"/>
      <c r="D37" s="306">
        <v>0.44404329999999997</v>
      </c>
      <c r="E37" s="307"/>
      <c r="F37" s="306">
        <v>0.44404519999999997</v>
      </c>
      <c r="G37" s="306"/>
      <c r="H37" s="306">
        <v>0.44404519999999997</v>
      </c>
      <c r="I37" s="306"/>
      <c r="J37" s="306">
        <v>0.44404329999999997</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0.45355889999999999</v>
      </c>
      <c r="E38" s="307"/>
      <c r="F38" s="306">
        <v>0.45356079999999999</v>
      </c>
      <c r="G38" s="306"/>
      <c r="H38" s="306">
        <v>0.45356079999999999</v>
      </c>
      <c r="I38" s="306"/>
      <c r="J38" s="306">
        <v>0.45355889999999999</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1.46556E-2</v>
      </c>
      <c r="E40" s="279"/>
      <c r="F40" s="314">
        <v>5.5525000000000001E-3</v>
      </c>
      <c r="G40" s="313"/>
      <c r="H40" s="314">
        <v>0</v>
      </c>
      <c r="I40" s="314"/>
      <c r="J40" s="314">
        <v>1.40178E-2</v>
      </c>
      <c r="K40" s="313"/>
      <c r="L40" s="314">
        <v>7.9524999999999995E-3</v>
      </c>
      <c r="M40" s="313"/>
      <c r="N40" s="314">
        <v>1.5100000000000001E-3</v>
      </c>
      <c r="O40" s="313"/>
      <c r="P40" s="314">
        <v>1.2352500000000001E-2</v>
      </c>
      <c r="Q40" s="313"/>
      <c r="R40" s="314">
        <v>5.9100000000000003E-3</v>
      </c>
      <c r="S40" s="313"/>
      <c r="T40" s="314"/>
      <c r="U40" s="281"/>
      <c r="V40" s="287"/>
      <c r="W40" s="282"/>
      <c r="X40" s="5"/>
    </row>
    <row r="41" spans="1:24" ht="15.6" x14ac:dyDescent="0.3">
      <c r="A41" s="278"/>
      <c r="B41" s="279" t="s">
        <v>13</v>
      </c>
      <c r="C41" s="279"/>
      <c r="D41" s="314">
        <v>1.23389E-2</v>
      </c>
      <c r="E41" s="279"/>
      <c r="F41" s="314">
        <v>5.9806E-3</v>
      </c>
      <c r="G41" s="313"/>
      <c r="H41" s="314">
        <v>0</v>
      </c>
      <c r="I41" s="314"/>
      <c r="J41" s="314">
        <v>1.259E-2</v>
      </c>
      <c r="K41" s="313"/>
      <c r="L41" s="314">
        <v>8.3806000000000002E-3</v>
      </c>
      <c r="M41" s="313"/>
      <c r="N41" s="314">
        <v>1.5100000000000001E-3</v>
      </c>
      <c r="O41" s="313"/>
      <c r="P41" s="314">
        <v>1.27806E-2</v>
      </c>
      <c r="Q41" s="313"/>
      <c r="R41" s="314">
        <v>5.9100000000000003E-3</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5.7667999999999999E-3</v>
      </c>
      <c r="E43" s="314"/>
      <c r="F43" s="314">
        <f>+F40</f>
        <v>5.5525000000000001E-3</v>
      </c>
      <c r="G43" s="314"/>
      <c r="H43" s="314">
        <v>5.4745000000000002E-3</v>
      </c>
      <c r="I43" s="314"/>
      <c r="J43" s="314">
        <v>5.7165000000000002E-3</v>
      </c>
      <c r="K43" s="314"/>
      <c r="L43" s="314">
        <f>+L40</f>
        <v>7.9524999999999995E-3</v>
      </c>
      <c r="M43" s="314"/>
      <c r="N43" s="314">
        <v>8.1545000000000003E-3</v>
      </c>
      <c r="O43" s="314"/>
      <c r="P43" s="314">
        <f>+P40</f>
        <v>1.2352500000000001E-2</v>
      </c>
      <c r="Q43" s="313"/>
      <c r="R43" s="314">
        <v>1.2824500000000001E-2</v>
      </c>
      <c r="S43" s="287"/>
      <c r="T43" s="287"/>
      <c r="U43" s="281"/>
      <c r="V43" s="313">
        <f>SUMPRODUCT(D43:R43,D35:R35)/V35</f>
        <v>6.8412281918756E-3</v>
      </c>
      <c r="W43" s="282"/>
      <c r="X43" s="5"/>
    </row>
    <row r="44" spans="1:24" ht="15.6" x14ac:dyDescent="0.3">
      <c r="A44" s="278"/>
      <c r="B44" s="279" t="s">
        <v>298</v>
      </c>
      <c r="C44" s="315"/>
      <c r="D44" s="314">
        <v>6.1948999999999997E-3</v>
      </c>
      <c r="E44" s="314"/>
      <c r="F44" s="314">
        <f>+F41</f>
        <v>5.9806E-3</v>
      </c>
      <c r="G44" s="314"/>
      <c r="H44" s="314">
        <v>5.9026E-3</v>
      </c>
      <c r="I44" s="314"/>
      <c r="J44" s="314">
        <v>6.1446000000000001E-3</v>
      </c>
      <c r="K44" s="314"/>
      <c r="L44" s="314">
        <f>+L41</f>
        <v>8.3806000000000002E-3</v>
      </c>
      <c r="M44" s="314"/>
      <c r="N44" s="314">
        <v>8.5825999999999993E-3</v>
      </c>
      <c r="O44" s="314"/>
      <c r="P44" s="314">
        <f>+P41</f>
        <v>1.27806E-2</v>
      </c>
      <c r="Q44" s="313"/>
      <c r="R44" s="314">
        <v>1.32526E-2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0.35041470351252008</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42962</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89</v>
      </c>
      <c r="S57" s="279"/>
      <c r="T57" s="325">
        <v>42781</v>
      </c>
      <c r="U57" s="326"/>
      <c r="V57" s="325">
        <v>42869</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42870</v>
      </c>
      <c r="U58" s="326"/>
      <c r="V58" s="325">
        <v>42961</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42948</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348</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790813</v>
      </c>
      <c r="O68" s="329"/>
      <c r="P68" s="329">
        <f>12353+132+60</f>
        <v>12545</v>
      </c>
      <c r="Q68" s="329"/>
      <c r="R68" s="329">
        <f>132+60</f>
        <v>192</v>
      </c>
      <c r="S68" s="329"/>
      <c r="T68" s="329">
        <v>0</v>
      </c>
      <c r="U68" s="329"/>
      <c r="V68" s="330">
        <f>+N68-P68+R68-T68</f>
        <v>778460</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790813</v>
      </c>
      <c r="O71" s="329"/>
      <c r="P71" s="329">
        <f>SUM(P68:P70)</f>
        <v>12545</v>
      </c>
      <c r="Q71" s="329"/>
      <c r="R71" s="329">
        <f>SUM(R68:R70)</f>
        <v>192</v>
      </c>
      <c r="S71" s="329"/>
      <c r="T71" s="329">
        <f>SUM(T68:T70)</f>
        <v>0</v>
      </c>
      <c r="U71" s="329"/>
      <c r="V71" s="329">
        <f>SUM(V68:V70)</f>
        <v>778460</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790813</v>
      </c>
      <c r="O84" s="329"/>
      <c r="P84" s="329"/>
      <c r="Q84" s="329"/>
      <c r="R84" s="329"/>
      <c r="S84" s="329"/>
      <c r="T84" s="329"/>
      <c r="U84" s="329"/>
      <c r="V84" s="329">
        <f>SUM(V71:V83)</f>
        <v>778460</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42947</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12545+39</f>
        <v>12584</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3568+1861-930-430</f>
        <v>4069</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141+48</f>
        <v>189</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26</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291</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12584</v>
      </c>
      <c r="U96" s="279"/>
      <c r="V96" s="329">
        <f>SUM(V88:V95)</f>
        <v>4575</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-30</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12584</v>
      </c>
      <c r="U100" s="279"/>
      <c r="V100" s="329">
        <f>V96+V98+V97+V99</f>
        <v>4545</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-302-45-10</f>
        <v>-357</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-846+92</f>
        <v>-754</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-92</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-179</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-50</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-236</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-53</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-33</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-39</v>
      </c>
      <c r="U114" s="279"/>
      <c r="V114" s="330">
        <v>39</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-302</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-2526</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-192</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-7757</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-1380</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-1608</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-1608</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-12545</v>
      </c>
      <c r="U132" s="329"/>
      <c r="V132" s="329">
        <f>SUM(V101:V129)</f>
        <v>-4545</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JULY 2017</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-39</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-39</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39</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f>-V99</f>
        <v>30</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778460</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778460</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+'April 17'!S182</f>
        <v>54493</v>
      </c>
      <c r="T180" s="330">
        <f>+'April 17'!T182</f>
        <v>6367</v>
      </c>
      <c r="U180" s="279"/>
      <c r="V180" s="330">
        <f>S180+T180</f>
        <v>60860</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132+60</f>
        <v>192</v>
      </c>
      <c r="T181" s="329">
        <v>0</v>
      </c>
      <c r="U181" s="279"/>
      <c r="V181" s="330">
        <f>S181+T181</f>
        <v>192</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54685</v>
      </c>
      <c r="T182" s="330">
        <f>T181+T180</f>
        <v>6367</v>
      </c>
      <c r="U182" s="279"/>
      <c r="V182" s="330">
        <f>S182+T182</f>
        <v>61052</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178980.80000000002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4.9479905437352247</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1.89</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14.585152838427948</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7.39</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10.764705882352942</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6.82</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JULY 2017</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42947</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2.051E-2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6.8412281918756E-3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1.36687718081244E-2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5.7472499819805692E-3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10.57</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1.5863421567424915E-2</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6.1899999999999997E-2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0</v>
      </c>
      <c r="T215" s="263">
        <v>0</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84</v>
      </c>
      <c r="T216" s="355">
        <f>+T268</f>
        <v>14374</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0</v>
      </c>
      <c r="T217" s="355">
        <f>+T280</f>
        <v>0</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-39</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'April 17'!T222+'July 17'!T221</f>
        <v>7109</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1</v>
      </c>
      <c r="T224" s="355">
        <v>40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17.05</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4.67</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4</v>
      </c>
      <c r="T228" s="355">
        <v>625</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0.44</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5902</v>
      </c>
      <c r="S235" s="372">
        <f t="shared" ref="S235:S242" si="2">R235/$R$244</f>
        <v>0.99949195596951734</v>
      </c>
      <c r="T235" s="330">
        <f t="shared" ref="T235:T242" si="3">+T247+T259+T271</f>
        <v>778208</v>
      </c>
      <c r="U235" s="372">
        <f t="shared" ref="U235:U242" si="4">T235/$T$244</f>
        <v>0.99967628394522523</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0</v>
      </c>
      <c r="S236" s="372">
        <f t="shared" si="2"/>
        <v>0</v>
      </c>
      <c r="T236" s="330">
        <f t="shared" si="3"/>
        <v>0</v>
      </c>
      <c r="U236" s="372">
        <f t="shared" si="4"/>
        <v>0</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0</v>
      </c>
      <c r="S237" s="372">
        <f t="shared" si="2"/>
        <v>0</v>
      </c>
      <c r="T237" s="330">
        <f t="shared" si="3"/>
        <v>0</v>
      </c>
      <c r="U237" s="372">
        <f t="shared" si="4"/>
        <v>0</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1</v>
      </c>
      <c r="S238" s="372">
        <f t="shared" si="2"/>
        <v>1.6934801016088062E-4</v>
      </c>
      <c r="T238" s="330">
        <f t="shared" si="3"/>
        <v>43</v>
      </c>
      <c r="U238" s="372">
        <f t="shared" si="4"/>
        <v>5.5237263314749636E-5</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1</v>
      </c>
      <c r="S239" s="372">
        <f t="shared" si="2"/>
        <v>1.6934801016088062E-4</v>
      </c>
      <c r="T239" s="330">
        <f t="shared" si="3"/>
        <v>39</v>
      </c>
      <c r="U239" s="372">
        <f t="shared" si="4"/>
        <v>5.009891323895897E-5</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1</v>
      </c>
      <c r="S241" s="372">
        <f t="shared" si="2"/>
        <v>1.6934801016088062E-4</v>
      </c>
      <c r="T241" s="330">
        <f t="shared" si="3"/>
        <v>170</v>
      </c>
      <c r="U241" s="372">
        <f t="shared" si="4"/>
        <v>2.183798782211032E-4</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0</v>
      </c>
      <c r="S242" s="372">
        <f t="shared" si="2"/>
        <v>0</v>
      </c>
      <c r="T242" s="330">
        <f t="shared" si="3"/>
        <v>0</v>
      </c>
      <c r="U242" s="372">
        <f t="shared" si="4"/>
        <v>0</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5905</v>
      </c>
      <c r="S244" s="372">
        <f>SUM(S235:S243)</f>
        <v>1</v>
      </c>
      <c r="T244" s="330">
        <f>SUM(T235:T243)</f>
        <v>778460</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5820</v>
      </c>
      <c r="S247" s="250">
        <f t="shared" ref="S247:S254" si="5">R247/$R$256</f>
        <v>0.99982820821164753</v>
      </c>
      <c r="T247" s="251">
        <v>764043</v>
      </c>
      <c r="U247" s="250">
        <f t="shared" ref="U247:U254" si="6">T247/$T$256</f>
        <v>0.99994372361226358</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0</v>
      </c>
      <c r="S248" s="372">
        <f t="shared" si="5"/>
        <v>0</v>
      </c>
      <c r="T248" s="330">
        <v>0</v>
      </c>
      <c r="U248" s="372">
        <f t="shared" si="6"/>
        <v>0</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1</v>
      </c>
      <c r="S250" s="372">
        <f t="shared" si="5"/>
        <v>1.7179178835251675E-4</v>
      </c>
      <c r="T250" s="330">
        <v>43</v>
      </c>
      <c r="U250" s="372">
        <f t="shared" si="6"/>
        <v>5.6276387736458983E-5</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0</v>
      </c>
      <c r="S254" s="372">
        <f t="shared" si="5"/>
        <v>0</v>
      </c>
      <c r="T254" s="330">
        <v>0</v>
      </c>
      <c r="U254" s="372">
        <f t="shared" si="6"/>
        <v>0</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5821</v>
      </c>
      <c r="S256" s="372">
        <f>SUM(S247:S255)</f>
        <v>1</v>
      </c>
      <c r="T256" s="330">
        <f>SUM(T247:T255)</f>
        <v>764086</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82</v>
      </c>
      <c r="S259" s="250">
        <f t="shared" ref="S259:S266" si="7">R259/$R$268</f>
        <v>0.97619047619047616</v>
      </c>
      <c r="T259" s="251">
        <v>14165</v>
      </c>
      <c r="U259" s="250">
        <f t="shared" ref="U259:U266" si="8">T259/$T$268</f>
        <v>0.98545985807708358</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0</v>
      </c>
      <c r="S260" s="372">
        <f t="shared" si="7"/>
        <v>0</v>
      </c>
      <c r="T260" s="330">
        <v>0</v>
      </c>
      <c r="U260" s="372">
        <f t="shared" si="8"/>
        <v>0</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0</v>
      </c>
      <c r="S261" s="372">
        <f t="shared" si="7"/>
        <v>0</v>
      </c>
      <c r="T261" s="330">
        <v>0</v>
      </c>
      <c r="U261" s="372">
        <f t="shared" si="8"/>
        <v>0</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0</v>
      </c>
      <c r="S262" s="372">
        <f t="shared" si="7"/>
        <v>0</v>
      </c>
      <c r="T262" s="330">
        <v>0</v>
      </c>
      <c r="U262" s="372">
        <f t="shared" si="8"/>
        <v>0</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1</v>
      </c>
      <c r="S263" s="372">
        <f t="shared" si="7"/>
        <v>1.1904761904761904E-2</v>
      </c>
      <c r="T263" s="330">
        <v>39</v>
      </c>
      <c r="U263" s="372">
        <f t="shared" si="8"/>
        <v>2.7132322248504242E-3</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1</v>
      </c>
      <c r="S265" s="372">
        <f t="shared" si="7"/>
        <v>1.1904761904761904E-2</v>
      </c>
      <c r="T265" s="330">
        <v>170</v>
      </c>
      <c r="U265" s="372">
        <f t="shared" si="8"/>
        <v>1.1826909698065952E-2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0</v>
      </c>
      <c r="S266" s="372">
        <f t="shared" si="7"/>
        <v>0</v>
      </c>
      <c r="T266" s="330">
        <v>0</v>
      </c>
      <c r="U266" s="372">
        <f t="shared" si="8"/>
        <v>0</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84</v>
      </c>
      <c r="S268" s="372">
        <f>SUM(S259:S267)</f>
        <v>0.99999999999999989</v>
      </c>
      <c r="T268" s="330">
        <f>SUM(T259:T267)</f>
        <v>14374</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0</v>
      </c>
      <c r="S278" s="372">
        <v>0</v>
      </c>
      <c r="T278" s="330">
        <v>0</v>
      </c>
      <c r="U278" s="372">
        <v>0</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0</v>
      </c>
      <c r="S280" s="372">
        <f>SUM(S271:S279)</f>
        <v>0</v>
      </c>
      <c r="T280" s="330">
        <f>SUM(T271:T278)</f>
        <v>0</v>
      </c>
      <c r="U280" s="372">
        <f>SUM(U271:U279)</f>
        <v>0</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5905</v>
      </c>
      <c r="S282" s="372"/>
      <c r="T282" s="397">
        <f>+T280+T268+T256</f>
        <v>778460</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327</v>
      </c>
      <c r="C287" s="378"/>
      <c r="D287" s="378"/>
      <c r="E287" s="378"/>
      <c r="F287" s="398" t="s">
        <v>278</v>
      </c>
      <c r="G287" s="378"/>
      <c r="H287" s="378" t="s">
        <v>279</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328</v>
      </c>
      <c r="C288" s="378"/>
      <c r="D288" s="378"/>
      <c r="E288" s="378"/>
      <c r="F288" s="398" t="s">
        <v>152</v>
      </c>
      <c r="G288" s="378"/>
      <c r="H288" s="378" t="s">
        <v>158</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c r="C289" s="378"/>
      <c r="D289" s="378"/>
      <c r="E289" s="378"/>
      <c r="F289" s="378"/>
      <c r="G289" s="259"/>
      <c r="H289" s="257"/>
      <c r="I289" s="257"/>
      <c r="J289" s="257"/>
      <c r="K289" s="257"/>
      <c r="L289" s="257"/>
      <c r="M289" s="257"/>
      <c r="N289" s="257"/>
      <c r="O289" s="257"/>
      <c r="P289" s="257"/>
      <c r="Q289" s="257"/>
      <c r="R289" s="257"/>
      <c r="S289" s="257"/>
      <c r="T289" s="257"/>
      <c r="U289" s="257"/>
      <c r="V289" s="257"/>
      <c r="W289" s="187"/>
      <c r="X289" s="5"/>
    </row>
    <row r="290" spans="1:24" ht="18" thickBot="1" x14ac:dyDescent="0.35">
      <c r="A290" s="222"/>
      <c r="B290" s="260" t="str">
        <f>B196</f>
        <v>PM12 INVESTOR REPORT QUARTER ENDING JULY 2017</v>
      </c>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x14ac:dyDescent="0.2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row>
  </sheetData>
  <hyperlinks>
    <hyperlink ref="P232" r:id="rId1" xr:uid="{00000000-0004-0000-2B00-000000000000}"/>
    <hyperlink ref="I9" r:id="rId2" xr:uid="{00000000-0004-0000-2B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89CB31"/>
  </sheetPr>
  <dimension ref="A1:Y291"/>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0.66679999999999995</v>
      </c>
      <c r="T16" s="516" t="s">
        <v>145</v>
      </c>
      <c r="U16" s="515">
        <v>0.3332</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43055</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219</v>
      </c>
      <c r="E26" s="526"/>
      <c r="F26" s="526" t="s">
        <v>146</v>
      </c>
      <c r="G26" s="526"/>
      <c r="H26" s="526" t="s">
        <v>146</v>
      </c>
      <c r="I26" s="526"/>
      <c r="J26" s="526" t="s">
        <v>146</v>
      </c>
      <c r="K26" s="526"/>
      <c r="L26" s="526" t="s">
        <v>347</v>
      </c>
      <c r="M26" s="526"/>
      <c r="N26" s="526" t="s">
        <v>347</v>
      </c>
      <c r="O26" s="526"/>
      <c r="P26" s="526" t="s">
        <v>147</v>
      </c>
      <c r="Q26" s="526"/>
      <c r="R26" s="526" t="s">
        <v>147</v>
      </c>
      <c r="S26" s="526"/>
      <c r="T26" s="523"/>
      <c r="U26" s="522"/>
      <c r="V26" s="522"/>
      <c r="W26" s="524"/>
      <c r="X26" s="512"/>
    </row>
    <row r="27" spans="1:25" s="513" customFormat="1" x14ac:dyDescent="0.3">
      <c r="A27" s="521"/>
      <c r="B27" s="527" t="s">
        <v>197</v>
      </c>
      <c r="C27" s="523"/>
      <c r="D27" s="526" t="s">
        <v>314</v>
      </c>
      <c r="E27" s="526"/>
      <c r="F27" s="526" t="s">
        <v>148</v>
      </c>
      <c r="G27" s="526"/>
      <c r="H27" s="526" t="s">
        <v>148</v>
      </c>
      <c r="I27" s="526"/>
      <c r="J27" s="526" t="s">
        <v>148</v>
      </c>
      <c r="K27" s="526"/>
      <c r="L27" s="526" t="s">
        <v>149</v>
      </c>
      <c r="M27" s="526"/>
      <c r="N27" s="526" t="s">
        <v>149</v>
      </c>
      <c r="O27" s="526"/>
      <c r="P27" s="526" t="s">
        <v>337</v>
      </c>
      <c r="Q27" s="526"/>
      <c r="R27" s="526" t="s">
        <v>337</v>
      </c>
      <c r="S27" s="523"/>
      <c r="T27" s="528"/>
      <c r="U27" s="522"/>
      <c r="V27" s="522"/>
      <c r="W27" s="524"/>
      <c r="X27" s="512"/>
    </row>
    <row r="28" spans="1:25" s="513" customFormat="1" x14ac:dyDescent="0.3">
      <c r="A28" s="521"/>
      <c r="B28" s="527" t="s">
        <v>198</v>
      </c>
      <c r="C28" s="523"/>
      <c r="D28" s="526" t="s">
        <v>312</v>
      </c>
      <c r="E28" s="526"/>
      <c r="F28" s="526" t="s">
        <v>148</v>
      </c>
      <c r="G28" s="526"/>
      <c r="H28" s="526" t="s">
        <v>148</v>
      </c>
      <c r="I28" s="526"/>
      <c r="J28" s="526" t="s">
        <v>148</v>
      </c>
      <c r="K28" s="526"/>
      <c r="L28" s="526" t="s">
        <v>148</v>
      </c>
      <c r="M28" s="526"/>
      <c r="N28" s="526" t="s">
        <v>148</v>
      </c>
      <c r="O28" s="526"/>
      <c r="P28" s="526" t="s">
        <v>149</v>
      </c>
      <c r="Q28" s="526"/>
      <c r="R28" s="526" t="s">
        <v>149</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533">
        <f>D31*D38</f>
        <v>666064.94999999995</v>
      </c>
      <c r="E32" s="529"/>
      <c r="F32" s="530">
        <f>F31*F38</f>
        <v>64386.553999999996</v>
      </c>
      <c r="G32" s="530"/>
      <c r="H32" s="534">
        <f>H31*H38</f>
        <v>108791.07399999999</v>
      </c>
      <c r="I32" s="534"/>
      <c r="J32" s="533">
        <f>J31*J38</f>
        <v>138097.4663</v>
      </c>
      <c r="K32" s="530"/>
      <c r="L32" s="530">
        <f>+L31</f>
        <v>25000</v>
      </c>
      <c r="M32" s="530"/>
      <c r="N32" s="534">
        <f>+N31</f>
        <v>126000</v>
      </c>
      <c r="O32" s="530"/>
      <c r="P32" s="530">
        <f>+P31</f>
        <v>17000</v>
      </c>
      <c r="Q32" s="530"/>
      <c r="R32" s="534">
        <f>+R31</f>
        <v>106000</v>
      </c>
      <c r="S32" s="530"/>
      <c r="T32" s="530"/>
      <c r="U32" s="529"/>
      <c r="V32" s="530"/>
      <c r="W32" s="531"/>
      <c r="X32" s="512"/>
    </row>
    <row r="33" spans="1:24" s="513" customFormat="1" x14ac:dyDescent="0.3">
      <c r="A33" s="521"/>
      <c r="B33" s="527" t="s">
        <v>139</v>
      </c>
      <c r="C33" s="529"/>
      <c r="D33" s="536">
        <f>D37*D31</f>
        <v>652836.30000000005</v>
      </c>
      <c r="E33" s="532"/>
      <c r="F33" s="535">
        <f>F37*F31</f>
        <v>63107.798999999999</v>
      </c>
      <c r="G33" s="535"/>
      <c r="H33" s="537">
        <f>H31*H37</f>
        <v>106630.41900000001</v>
      </c>
      <c r="I33" s="537"/>
      <c r="J33" s="536">
        <f>J37*J31</f>
        <v>135354.7262</v>
      </c>
      <c r="K33" s="535"/>
      <c r="L33" s="535">
        <f>L31*L37</f>
        <v>25000</v>
      </c>
      <c r="M33" s="535"/>
      <c r="N33" s="537">
        <f>N31*N37</f>
        <v>126000</v>
      </c>
      <c r="O33" s="535"/>
      <c r="P33" s="535">
        <f>P31*P37</f>
        <v>17000</v>
      </c>
      <c r="Q33" s="535"/>
      <c r="R33" s="537">
        <f>R31*R37</f>
        <v>106000</v>
      </c>
      <c r="S33" s="530"/>
      <c r="T33" s="530"/>
      <c r="U33" s="529"/>
      <c r="V33" s="530"/>
      <c r="W33" s="531"/>
      <c r="X33" s="512"/>
    </row>
    <row r="34" spans="1:24"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4" s="513" customFormat="1" x14ac:dyDescent="0.3">
      <c r="A35" s="525"/>
      <c r="B35" s="522" t="s">
        <v>294</v>
      </c>
      <c r="C35" s="532"/>
      <c r="D35" s="530">
        <f>D34*D38</f>
        <v>361991.64689609996</v>
      </c>
      <c r="E35" s="529"/>
      <c r="F35" s="530">
        <f>F34*F38</f>
        <v>64386.553999999996</v>
      </c>
      <c r="G35" s="530"/>
      <c r="H35" s="530">
        <f>H34*H38</f>
        <v>75028.541263199993</v>
      </c>
      <c r="I35" s="530"/>
      <c r="J35" s="530">
        <f>J34*J38</f>
        <v>75053.086652600003</v>
      </c>
      <c r="K35" s="530"/>
      <c r="L35" s="530">
        <f>+L34</f>
        <v>25000</v>
      </c>
      <c r="M35" s="530"/>
      <c r="N35" s="530">
        <f>+N34</f>
        <v>86897</v>
      </c>
      <c r="O35" s="530"/>
      <c r="P35" s="530">
        <f>+P34</f>
        <v>17000</v>
      </c>
      <c r="Q35" s="530"/>
      <c r="R35" s="530">
        <f>+R34</f>
        <v>73103</v>
      </c>
      <c r="S35" s="530"/>
      <c r="T35" s="530"/>
      <c r="U35" s="529"/>
      <c r="V35" s="530">
        <f>SUM(C35:R35)</f>
        <v>778459.82881189999</v>
      </c>
      <c r="W35" s="531"/>
      <c r="X35" s="512"/>
    </row>
    <row r="36" spans="1:24" s="513" customFormat="1" x14ac:dyDescent="0.3">
      <c r="A36" s="525"/>
      <c r="B36" s="527" t="s">
        <v>295</v>
      </c>
      <c r="C36" s="532"/>
      <c r="D36" s="535">
        <f>D34*D37</f>
        <v>354802.16665139998</v>
      </c>
      <c r="E36" s="532"/>
      <c r="F36" s="535">
        <f>F34*F37</f>
        <v>63107.798999999999</v>
      </c>
      <c r="G36" s="535"/>
      <c r="H36" s="535">
        <f>H34*H37</f>
        <v>73538.430109199995</v>
      </c>
      <c r="I36" s="535"/>
      <c r="J36" s="535">
        <f>J34*J37</f>
        <v>73562.464732399996</v>
      </c>
      <c r="K36" s="535"/>
      <c r="L36" s="535">
        <f>+L34</f>
        <v>25000</v>
      </c>
      <c r="M36" s="535"/>
      <c r="N36" s="535">
        <f>+N34</f>
        <v>86897</v>
      </c>
      <c r="O36" s="535"/>
      <c r="P36" s="535">
        <f>+P34</f>
        <v>17000</v>
      </c>
      <c r="Q36" s="535"/>
      <c r="R36" s="535">
        <f>+R34</f>
        <v>73103</v>
      </c>
      <c r="S36" s="538"/>
      <c r="T36" s="538"/>
      <c r="U36" s="529"/>
      <c r="V36" s="535">
        <f>SUM(C36:R36)</f>
        <v>767010.86049300001</v>
      </c>
      <c r="W36" s="531"/>
      <c r="X36" s="512"/>
    </row>
    <row r="37" spans="1:24" x14ac:dyDescent="0.3">
      <c r="A37" s="420"/>
      <c r="B37" s="493" t="s">
        <v>135</v>
      </c>
      <c r="C37" s="494"/>
      <c r="D37" s="495">
        <v>0.43522420000000001</v>
      </c>
      <c r="E37" s="496"/>
      <c r="F37" s="495">
        <v>0.43522620000000001</v>
      </c>
      <c r="G37" s="495"/>
      <c r="H37" s="495">
        <v>0.43522620000000001</v>
      </c>
      <c r="I37" s="495"/>
      <c r="J37" s="495">
        <v>0.43522420000000001</v>
      </c>
      <c r="K37" s="495"/>
      <c r="L37" s="495">
        <v>1</v>
      </c>
      <c r="M37" s="495"/>
      <c r="N37" s="495">
        <v>1</v>
      </c>
      <c r="O37" s="495"/>
      <c r="P37" s="495">
        <v>1</v>
      </c>
      <c r="Q37" s="495"/>
      <c r="R37" s="495">
        <v>1</v>
      </c>
      <c r="S37" s="425"/>
      <c r="T37" s="425"/>
      <c r="U37" s="424"/>
      <c r="V37" s="424"/>
      <c r="W37" s="426"/>
      <c r="X37" s="405"/>
    </row>
    <row r="38" spans="1:24" x14ac:dyDescent="0.3">
      <c r="A38" s="420"/>
      <c r="B38" s="493" t="s">
        <v>136</v>
      </c>
      <c r="C38" s="494"/>
      <c r="D38" s="495">
        <v>0.44404329999999997</v>
      </c>
      <c r="E38" s="496"/>
      <c r="F38" s="495">
        <v>0.44404519999999997</v>
      </c>
      <c r="G38" s="495"/>
      <c r="H38" s="495">
        <v>0.44404519999999997</v>
      </c>
      <c r="I38" s="495"/>
      <c r="J38" s="495">
        <v>0.44404329999999997</v>
      </c>
      <c r="K38" s="495"/>
      <c r="L38" s="495">
        <v>1</v>
      </c>
      <c r="M38" s="495"/>
      <c r="N38" s="495">
        <v>1</v>
      </c>
      <c r="O38" s="495"/>
      <c r="P38" s="495">
        <v>1</v>
      </c>
      <c r="Q38" s="495"/>
      <c r="R38" s="495">
        <v>1</v>
      </c>
      <c r="S38" s="427"/>
      <c r="T38" s="428"/>
      <c r="U38" s="424"/>
      <c r="V38" s="427"/>
      <c r="W38" s="426"/>
      <c r="X38" s="405"/>
    </row>
    <row r="39" spans="1:24"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4" s="513" customFormat="1" x14ac:dyDescent="0.3">
      <c r="A40" s="521"/>
      <c r="B40" s="522" t="s">
        <v>12</v>
      </c>
      <c r="C40" s="522"/>
      <c r="D40" s="540">
        <v>1.4788900000000001E-2</v>
      </c>
      <c r="E40" s="522"/>
      <c r="F40" s="540">
        <v>5.1963000000000001E-3</v>
      </c>
      <c r="G40" s="539"/>
      <c r="H40" s="540">
        <v>0</v>
      </c>
      <c r="I40" s="540"/>
      <c r="J40" s="540">
        <v>1.5350000000000001E-2</v>
      </c>
      <c r="K40" s="539"/>
      <c r="L40" s="540">
        <v>7.5963000000000003E-3</v>
      </c>
      <c r="M40" s="539"/>
      <c r="N40" s="540">
        <v>1.5100000000000001E-3</v>
      </c>
      <c r="O40" s="539"/>
      <c r="P40" s="540">
        <v>1.19963E-2</v>
      </c>
      <c r="Q40" s="539"/>
      <c r="R40" s="540">
        <v>5.9100000000000003E-3</v>
      </c>
      <c r="S40" s="539"/>
      <c r="T40" s="540"/>
      <c r="U40" s="522"/>
      <c r="V40" s="528"/>
      <c r="W40" s="524"/>
      <c r="X40" s="512"/>
    </row>
    <row r="41" spans="1:24" s="513" customFormat="1" x14ac:dyDescent="0.3">
      <c r="A41" s="521"/>
      <c r="B41" s="522" t="s">
        <v>13</v>
      </c>
      <c r="C41" s="522"/>
      <c r="D41" s="540">
        <v>1.46556E-2</v>
      </c>
      <c r="E41" s="522"/>
      <c r="F41" s="540">
        <v>5.5525000000000001E-3</v>
      </c>
      <c r="G41" s="539"/>
      <c r="H41" s="540">
        <v>0</v>
      </c>
      <c r="I41" s="540"/>
      <c r="J41" s="540">
        <v>1.40178E-2</v>
      </c>
      <c r="K41" s="539"/>
      <c r="L41" s="540">
        <v>7.9524999999999995E-3</v>
      </c>
      <c r="M41" s="539"/>
      <c r="N41" s="540">
        <v>1.5100000000000001E-3</v>
      </c>
      <c r="O41" s="539"/>
      <c r="P41" s="540">
        <v>1.2352500000000001E-2</v>
      </c>
      <c r="Q41" s="539"/>
      <c r="R41" s="540">
        <v>5.9100000000000003E-3</v>
      </c>
      <c r="S41" s="539"/>
      <c r="T41" s="540"/>
      <c r="U41" s="522"/>
      <c r="V41" s="539" t="s">
        <v>199</v>
      </c>
      <c r="W41" s="524"/>
      <c r="X41" s="512"/>
    </row>
    <row r="42" spans="1:24" s="513" customFormat="1" x14ac:dyDescent="0.3">
      <c r="A42" s="521"/>
      <c r="B42" s="522" t="s">
        <v>296</v>
      </c>
      <c r="C42" s="522"/>
      <c r="D42" s="528" t="s">
        <v>243</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4" s="513" customFormat="1" x14ac:dyDescent="0.3">
      <c r="A43" s="521"/>
      <c r="B43" s="522" t="s">
        <v>297</v>
      </c>
      <c r="C43" s="541"/>
      <c r="D43" s="540">
        <v>5.4105999999999998E-3</v>
      </c>
      <c r="E43" s="540"/>
      <c r="F43" s="540">
        <f>+F40</f>
        <v>5.1963000000000001E-3</v>
      </c>
      <c r="G43" s="540"/>
      <c r="H43" s="540">
        <v>5.1183000000000001E-3</v>
      </c>
      <c r="I43" s="540"/>
      <c r="J43" s="540">
        <v>5.3603000000000001E-3</v>
      </c>
      <c r="K43" s="540"/>
      <c r="L43" s="540">
        <f>+L40</f>
        <v>7.5963000000000003E-3</v>
      </c>
      <c r="M43" s="540"/>
      <c r="N43" s="540">
        <v>7.7983000000000002E-3</v>
      </c>
      <c r="O43" s="540"/>
      <c r="P43" s="540">
        <f>+P40</f>
        <v>1.19963E-2</v>
      </c>
      <c r="Q43" s="539"/>
      <c r="R43" s="540">
        <v>1.24683E-2</v>
      </c>
      <c r="S43" s="528"/>
      <c r="T43" s="528"/>
      <c r="U43" s="522"/>
      <c r="V43" s="539">
        <f>SUMPRODUCT(D43:R43,D35:R35)/V35</f>
        <v>6.5031655083654313E-3</v>
      </c>
      <c r="W43" s="524"/>
      <c r="X43" s="512"/>
    </row>
    <row r="44" spans="1:24" s="513" customFormat="1" x14ac:dyDescent="0.3">
      <c r="A44" s="521"/>
      <c r="B44" s="522" t="s">
        <v>298</v>
      </c>
      <c r="C44" s="541"/>
      <c r="D44" s="540">
        <v>5.7667999999999999E-3</v>
      </c>
      <c r="E44" s="540"/>
      <c r="F44" s="540">
        <f>+F41</f>
        <v>5.5525000000000001E-3</v>
      </c>
      <c r="G44" s="540"/>
      <c r="H44" s="540">
        <v>5.4745000000000002E-3</v>
      </c>
      <c r="I44" s="540"/>
      <c r="J44" s="540">
        <v>5.7165000000000002E-3</v>
      </c>
      <c r="K44" s="540"/>
      <c r="L44" s="540">
        <f>+L41</f>
        <v>7.9524999999999995E-3</v>
      </c>
      <c r="M44" s="540"/>
      <c r="N44" s="540">
        <v>8.1545000000000003E-3</v>
      </c>
      <c r="O44" s="540"/>
      <c r="P44" s="540">
        <f>+P41</f>
        <v>1.2352500000000001E-2</v>
      </c>
      <c r="Q44" s="539"/>
      <c r="R44" s="540">
        <v>1.2824500000000001E-2</v>
      </c>
      <c r="S44" s="528"/>
      <c r="T44" s="528"/>
      <c r="U44" s="522"/>
      <c r="V44" s="522"/>
      <c r="W44" s="524"/>
      <c r="X44" s="512"/>
    </row>
    <row r="45" spans="1:24"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4"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4"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4" s="513" customFormat="1" x14ac:dyDescent="0.3">
      <c r="A48" s="521"/>
      <c r="B48" s="522" t="s">
        <v>299</v>
      </c>
      <c r="C48" s="522"/>
      <c r="D48" s="528" t="s">
        <v>243</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0.3575152516957727</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209</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43054</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42870</v>
      </c>
      <c r="U57" s="550"/>
      <c r="V57" s="549">
        <v>42961</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42962</v>
      </c>
      <c r="U58" s="550"/>
      <c r="V58" s="549">
        <v>43053</v>
      </c>
      <c r="W58" s="524"/>
      <c r="X58" s="512"/>
    </row>
    <row r="59" spans="1:25" s="513" customFormat="1" x14ac:dyDescent="0.3">
      <c r="A59" s="521"/>
      <c r="B59" s="522" t="s">
        <v>263</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262</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43040</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352</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778460</v>
      </c>
      <c r="O68" s="562"/>
      <c r="P68" s="562">
        <f>11449+178+55</f>
        <v>11682</v>
      </c>
      <c r="Q68" s="562"/>
      <c r="R68" s="562">
        <f>178+55</f>
        <v>233</v>
      </c>
      <c r="S68" s="562"/>
      <c r="T68" s="562">
        <v>0</v>
      </c>
      <c r="U68" s="562"/>
      <c r="V68" s="563">
        <f>+N68-P68+R68-T68</f>
        <v>767011</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778460</v>
      </c>
      <c r="O71" s="562"/>
      <c r="P71" s="562">
        <f>SUM(P68:P70)</f>
        <v>11682</v>
      </c>
      <c r="Q71" s="562"/>
      <c r="R71" s="562">
        <f>SUM(R68:R70)</f>
        <v>233</v>
      </c>
      <c r="S71" s="562"/>
      <c r="T71" s="562">
        <f>SUM(T68:T70)</f>
        <v>0</v>
      </c>
      <c r="U71" s="562"/>
      <c r="V71" s="562">
        <f>SUM(V68:V70)</f>
        <v>767011</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778460</v>
      </c>
      <c r="O84" s="562"/>
      <c r="P84" s="562"/>
      <c r="Q84" s="562"/>
      <c r="R84" s="562"/>
      <c r="S84" s="562"/>
      <c r="T84" s="562"/>
      <c r="U84" s="562"/>
      <c r="V84" s="562">
        <f>SUM(V71:V83)</f>
        <v>767011</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+T197</f>
        <v>43039</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11682+9</f>
        <v>11691</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3918+1617-922-256</f>
        <v>4357</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49+15</f>
        <v>64</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20</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364</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11691</v>
      </c>
      <c r="U96" s="522"/>
      <c r="V96" s="562">
        <f>SUM(V88:V95)</f>
        <v>4805</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-7</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11691</v>
      </c>
      <c r="U100" s="522"/>
      <c r="V100" s="562">
        <f>V96+V98+V97+V99</f>
        <v>4798</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-297-123-10</f>
        <v>-430</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256</v>
      </c>
      <c r="C106" s="522"/>
      <c r="D106" s="522"/>
      <c r="E106" s="522"/>
      <c r="F106" s="522"/>
      <c r="G106" s="522"/>
      <c r="H106" s="522"/>
      <c r="I106" s="522"/>
      <c r="J106" s="522"/>
      <c r="K106" s="522"/>
      <c r="L106" s="522"/>
      <c r="M106" s="522"/>
      <c r="N106" s="522"/>
      <c r="O106" s="522"/>
      <c r="P106" s="522"/>
      <c r="Q106" s="522"/>
      <c r="R106" s="522"/>
      <c r="S106" s="522"/>
      <c r="T106" s="522"/>
      <c r="U106" s="522"/>
      <c r="V106" s="563">
        <f>-776+84</f>
        <v>-692</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-84</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-171</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-48</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-230</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-51</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-32</v>
      </c>
      <c r="W113" s="422"/>
      <c r="X113" s="405"/>
    </row>
    <row r="114" spans="1:24" x14ac:dyDescent="0.3">
      <c r="A114" s="521">
        <f t="shared" ref="A114:A119"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-9</v>
      </c>
      <c r="U114" s="522"/>
      <c r="V114" s="563">
        <v>9</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-297</v>
      </c>
      <c r="W118" s="422"/>
      <c r="X118" s="405"/>
    </row>
    <row r="119" spans="1:24" x14ac:dyDescent="0.3">
      <c r="A119" s="521">
        <f t="shared" si="0"/>
        <v>14</v>
      </c>
      <c r="B119" s="522" t="s">
        <v>131</v>
      </c>
      <c r="C119" s="522"/>
      <c r="D119" s="522"/>
      <c r="E119" s="522"/>
      <c r="F119" s="522"/>
      <c r="G119" s="522"/>
      <c r="H119" s="522"/>
      <c r="I119" s="522"/>
      <c r="J119" s="522"/>
      <c r="K119" s="522"/>
      <c r="L119" s="522"/>
      <c r="M119" s="522"/>
      <c r="N119" s="522"/>
      <c r="O119" s="522"/>
      <c r="P119" s="522"/>
      <c r="Q119" s="522"/>
      <c r="R119" s="522"/>
      <c r="S119" s="522"/>
      <c r="T119" s="522"/>
      <c r="U119" s="522"/>
      <c r="V119" s="563">
        <f>-V100-SUM(V102:V118)</f>
        <v>-2770</v>
      </c>
      <c r="W119" s="422"/>
      <c r="X119" s="405"/>
    </row>
    <row r="120" spans="1:24" x14ac:dyDescent="0.3">
      <c r="A120" s="420"/>
      <c r="B120" s="501" t="s">
        <v>38</v>
      </c>
      <c r="C120" s="424"/>
      <c r="D120" s="424"/>
      <c r="E120" s="424"/>
      <c r="F120" s="424"/>
      <c r="G120" s="424"/>
      <c r="H120" s="424"/>
      <c r="I120" s="424"/>
      <c r="J120" s="424"/>
      <c r="K120" s="424"/>
      <c r="L120" s="424"/>
      <c r="M120" s="424"/>
      <c r="N120" s="424"/>
      <c r="O120" s="424"/>
      <c r="P120" s="424"/>
      <c r="Q120" s="424"/>
      <c r="R120" s="424"/>
      <c r="S120" s="424"/>
      <c r="T120" s="424"/>
      <c r="U120" s="424"/>
      <c r="V120" s="443"/>
      <c r="W120" s="426"/>
      <c r="X120" s="405"/>
    </row>
    <row r="121" spans="1:24" x14ac:dyDescent="0.3">
      <c r="A121" s="420"/>
      <c r="B121" s="522" t="s">
        <v>179</v>
      </c>
      <c r="C121" s="522"/>
      <c r="D121" s="522"/>
      <c r="E121" s="522"/>
      <c r="F121" s="522"/>
      <c r="G121" s="522"/>
      <c r="H121" s="522"/>
      <c r="I121" s="522"/>
      <c r="J121" s="522"/>
      <c r="K121" s="522"/>
      <c r="L121" s="522"/>
      <c r="M121" s="522"/>
      <c r="N121" s="522"/>
      <c r="O121" s="522"/>
      <c r="P121" s="522"/>
      <c r="Q121" s="522"/>
      <c r="R121" s="522"/>
      <c r="S121" s="522"/>
      <c r="T121" s="562">
        <f>-T181</f>
        <v>0</v>
      </c>
      <c r="U121" s="562"/>
      <c r="V121" s="563"/>
      <c r="W121" s="524"/>
      <c r="X121" s="405"/>
    </row>
    <row r="122" spans="1:24" x14ac:dyDescent="0.3">
      <c r="A122" s="420"/>
      <c r="B122" s="522" t="s">
        <v>180</v>
      </c>
      <c r="C122" s="522"/>
      <c r="D122" s="522"/>
      <c r="E122" s="522"/>
      <c r="F122" s="522"/>
      <c r="G122" s="522"/>
      <c r="H122" s="522"/>
      <c r="I122" s="522"/>
      <c r="J122" s="522"/>
      <c r="K122" s="522"/>
      <c r="L122" s="522"/>
      <c r="M122" s="522"/>
      <c r="N122" s="522"/>
      <c r="O122" s="522"/>
      <c r="P122" s="522"/>
      <c r="Q122" s="522"/>
      <c r="R122" s="522"/>
      <c r="S122" s="522"/>
      <c r="T122" s="562">
        <v>0</v>
      </c>
      <c r="U122" s="562"/>
      <c r="V122" s="563"/>
      <c r="W122" s="524"/>
      <c r="X122" s="405"/>
    </row>
    <row r="123" spans="1:24" x14ac:dyDescent="0.3">
      <c r="A123" s="420"/>
      <c r="B123" s="522" t="s">
        <v>39</v>
      </c>
      <c r="C123" s="522"/>
      <c r="D123" s="522"/>
      <c r="E123" s="522"/>
      <c r="F123" s="522"/>
      <c r="G123" s="522"/>
      <c r="H123" s="522"/>
      <c r="I123" s="522"/>
      <c r="J123" s="522"/>
      <c r="K123" s="522"/>
      <c r="L123" s="522"/>
      <c r="M123" s="522"/>
      <c r="N123" s="522"/>
      <c r="O123" s="522"/>
      <c r="P123" s="522"/>
      <c r="Q123" s="522"/>
      <c r="R123" s="522"/>
      <c r="S123" s="522"/>
      <c r="T123" s="562">
        <f>-S181</f>
        <v>-233</v>
      </c>
      <c r="U123" s="562"/>
      <c r="V123" s="563"/>
      <c r="W123" s="524"/>
      <c r="X123" s="405"/>
    </row>
    <row r="124" spans="1:24" x14ac:dyDescent="0.3">
      <c r="A124" s="420"/>
      <c r="B124" s="522" t="s">
        <v>203</v>
      </c>
      <c r="C124" s="522"/>
      <c r="D124" s="522"/>
      <c r="E124" s="522"/>
      <c r="F124" s="522"/>
      <c r="G124" s="522"/>
      <c r="H124" s="522"/>
      <c r="I124" s="522"/>
      <c r="J124" s="522"/>
      <c r="K124" s="522"/>
      <c r="L124" s="522"/>
      <c r="M124" s="522"/>
      <c r="N124" s="522"/>
      <c r="O124" s="522"/>
      <c r="P124" s="522"/>
      <c r="Q124" s="522"/>
      <c r="R124" s="522"/>
      <c r="S124" s="522"/>
      <c r="T124" s="562">
        <v>-7189</v>
      </c>
      <c r="U124" s="562"/>
      <c r="V124" s="563"/>
      <c r="W124" s="524"/>
      <c r="X124" s="405"/>
    </row>
    <row r="125" spans="1:24" x14ac:dyDescent="0.3">
      <c r="A125" s="420"/>
      <c r="B125" s="522" t="s">
        <v>201</v>
      </c>
      <c r="C125" s="522"/>
      <c r="D125" s="522"/>
      <c r="E125" s="522"/>
      <c r="F125" s="522"/>
      <c r="G125" s="522"/>
      <c r="H125" s="522"/>
      <c r="I125" s="522"/>
      <c r="J125" s="522"/>
      <c r="K125" s="522"/>
      <c r="L125" s="522"/>
      <c r="M125" s="522"/>
      <c r="N125" s="522"/>
      <c r="O125" s="522"/>
      <c r="P125" s="522"/>
      <c r="Q125" s="522"/>
      <c r="R125" s="522"/>
      <c r="S125" s="522"/>
      <c r="T125" s="562">
        <v>-1279</v>
      </c>
      <c r="U125" s="562"/>
      <c r="V125" s="563"/>
      <c r="W125" s="524"/>
      <c r="X125" s="405"/>
    </row>
    <row r="126" spans="1:24" x14ac:dyDescent="0.3">
      <c r="A126" s="420"/>
      <c r="B126" s="522" t="s">
        <v>200</v>
      </c>
      <c r="C126" s="522"/>
      <c r="D126" s="522"/>
      <c r="E126" s="522"/>
      <c r="F126" s="522"/>
      <c r="G126" s="522"/>
      <c r="H126" s="522"/>
      <c r="I126" s="522"/>
      <c r="J126" s="522"/>
      <c r="K126" s="522"/>
      <c r="L126" s="522"/>
      <c r="M126" s="522"/>
      <c r="N126" s="522"/>
      <c r="O126" s="522"/>
      <c r="P126" s="522"/>
      <c r="Q126" s="522"/>
      <c r="R126" s="522"/>
      <c r="S126" s="522"/>
      <c r="T126" s="562">
        <v>-1490</v>
      </c>
      <c r="U126" s="562"/>
      <c r="V126" s="563"/>
      <c r="W126" s="524"/>
      <c r="X126" s="405"/>
    </row>
    <row r="127" spans="1:24" x14ac:dyDescent="0.3">
      <c r="A127" s="420"/>
      <c r="B127" s="522" t="s">
        <v>260</v>
      </c>
      <c r="C127" s="522"/>
      <c r="D127" s="522"/>
      <c r="E127" s="522"/>
      <c r="F127" s="522"/>
      <c r="G127" s="522"/>
      <c r="H127" s="522"/>
      <c r="I127" s="522"/>
      <c r="J127" s="522"/>
      <c r="K127" s="522"/>
      <c r="L127" s="522"/>
      <c r="M127" s="522"/>
      <c r="N127" s="522"/>
      <c r="O127" s="522"/>
      <c r="P127" s="522"/>
      <c r="Q127" s="522"/>
      <c r="R127" s="522"/>
      <c r="S127" s="522"/>
      <c r="T127" s="562">
        <v>-1491</v>
      </c>
      <c r="U127" s="562"/>
      <c r="V127" s="563"/>
      <c r="W127" s="524"/>
      <c r="X127" s="405"/>
    </row>
    <row r="128" spans="1:24" x14ac:dyDescent="0.3">
      <c r="A128" s="420"/>
      <c r="B128" s="522" t="s">
        <v>195</v>
      </c>
      <c r="C128" s="522"/>
      <c r="D128" s="522"/>
      <c r="E128" s="522"/>
      <c r="F128" s="522"/>
      <c r="G128" s="522"/>
      <c r="H128" s="522"/>
      <c r="I128" s="522"/>
      <c r="J128" s="522"/>
      <c r="K128" s="522"/>
      <c r="L128" s="522"/>
      <c r="M128" s="522"/>
      <c r="N128" s="522"/>
      <c r="O128" s="522"/>
      <c r="P128" s="522"/>
      <c r="Q128" s="522"/>
      <c r="R128" s="522"/>
      <c r="S128" s="522"/>
      <c r="T128" s="562">
        <v>0</v>
      </c>
      <c r="U128" s="562"/>
      <c r="V128" s="563"/>
      <c r="W128" s="524"/>
      <c r="X128" s="405"/>
    </row>
    <row r="129" spans="1:24" x14ac:dyDescent="0.3">
      <c r="A129" s="420"/>
      <c r="B129" s="522" t="s">
        <v>194</v>
      </c>
      <c r="C129" s="522"/>
      <c r="D129" s="522"/>
      <c r="E129" s="522"/>
      <c r="F129" s="522"/>
      <c r="G129" s="522"/>
      <c r="H129" s="522"/>
      <c r="I129" s="522"/>
      <c r="J129" s="522"/>
      <c r="K129" s="522"/>
      <c r="L129" s="522"/>
      <c r="M129" s="522"/>
      <c r="N129" s="522"/>
      <c r="O129" s="522"/>
      <c r="P129" s="522"/>
      <c r="Q129" s="522"/>
      <c r="R129" s="522"/>
      <c r="S129" s="522"/>
      <c r="T129" s="562">
        <v>0</v>
      </c>
      <c r="U129" s="562"/>
      <c r="V129" s="563"/>
      <c r="W129" s="524"/>
      <c r="X129" s="405"/>
    </row>
    <row r="130" spans="1:24" x14ac:dyDescent="0.3">
      <c r="A130" s="420"/>
      <c r="B130" s="522" t="s">
        <v>261</v>
      </c>
      <c r="C130" s="522"/>
      <c r="D130" s="522"/>
      <c r="E130" s="522"/>
      <c r="F130" s="522"/>
      <c r="G130" s="522"/>
      <c r="H130" s="522"/>
      <c r="I130" s="522"/>
      <c r="J130" s="522"/>
      <c r="K130" s="522"/>
      <c r="L130" s="522"/>
      <c r="M130" s="522"/>
      <c r="N130" s="522"/>
      <c r="O130" s="522"/>
      <c r="P130" s="522"/>
      <c r="Q130" s="522"/>
      <c r="R130" s="522"/>
      <c r="S130" s="522"/>
      <c r="T130" s="562">
        <v>0</v>
      </c>
      <c r="U130" s="562"/>
      <c r="V130" s="563"/>
      <c r="W130" s="524"/>
      <c r="X130" s="405"/>
    </row>
    <row r="131" spans="1:24" x14ac:dyDescent="0.3">
      <c r="A131" s="420"/>
      <c r="B131" s="522" t="s">
        <v>193</v>
      </c>
      <c r="C131" s="522"/>
      <c r="D131" s="522"/>
      <c r="E131" s="522"/>
      <c r="F131" s="522"/>
      <c r="G131" s="522"/>
      <c r="H131" s="522"/>
      <c r="I131" s="522"/>
      <c r="J131" s="522"/>
      <c r="K131" s="522"/>
      <c r="L131" s="522"/>
      <c r="M131" s="522"/>
      <c r="N131" s="522"/>
      <c r="O131" s="522"/>
      <c r="P131" s="522"/>
      <c r="Q131" s="522"/>
      <c r="R131" s="522"/>
      <c r="S131" s="522"/>
      <c r="T131" s="562">
        <v>0</v>
      </c>
      <c r="U131" s="562"/>
      <c r="V131" s="563"/>
      <c r="W131" s="524"/>
      <c r="X131" s="405"/>
    </row>
    <row r="132" spans="1:24" x14ac:dyDescent="0.3">
      <c r="A132" s="420"/>
      <c r="B132" s="522" t="s">
        <v>40</v>
      </c>
      <c r="C132" s="522"/>
      <c r="D132" s="522"/>
      <c r="E132" s="522"/>
      <c r="F132" s="522"/>
      <c r="G132" s="522"/>
      <c r="H132" s="522"/>
      <c r="I132" s="522"/>
      <c r="J132" s="522"/>
      <c r="K132" s="522"/>
      <c r="L132" s="522"/>
      <c r="M132" s="522"/>
      <c r="N132" s="522"/>
      <c r="O132" s="522"/>
      <c r="P132" s="522"/>
      <c r="Q132" s="522"/>
      <c r="R132" s="522"/>
      <c r="S132" s="522"/>
      <c r="T132" s="562">
        <f>SUM(T121:T131)</f>
        <v>-11682</v>
      </c>
      <c r="U132" s="562"/>
      <c r="V132" s="562">
        <f>SUM(V101:V129)</f>
        <v>-4798</v>
      </c>
      <c r="W132" s="524"/>
      <c r="X132" s="405"/>
    </row>
    <row r="133" spans="1:24" x14ac:dyDescent="0.3">
      <c r="A133" s="420"/>
      <c r="B133" s="522" t="s">
        <v>41</v>
      </c>
      <c r="C133" s="522"/>
      <c r="D133" s="522"/>
      <c r="E133" s="522"/>
      <c r="F133" s="522"/>
      <c r="G133" s="522"/>
      <c r="H133" s="522"/>
      <c r="I133" s="522"/>
      <c r="J133" s="522"/>
      <c r="K133" s="522"/>
      <c r="L133" s="522"/>
      <c r="M133" s="522"/>
      <c r="N133" s="522"/>
      <c r="O133" s="522"/>
      <c r="P133" s="522"/>
      <c r="Q133" s="522"/>
      <c r="R133" s="522"/>
      <c r="S133" s="522"/>
      <c r="T133" s="562">
        <f>T100+T132+T114</f>
        <v>0</v>
      </c>
      <c r="U133" s="562"/>
      <c r="V133" s="562">
        <f>V100+V132</f>
        <v>0</v>
      </c>
      <c r="W133" s="524"/>
      <c r="X133" s="405"/>
    </row>
    <row r="134" spans="1:24" x14ac:dyDescent="0.3">
      <c r="A134" s="407"/>
      <c r="B134" s="552"/>
      <c r="C134" s="552"/>
      <c r="D134" s="552"/>
      <c r="E134" s="552"/>
      <c r="F134" s="552"/>
      <c r="G134" s="552"/>
      <c r="H134" s="552"/>
      <c r="I134" s="552"/>
      <c r="J134" s="552"/>
      <c r="K134" s="552"/>
      <c r="L134" s="552"/>
      <c r="M134" s="552"/>
      <c r="N134" s="552"/>
      <c r="O134" s="552"/>
      <c r="P134" s="552"/>
      <c r="Q134" s="552"/>
      <c r="R134" s="552"/>
      <c r="S134" s="552"/>
      <c r="T134" s="567"/>
      <c r="U134" s="567"/>
      <c r="V134" s="567"/>
      <c r="W134" s="552"/>
      <c r="X134" s="405"/>
    </row>
    <row r="135" spans="1:24" x14ac:dyDescent="0.3">
      <c r="A135" s="407"/>
      <c r="B135" s="510"/>
      <c r="C135" s="510"/>
      <c r="D135" s="510"/>
      <c r="E135" s="510"/>
      <c r="F135" s="510"/>
      <c r="G135" s="510"/>
      <c r="H135" s="510"/>
      <c r="I135" s="510"/>
      <c r="J135" s="510"/>
      <c r="K135" s="510"/>
      <c r="L135" s="510"/>
      <c r="M135" s="510"/>
      <c r="N135" s="510"/>
      <c r="O135" s="510"/>
      <c r="P135" s="510"/>
      <c r="Q135" s="510"/>
      <c r="R135" s="510"/>
      <c r="S135" s="510"/>
      <c r="T135" s="510"/>
      <c r="U135" s="510"/>
      <c r="V135" s="568"/>
      <c r="W135" s="510"/>
      <c r="X135" s="405"/>
    </row>
    <row r="136" spans="1:24" ht="18.600000000000001" thickBot="1" x14ac:dyDescent="0.4">
      <c r="A136" s="430"/>
      <c r="B136" s="558" t="str">
        <f>B64</f>
        <v>PM12 INVESTOR REPORT QUARTER ENDING OCTOBER 2017</v>
      </c>
      <c r="C136" s="559"/>
      <c r="D136" s="559"/>
      <c r="E136" s="559"/>
      <c r="F136" s="559"/>
      <c r="G136" s="559"/>
      <c r="H136" s="559"/>
      <c r="I136" s="559"/>
      <c r="J136" s="559"/>
      <c r="K136" s="559"/>
      <c r="L136" s="559"/>
      <c r="M136" s="559"/>
      <c r="N136" s="559"/>
      <c r="O136" s="559"/>
      <c r="P136" s="559"/>
      <c r="Q136" s="559"/>
      <c r="R136" s="559"/>
      <c r="S136" s="559"/>
      <c r="T136" s="559"/>
      <c r="U136" s="559"/>
      <c r="V136" s="569"/>
      <c r="W136" s="561"/>
      <c r="X136" s="405"/>
    </row>
    <row r="137" spans="1:24" x14ac:dyDescent="0.3">
      <c r="A137" s="444"/>
      <c r="B137" s="445" t="s">
        <v>42</v>
      </c>
      <c r="C137" s="446"/>
      <c r="D137" s="446"/>
      <c r="E137" s="446"/>
      <c r="F137" s="446"/>
      <c r="G137" s="446"/>
      <c r="H137" s="446"/>
      <c r="I137" s="446"/>
      <c r="J137" s="446"/>
      <c r="K137" s="446"/>
      <c r="L137" s="446"/>
      <c r="M137" s="446"/>
      <c r="N137" s="446"/>
      <c r="O137" s="446"/>
      <c r="P137" s="446"/>
      <c r="Q137" s="446"/>
      <c r="R137" s="446"/>
      <c r="S137" s="446"/>
      <c r="T137" s="446"/>
      <c r="U137" s="446"/>
      <c r="V137" s="447"/>
      <c r="W137" s="446"/>
      <c r="X137" s="405"/>
    </row>
    <row r="138" spans="1:24" x14ac:dyDescent="0.3">
      <c r="A138" s="407"/>
      <c r="B138" s="448"/>
      <c r="C138" s="409"/>
      <c r="D138" s="409"/>
      <c r="E138" s="409"/>
      <c r="F138" s="409"/>
      <c r="G138" s="409"/>
      <c r="H138" s="409"/>
      <c r="I138" s="409"/>
      <c r="J138" s="409"/>
      <c r="K138" s="409"/>
      <c r="L138" s="409"/>
      <c r="M138" s="409"/>
      <c r="N138" s="409"/>
      <c r="O138" s="409"/>
      <c r="P138" s="409"/>
      <c r="Q138" s="409"/>
      <c r="R138" s="409"/>
      <c r="S138" s="409"/>
      <c r="T138" s="409"/>
      <c r="U138" s="409"/>
      <c r="V138" s="433"/>
      <c r="W138" s="409"/>
      <c r="X138" s="405"/>
    </row>
    <row r="139" spans="1:24" x14ac:dyDescent="0.3">
      <c r="A139" s="407"/>
      <c r="B139" s="502" t="s">
        <v>43</v>
      </c>
      <c r="C139" s="409"/>
      <c r="D139" s="409"/>
      <c r="E139" s="409"/>
      <c r="F139" s="409"/>
      <c r="G139" s="409"/>
      <c r="H139" s="409"/>
      <c r="I139" s="409"/>
      <c r="J139" s="409"/>
      <c r="K139" s="409"/>
      <c r="L139" s="409"/>
      <c r="M139" s="409"/>
      <c r="N139" s="409"/>
      <c r="O139" s="409"/>
      <c r="P139" s="409"/>
      <c r="Q139" s="409"/>
      <c r="R139" s="409"/>
      <c r="S139" s="409"/>
      <c r="T139" s="409"/>
      <c r="U139" s="409"/>
      <c r="V139" s="433"/>
      <c r="W139" s="409"/>
      <c r="X139" s="405"/>
    </row>
    <row r="140" spans="1:24" s="513" customFormat="1" x14ac:dyDescent="0.3">
      <c r="A140" s="521"/>
      <c r="B140" s="522" t="s">
        <v>44</v>
      </c>
      <c r="C140" s="522"/>
      <c r="D140" s="522"/>
      <c r="E140" s="522"/>
      <c r="F140" s="522"/>
      <c r="G140" s="522"/>
      <c r="H140" s="522"/>
      <c r="I140" s="522"/>
      <c r="J140" s="522"/>
      <c r="K140" s="522"/>
      <c r="L140" s="522"/>
      <c r="M140" s="522"/>
      <c r="N140" s="522"/>
      <c r="O140" s="522"/>
      <c r="P140" s="522"/>
      <c r="Q140" s="522"/>
      <c r="R140" s="522"/>
      <c r="S140" s="522"/>
      <c r="T140" s="522"/>
      <c r="U140" s="522"/>
      <c r="V140" s="563">
        <f>+V34*0.019</f>
        <v>28503.895</v>
      </c>
      <c r="W140" s="524"/>
      <c r="X140" s="512"/>
    </row>
    <row r="141" spans="1:24" s="513" customFormat="1" x14ac:dyDescent="0.3">
      <c r="A141" s="521"/>
      <c r="B141" s="522" t="s">
        <v>45</v>
      </c>
      <c r="C141" s="522"/>
      <c r="D141" s="522"/>
      <c r="E141" s="522"/>
      <c r="F141" s="522"/>
      <c r="G141" s="522"/>
      <c r="H141" s="522"/>
      <c r="I141" s="522"/>
      <c r="J141" s="522"/>
      <c r="K141" s="522"/>
      <c r="L141" s="522"/>
      <c r="M141" s="522"/>
      <c r="N141" s="522"/>
      <c r="O141" s="522"/>
      <c r="P141" s="522"/>
      <c r="Q141" s="522"/>
      <c r="R141" s="522"/>
      <c r="S141" s="522"/>
      <c r="T141" s="522"/>
      <c r="U141" s="522"/>
      <c r="V141" s="563">
        <v>28504</v>
      </c>
      <c r="W141" s="524"/>
      <c r="X141" s="512"/>
    </row>
    <row r="142" spans="1:24" s="513" customFormat="1" x14ac:dyDescent="0.3">
      <c r="A142" s="521"/>
      <c r="B142" s="522" t="s">
        <v>141</v>
      </c>
      <c r="C142" s="522"/>
      <c r="D142" s="522"/>
      <c r="E142" s="522"/>
      <c r="F142" s="522"/>
      <c r="G142" s="522"/>
      <c r="H142" s="522"/>
      <c r="I142" s="522"/>
      <c r="J142" s="522"/>
      <c r="K142" s="522"/>
      <c r="L142" s="522"/>
      <c r="M142" s="522"/>
      <c r="N142" s="522"/>
      <c r="O142" s="522"/>
      <c r="P142" s="522"/>
      <c r="Q142" s="522"/>
      <c r="R142" s="522"/>
      <c r="S142" s="522"/>
      <c r="T142" s="522"/>
      <c r="U142" s="522"/>
      <c r="V142" s="563">
        <v>0</v>
      </c>
      <c r="W142" s="524"/>
      <c r="X142" s="512"/>
    </row>
    <row r="143" spans="1:24" s="513" customFormat="1" x14ac:dyDescent="0.3">
      <c r="A143" s="521"/>
      <c r="B143" s="522" t="s">
        <v>128</v>
      </c>
      <c r="C143" s="522"/>
      <c r="D143" s="522"/>
      <c r="E143" s="522"/>
      <c r="F143" s="522"/>
      <c r="G143" s="522"/>
      <c r="H143" s="522"/>
      <c r="I143" s="522"/>
      <c r="J143" s="522"/>
      <c r="K143" s="522"/>
      <c r="L143" s="522"/>
      <c r="M143" s="522"/>
      <c r="N143" s="522"/>
      <c r="O143" s="522"/>
      <c r="P143" s="522"/>
      <c r="Q143" s="522"/>
      <c r="R143" s="522"/>
      <c r="S143" s="522"/>
      <c r="T143" s="522"/>
      <c r="U143" s="522"/>
      <c r="V143" s="563">
        <v>0</v>
      </c>
      <c r="W143" s="524"/>
      <c r="X143" s="512"/>
    </row>
    <row r="144" spans="1:24" s="513" customFormat="1" x14ac:dyDescent="0.3">
      <c r="A144" s="521"/>
      <c r="B144" s="522" t="s">
        <v>129</v>
      </c>
      <c r="C144" s="522"/>
      <c r="D144" s="522"/>
      <c r="E144" s="522"/>
      <c r="F144" s="522"/>
      <c r="G144" s="522"/>
      <c r="H144" s="522"/>
      <c r="I144" s="522"/>
      <c r="J144" s="522"/>
      <c r="K144" s="522"/>
      <c r="L144" s="522"/>
      <c r="M144" s="522"/>
      <c r="N144" s="522"/>
      <c r="O144" s="522"/>
      <c r="P144" s="522"/>
      <c r="Q144" s="522"/>
      <c r="R144" s="522"/>
      <c r="S144" s="522"/>
      <c r="T144" s="522"/>
      <c r="U144" s="522"/>
      <c r="V144" s="563">
        <v>0</v>
      </c>
      <c r="W144" s="524"/>
      <c r="X144" s="512"/>
    </row>
    <row r="145" spans="1:25" s="513" customFormat="1" x14ac:dyDescent="0.3">
      <c r="A145" s="521"/>
      <c r="B145" s="522" t="s">
        <v>181</v>
      </c>
      <c r="C145" s="522"/>
      <c r="D145" s="522"/>
      <c r="E145" s="522"/>
      <c r="F145" s="522"/>
      <c r="G145" s="522"/>
      <c r="H145" s="522"/>
      <c r="I145" s="522"/>
      <c r="J145" s="522"/>
      <c r="K145" s="522"/>
      <c r="L145" s="522"/>
      <c r="M145" s="522"/>
      <c r="N145" s="522"/>
      <c r="O145" s="522"/>
      <c r="P145" s="522"/>
      <c r="Q145" s="522"/>
      <c r="R145" s="522"/>
      <c r="S145" s="522"/>
      <c r="T145" s="522"/>
      <c r="U145" s="522"/>
      <c r="V145" s="563">
        <v>0</v>
      </c>
      <c r="W145" s="524"/>
      <c r="X145" s="512"/>
    </row>
    <row r="146" spans="1:25" s="513" customFormat="1" x14ac:dyDescent="0.3">
      <c r="A146" s="521"/>
      <c r="B146" s="522" t="s">
        <v>46</v>
      </c>
      <c r="C146" s="522"/>
      <c r="D146" s="522"/>
      <c r="E146" s="522"/>
      <c r="F146" s="522"/>
      <c r="G146" s="522"/>
      <c r="H146" s="522"/>
      <c r="I146" s="522"/>
      <c r="J146" s="522"/>
      <c r="K146" s="522"/>
      <c r="L146" s="522"/>
      <c r="M146" s="522"/>
      <c r="N146" s="522"/>
      <c r="O146" s="522"/>
      <c r="P146" s="522"/>
      <c r="Q146" s="522"/>
      <c r="R146" s="522"/>
      <c r="S146" s="522"/>
      <c r="T146" s="522"/>
      <c r="U146" s="522"/>
      <c r="V146" s="563">
        <v>0</v>
      </c>
      <c r="W146" s="524"/>
      <c r="X146" s="512"/>
    </row>
    <row r="147" spans="1:25" s="513" customFormat="1" x14ac:dyDescent="0.3">
      <c r="A147" s="521"/>
      <c r="B147" s="522" t="s">
        <v>134</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5" s="513" customFormat="1" x14ac:dyDescent="0.3">
      <c r="A148" s="521"/>
      <c r="B148" s="522" t="s">
        <v>230</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c r="Y148" s="570"/>
    </row>
    <row r="149" spans="1:25" s="513" customFormat="1" x14ac:dyDescent="0.3">
      <c r="A149" s="521"/>
      <c r="B149" s="522" t="s">
        <v>47</v>
      </c>
      <c r="C149" s="522"/>
      <c r="D149" s="522"/>
      <c r="E149" s="522"/>
      <c r="F149" s="522"/>
      <c r="G149" s="522"/>
      <c r="H149" s="522"/>
      <c r="I149" s="522"/>
      <c r="J149" s="522"/>
      <c r="K149" s="522"/>
      <c r="L149" s="522"/>
      <c r="M149" s="522"/>
      <c r="N149" s="522"/>
      <c r="O149" s="522"/>
      <c r="P149" s="522"/>
      <c r="Q149" s="522"/>
      <c r="R149" s="522"/>
      <c r="S149" s="522"/>
      <c r="T149" s="522"/>
      <c r="U149" s="522"/>
      <c r="V149" s="563">
        <f>SUM(V141:V148)</f>
        <v>28504</v>
      </c>
      <c r="W149" s="524"/>
      <c r="X149" s="512"/>
    </row>
    <row r="150" spans="1:25" x14ac:dyDescent="0.3">
      <c r="A150" s="420"/>
      <c r="B150" s="424"/>
      <c r="C150" s="424"/>
      <c r="D150" s="424"/>
      <c r="E150" s="424"/>
      <c r="F150" s="424"/>
      <c r="G150" s="424"/>
      <c r="H150" s="424"/>
      <c r="I150" s="424"/>
      <c r="J150" s="424"/>
      <c r="K150" s="424"/>
      <c r="L150" s="424"/>
      <c r="M150" s="424"/>
      <c r="N150" s="424"/>
      <c r="O150" s="424"/>
      <c r="P150" s="424"/>
      <c r="Q150" s="424"/>
      <c r="R150" s="424"/>
      <c r="S150" s="424"/>
      <c r="T150" s="424"/>
      <c r="U150" s="424"/>
      <c r="V150" s="440"/>
      <c r="W150" s="426"/>
      <c r="X150" s="405"/>
    </row>
    <row r="151" spans="1:25" x14ac:dyDescent="0.3">
      <c r="A151" s="420"/>
      <c r="B151" s="501" t="s">
        <v>269</v>
      </c>
      <c r="C151" s="424"/>
      <c r="D151" s="424"/>
      <c r="E151" s="424"/>
      <c r="F151" s="424"/>
      <c r="G151" s="424"/>
      <c r="H151" s="424"/>
      <c r="I151" s="424"/>
      <c r="J151" s="424"/>
      <c r="K151" s="424"/>
      <c r="L151" s="424"/>
      <c r="M151" s="424"/>
      <c r="N151" s="424"/>
      <c r="O151" s="424"/>
      <c r="P151" s="424"/>
      <c r="Q151" s="424"/>
      <c r="R151" s="424"/>
      <c r="S151" s="424"/>
      <c r="T151" s="424"/>
      <c r="U151" s="424"/>
      <c r="V151" s="440"/>
      <c r="W151" s="426"/>
      <c r="X151" s="405"/>
    </row>
    <row r="152" spans="1:25" s="513" customFormat="1" x14ac:dyDescent="0.3">
      <c r="A152" s="521"/>
      <c r="B152" s="522" t="s">
        <v>160</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5" s="513" customFormat="1" x14ac:dyDescent="0.3">
      <c r="A153" s="521"/>
      <c r="B153" s="522" t="s">
        <v>178</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row>
    <row r="154" spans="1:25" s="513" customFormat="1" x14ac:dyDescent="0.3">
      <c r="A154" s="521"/>
      <c r="B154" s="522" t="s">
        <v>270</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row>
    <row r="155" spans="1:25" x14ac:dyDescent="0.3">
      <c r="A155" s="420"/>
      <c r="B155" s="424"/>
      <c r="C155" s="424"/>
      <c r="D155" s="424"/>
      <c r="E155" s="424"/>
      <c r="F155" s="424"/>
      <c r="G155" s="424"/>
      <c r="H155" s="424"/>
      <c r="I155" s="424"/>
      <c r="J155" s="424"/>
      <c r="K155" s="424"/>
      <c r="L155" s="424"/>
      <c r="M155" s="424"/>
      <c r="N155" s="424"/>
      <c r="O155" s="424"/>
      <c r="P155" s="424"/>
      <c r="Q155" s="424"/>
      <c r="R155" s="424"/>
      <c r="S155" s="424"/>
      <c r="T155" s="424"/>
      <c r="U155" s="424"/>
      <c r="V155" s="440"/>
      <c r="W155" s="426"/>
      <c r="X155" s="405"/>
    </row>
    <row r="156" spans="1:25" x14ac:dyDescent="0.3">
      <c r="A156" s="407"/>
      <c r="B156" s="429"/>
      <c r="C156" s="429"/>
      <c r="D156" s="429"/>
      <c r="E156" s="429"/>
      <c r="F156" s="429"/>
      <c r="G156" s="429"/>
      <c r="H156" s="429"/>
      <c r="I156" s="429"/>
      <c r="J156" s="429"/>
      <c r="K156" s="429"/>
      <c r="L156" s="429"/>
      <c r="M156" s="429"/>
      <c r="N156" s="429"/>
      <c r="O156" s="429"/>
      <c r="P156" s="429"/>
      <c r="Q156" s="429"/>
      <c r="R156" s="429"/>
      <c r="S156" s="429"/>
      <c r="T156" s="429"/>
      <c r="U156" s="429"/>
      <c r="V156" s="449"/>
      <c r="W156" s="429"/>
      <c r="X156" s="405"/>
    </row>
    <row r="157" spans="1:25" x14ac:dyDescent="0.3">
      <c r="A157" s="407"/>
      <c r="B157" s="502" t="s">
        <v>24</v>
      </c>
      <c r="C157" s="409"/>
      <c r="D157" s="409"/>
      <c r="E157" s="409"/>
      <c r="F157" s="409"/>
      <c r="G157" s="409"/>
      <c r="H157" s="409"/>
      <c r="I157" s="409"/>
      <c r="J157" s="409"/>
      <c r="K157" s="409"/>
      <c r="L157" s="409"/>
      <c r="M157" s="409"/>
      <c r="N157" s="409"/>
      <c r="O157" s="409"/>
      <c r="P157" s="409"/>
      <c r="Q157" s="409"/>
      <c r="R157" s="409"/>
      <c r="S157" s="409"/>
      <c r="T157" s="409"/>
      <c r="U157" s="409"/>
      <c r="V157" s="433"/>
      <c r="W157" s="409"/>
      <c r="X157" s="405"/>
    </row>
    <row r="158" spans="1:25" s="513" customFormat="1" x14ac:dyDescent="0.3">
      <c r="A158" s="521"/>
      <c r="B158" s="522" t="s">
        <v>48</v>
      </c>
      <c r="C158" s="522"/>
      <c r="D158" s="522"/>
      <c r="E158" s="522"/>
      <c r="F158" s="522"/>
      <c r="G158" s="522"/>
      <c r="H158" s="522"/>
      <c r="I158" s="522"/>
      <c r="J158" s="522"/>
      <c r="K158" s="522"/>
      <c r="L158" s="522"/>
      <c r="M158" s="522"/>
      <c r="N158" s="522"/>
      <c r="O158" s="522"/>
      <c r="P158" s="522"/>
      <c r="Q158" s="522"/>
      <c r="R158" s="522"/>
      <c r="S158" s="522"/>
      <c r="T158" s="522"/>
      <c r="U158" s="522"/>
      <c r="V158" s="571" t="s">
        <v>123</v>
      </c>
      <c r="W158" s="524"/>
      <c r="X158" s="512"/>
    </row>
    <row r="159" spans="1:25" s="513" customFormat="1" x14ac:dyDescent="0.3">
      <c r="A159" s="521"/>
      <c r="B159" s="522" t="s">
        <v>49</v>
      </c>
      <c r="C159" s="522"/>
      <c r="D159" s="522"/>
      <c r="E159" s="522"/>
      <c r="F159" s="522"/>
      <c r="G159" s="522"/>
      <c r="H159" s="522"/>
      <c r="I159" s="522"/>
      <c r="J159" s="522"/>
      <c r="K159" s="522"/>
      <c r="L159" s="522"/>
      <c r="M159" s="522"/>
      <c r="N159" s="522"/>
      <c r="O159" s="522"/>
      <c r="P159" s="522"/>
      <c r="Q159" s="522"/>
      <c r="R159" s="522"/>
      <c r="S159" s="522"/>
      <c r="T159" s="522"/>
      <c r="U159" s="522"/>
      <c r="V159" s="571" t="s">
        <v>123</v>
      </c>
      <c r="W159" s="524"/>
      <c r="X159" s="512"/>
    </row>
    <row r="160" spans="1:25" s="513" customFormat="1" x14ac:dyDescent="0.3">
      <c r="A160" s="521"/>
      <c r="B160" s="522" t="s">
        <v>50</v>
      </c>
      <c r="C160" s="522"/>
      <c r="D160" s="522"/>
      <c r="E160" s="522"/>
      <c r="F160" s="522"/>
      <c r="G160" s="522"/>
      <c r="H160" s="522"/>
      <c r="I160" s="522"/>
      <c r="J160" s="522"/>
      <c r="K160" s="522"/>
      <c r="L160" s="522"/>
      <c r="M160" s="522"/>
      <c r="N160" s="522"/>
      <c r="O160" s="522"/>
      <c r="P160" s="522"/>
      <c r="Q160" s="522"/>
      <c r="R160" s="522"/>
      <c r="S160" s="522"/>
      <c r="T160" s="522"/>
      <c r="U160" s="522"/>
      <c r="V160" s="571" t="s">
        <v>123</v>
      </c>
      <c r="W160" s="524"/>
      <c r="X160" s="512"/>
    </row>
    <row r="161" spans="1:24" s="513" customFormat="1" x14ac:dyDescent="0.3">
      <c r="A161" s="521"/>
      <c r="B161" s="522" t="s">
        <v>51</v>
      </c>
      <c r="C161" s="522"/>
      <c r="D161" s="522"/>
      <c r="E161" s="522"/>
      <c r="F161" s="522"/>
      <c r="G161" s="522"/>
      <c r="H161" s="522"/>
      <c r="I161" s="522"/>
      <c r="J161" s="522"/>
      <c r="K161" s="522"/>
      <c r="L161" s="522"/>
      <c r="M161" s="522"/>
      <c r="N161" s="522"/>
      <c r="O161" s="522"/>
      <c r="P161" s="522"/>
      <c r="Q161" s="522"/>
      <c r="R161" s="522"/>
      <c r="S161" s="522"/>
      <c r="T161" s="522"/>
      <c r="U161" s="522"/>
      <c r="V161" s="571" t="s">
        <v>123</v>
      </c>
      <c r="W161" s="524"/>
      <c r="X161" s="512"/>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52</v>
      </c>
      <c r="C163" s="409"/>
      <c r="D163" s="409"/>
      <c r="E163" s="409"/>
      <c r="F163" s="409"/>
      <c r="G163" s="409"/>
      <c r="H163" s="409"/>
      <c r="I163" s="409"/>
      <c r="J163" s="409"/>
      <c r="K163" s="409"/>
      <c r="L163" s="409"/>
      <c r="M163" s="409"/>
      <c r="N163" s="409"/>
      <c r="O163" s="409"/>
      <c r="P163" s="409"/>
      <c r="Q163" s="409"/>
      <c r="R163" s="409"/>
      <c r="S163" s="409"/>
      <c r="T163" s="409"/>
      <c r="U163" s="409"/>
      <c r="V163" s="450"/>
      <c r="W163" s="409"/>
      <c r="X163" s="405"/>
    </row>
    <row r="164" spans="1:24" s="513" customFormat="1" x14ac:dyDescent="0.3">
      <c r="A164" s="521"/>
      <c r="B164" s="522" t="s">
        <v>53</v>
      </c>
      <c r="C164" s="522"/>
      <c r="D164" s="522"/>
      <c r="E164" s="522"/>
      <c r="F164" s="522"/>
      <c r="G164" s="522"/>
      <c r="H164" s="522"/>
      <c r="I164" s="522"/>
      <c r="J164" s="522"/>
      <c r="K164" s="522"/>
      <c r="L164" s="522"/>
      <c r="M164" s="522"/>
      <c r="N164" s="522"/>
      <c r="O164" s="522"/>
      <c r="P164" s="522"/>
      <c r="Q164" s="522"/>
      <c r="R164" s="522"/>
      <c r="S164" s="522"/>
      <c r="T164" s="522"/>
      <c r="U164" s="522"/>
      <c r="V164" s="563">
        <v>0</v>
      </c>
      <c r="W164" s="524"/>
      <c r="X164" s="512"/>
    </row>
    <row r="165" spans="1:24" s="513" customFormat="1" x14ac:dyDescent="0.3">
      <c r="A165" s="521"/>
      <c r="B165" s="522" t="s">
        <v>54</v>
      </c>
      <c r="C165" s="522"/>
      <c r="D165" s="522"/>
      <c r="E165" s="522"/>
      <c r="F165" s="522"/>
      <c r="G165" s="522"/>
      <c r="H165" s="522"/>
      <c r="I165" s="522"/>
      <c r="J165" s="522"/>
      <c r="K165" s="522"/>
      <c r="L165" s="522"/>
      <c r="M165" s="522"/>
      <c r="N165" s="522"/>
      <c r="O165" s="522"/>
      <c r="P165" s="522"/>
      <c r="Q165" s="522"/>
      <c r="R165" s="522"/>
      <c r="S165" s="522"/>
      <c r="T165" s="522"/>
      <c r="U165" s="522"/>
      <c r="V165" s="563">
        <f>-V114</f>
        <v>-9</v>
      </c>
      <c r="W165" s="524"/>
      <c r="X165" s="512"/>
    </row>
    <row r="166" spans="1:24" s="513" customFormat="1" x14ac:dyDescent="0.3">
      <c r="A166" s="521"/>
      <c r="B166" s="522" t="s">
        <v>55</v>
      </c>
      <c r="C166" s="522"/>
      <c r="D166" s="522"/>
      <c r="E166" s="522"/>
      <c r="F166" s="522"/>
      <c r="G166" s="522"/>
      <c r="H166" s="522"/>
      <c r="I166" s="522"/>
      <c r="J166" s="522"/>
      <c r="K166" s="522"/>
      <c r="L166" s="522"/>
      <c r="M166" s="522"/>
      <c r="N166" s="522"/>
      <c r="O166" s="522"/>
      <c r="P166" s="522"/>
      <c r="Q166" s="522"/>
      <c r="R166" s="522"/>
      <c r="S166" s="522"/>
      <c r="T166" s="522"/>
      <c r="U166" s="522"/>
      <c r="V166" s="563">
        <f>V165+V164</f>
        <v>-9</v>
      </c>
      <c r="W166" s="524"/>
      <c r="X166" s="512"/>
    </row>
    <row r="167" spans="1:24" s="513" customFormat="1" x14ac:dyDescent="0.3">
      <c r="A167" s="521"/>
      <c r="B167" s="572" t="s">
        <v>310</v>
      </c>
      <c r="C167" s="522"/>
      <c r="D167" s="522"/>
      <c r="E167" s="522"/>
      <c r="F167" s="522"/>
      <c r="G167" s="522"/>
      <c r="H167" s="522"/>
      <c r="I167" s="522"/>
      <c r="J167" s="522"/>
      <c r="K167" s="522"/>
      <c r="L167" s="522"/>
      <c r="M167" s="522"/>
      <c r="N167" s="522"/>
      <c r="O167" s="522"/>
      <c r="P167" s="522"/>
      <c r="Q167" s="522"/>
      <c r="R167" s="522"/>
      <c r="S167" s="522"/>
      <c r="T167" s="522"/>
      <c r="U167" s="522"/>
      <c r="V167" s="563">
        <f>V114</f>
        <v>9</v>
      </c>
      <c r="W167" s="524"/>
      <c r="X167" s="512"/>
    </row>
    <row r="168" spans="1:24" s="513" customFormat="1" x14ac:dyDescent="0.3">
      <c r="A168" s="521"/>
      <c r="B168" s="522" t="s">
        <v>56</v>
      </c>
      <c r="C168" s="522"/>
      <c r="D168" s="522"/>
      <c r="E168" s="522"/>
      <c r="F168" s="522"/>
      <c r="G168" s="522"/>
      <c r="H168" s="522"/>
      <c r="I168" s="522"/>
      <c r="J168" s="522"/>
      <c r="K168" s="522"/>
      <c r="L168" s="522"/>
      <c r="M168" s="522"/>
      <c r="N168" s="522"/>
      <c r="O168" s="522"/>
      <c r="P168" s="522"/>
      <c r="Q168" s="522"/>
      <c r="R168" s="522"/>
      <c r="S168" s="522"/>
      <c r="T168" s="522"/>
      <c r="U168" s="522"/>
      <c r="V168" s="563">
        <f>V166+V167</f>
        <v>0</v>
      </c>
      <c r="W168" s="524"/>
      <c r="X168" s="512"/>
    </row>
    <row r="169" spans="1:24" s="513" customFormat="1" x14ac:dyDescent="0.3">
      <c r="A169" s="521"/>
      <c r="B169" s="522" t="s">
        <v>282</v>
      </c>
      <c r="C169" s="522"/>
      <c r="D169" s="522"/>
      <c r="E169" s="522"/>
      <c r="F169" s="522"/>
      <c r="G169" s="522"/>
      <c r="H169" s="522"/>
      <c r="I169" s="522"/>
      <c r="J169" s="522"/>
      <c r="K169" s="522"/>
      <c r="L169" s="522"/>
      <c r="M169" s="522"/>
      <c r="N169" s="522"/>
      <c r="O169" s="522"/>
      <c r="P169" s="522"/>
      <c r="Q169" s="522"/>
      <c r="R169" s="522"/>
      <c r="S169" s="522"/>
      <c r="T169" s="522"/>
      <c r="U169" s="522"/>
      <c r="V169" s="563">
        <f>-V99</f>
        <v>7</v>
      </c>
      <c r="W169" s="524"/>
      <c r="X169" s="512"/>
    </row>
    <row r="170" spans="1:24" ht="16.2" thickBot="1" x14ac:dyDescent="0.35">
      <c r="A170" s="407"/>
      <c r="B170" s="429"/>
      <c r="C170" s="429"/>
      <c r="D170" s="429"/>
      <c r="E170" s="429"/>
      <c r="F170" s="429"/>
      <c r="G170" s="429"/>
      <c r="H170" s="429"/>
      <c r="I170" s="429"/>
      <c r="J170" s="429"/>
      <c r="K170" s="429"/>
      <c r="L170" s="429"/>
      <c r="M170" s="429"/>
      <c r="N170" s="429"/>
      <c r="O170" s="429"/>
      <c r="P170" s="429"/>
      <c r="Q170" s="429"/>
      <c r="R170" s="429"/>
      <c r="S170" s="429"/>
      <c r="T170" s="429"/>
      <c r="U170" s="429"/>
      <c r="V170" s="449"/>
      <c r="W170" s="429"/>
      <c r="X170" s="405"/>
    </row>
    <row r="171" spans="1:24" x14ac:dyDescent="0.3">
      <c r="A171" s="403"/>
      <c r="B171" s="404"/>
      <c r="C171" s="404"/>
      <c r="D171" s="404"/>
      <c r="E171" s="404"/>
      <c r="F171" s="404"/>
      <c r="G171" s="404"/>
      <c r="H171" s="404"/>
      <c r="I171" s="404"/>
      <c r="J171" s="404"/>
      <c r="K171" s="404"/>
      <c r="L171" s="404"/>
      <c r="M171" s="404"/>
      <c r="N171" s="404"/>
      <c r="O171" s="404"/>
      <c r="P171" s="404"/>
      <c r="Q171" s="404"/>
      <c r="R171" s="404"/>
      <c r="S171" s="404"/>
      <c r="T171" s="404"/>
      <c r="U171" s="404"/>
      <c r="V171" s="451"/>
      <c r="W171" s="404"/>
      <c r="X171" s="405"/>
    </row>
    <row r="172" spans="1:24" x14ac:dyDescent="0.3">
      <c r="A172" s="407"/>
      <c r="B172" s="502" t="s">
        <v>57</v>
      </c>
      <c r="C172" s="409"/>
      <c r="D172" s="409"/>
      <c r="E172" s="409"/>
      <c r="F172" s="409"/>
      <c r="G172" s="409"/>
      <c r="H172" s="409"/>
      <c r="I172" s="409"/>
      <c r="J172" s="409"/>
      <c r="K172" s="409"/>
      <c r="L172" s="409"/>
      <c r="M172" s="409"/>
      <c r="N172" s="409"/>
      <c r="O172" s="409"/>
      <c r="P172" s="409"/>
      <c r="Q172" s="409"/>
      <c r="R172" s="409"/>
      <c r="S172" s="409"/>
      <c r="T172" s="409"/>
      <c r="U172" s="409"/>
      <c r="V172" s="433"/>
      <c r="W172" s="409"/>
      <c r="X172" s="405"/>
    </row>
    <row r="173" spans="1:24" x14ac:dyDescent="0.3">
      <c r="A173" s="407"/>
      <c r="B173" s="448"/>
      <c r="C173" s="409"/>
      <c r="D173" s="409"/>
      <c r="E173" s="409"/>
      <c r="F173" s="409"/>
      <c r="G173" s="409"/>
      <c r="H173" s="409"/>
      <c r="I173" s="409"/>
      <c r="J173" s="409"/>
      <c r="K173" s="409"/>
      <c r="L173" s="409"/>
      <c r="M173" s="409"/>
      <c r="N173" s="409"/>
      <c r="O173" s="409"/>
      <c r="P173" s="409"/>
      <c r="Q173" s="409"/>
      <c r="R173" s="409"/>
      <c r="S173" s="409"/>
      <c r="T173" s="409"/>
      <c r="U173" s="409"/>
      <c r="V173" s="433"/>
      <c r="W173" s="409"/>
      <c r="X173" s="405"/>
    </row>
    <row r="174" spans="1:24" s="513" customFormat="1" x14ac:dyDescent="0.3">
      <c r="A174" s="521"/>
      <c r="B174" s="522" t="s">
        <v>58</v>
      </c>
      <c r="C174" s="522"/>
      <c r="D174" s="522"/>
      <c r="E174" s="522"/>
      <c r="F174" s="522"/>
      <c r="G174" s="522"/>
      <c r="H174" s="522"/>
      <c r="I174" s="522"/>
      <c r="J174" s="522"/>
      <c r="K174" s="522"/>
      <c r="L174" s="522"/>
      <c r="M174" s="522"/>
      <c r="N174" s="522"/>
      <c r="O174" s="522"/>
      <c r="P174" s="522"/>
      <c r="Q174" s="522"/>
      <c r="R174" s="522"/>
      <c r="S174" s="522"/>
      <c r="T174" s="522"/>
      <c r="U174" s="522"/>
      <c r="V174" s="563">
        <f>V71</f>
        <v>767011</v>
      </c>
      <c r="W174" s="524"/>
      <c r="X174" s="512"/>
    </row>
    <row r="175" spans="1:24" s="513" customFormat="1" x14ac:dyDescent="0.3">
      <c r="A175" s="521"/>
      <c r="B175" s="522" t="s">
        <v>59</v>
      </c>
      <c r="C175" s="522"/>
      <c r="D175" s="522"/>
      <c r="E175" s="522"/>
      <c r="F175" s="522"/>
      <c r="G175" s="522"/>
      <c r="H175" s="522"/>
      <c r="I175" s="522"/>
      <c r="J175" s="522"/>
      <c r="K175" s="522"/>
      <c r="L175" s="522"/>
      <c r="M175" s="522"/>
      <c r="N175" s="522"/>
      <c r="O175" s="522"/>
      <c r="P175" s="522"/>
      <c r="Q175" s="522"/>
      <c r="R175" s="522"/>
      <c r="S175" s="522"/>
      <c r="T175" s="522"/>
      <c r="U175" s="522"/>
      <c r="V175" s="563">
        <f>V84</f>
        <v>767011</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60</v>
      </c>
      <c r="C178" s="434"/>
      <c r="D178" s="434"/>
      <c r="E178" s="434"/>
      <c r="F178" s="434"/>
      <c r="G178" s="434"/>
      <c r="H178" s="452"/>
      <c r="I178" s="452"/>
      <c r="J178" s="452"/>
      <c r="K178" s="452"/>
      <c r="L178" s="452"/>
      <c r="M178" s="452"/>
      <c r="N178" s="452"/>
      <c r="O178" s="452"/>
      <c r="P178" s="452"/>
      <c r="Q178" s="452"/>
      <c r="R178" s="452"/>
      <c r="S178" s="503" t="s">
        <v>103</v>
      </c>
      <c r="T178" s="503" t="s">
        <v>182</v>
      </c>
      <c r="U178" s="411"/>
      <c r="V178" s="504" t="s">
        <v>119</v>
      </c>
      <c r="W178" s="453"/>
      <c r="X178" s="405"/>
    </row>
    <row r="179" spans="1:24" s="513" customFormat="1" x14ac:dyDescent="0.3">
      <c r="A179" s="521"/>
      <c r="B179" s="522" t="s">
        <v>61</v>
      </c>
      <c r="C179" s="522"/>
      <c r="D179" s="522"/>
      <c r="E179" s="522"/>
      <c r="F179" s="522"/>
      <c r="G179" s="522"/>
      <c r="H179" s="522"/>
      <c r="I179" s="522"/>
      <c r="J179" s="522"/>
      <c r="K179" s="522"/>
      <c r="L179" s="522"/>
      <c r="M179" s="522"/>
      <c r="N179" s="522"/>
      <c r="O179" s="522"/>
      <c r="P179" s="522"/>
      <c r="Q179" s="522"/>
      <c r="R179" s="522"/>
      <c r="S179" s="563">
        <f>+V34*0.16</f>
        <v>240032.80000000002</v>
      </c>
      <c r="T179" s="542"/>
      <c r="U179" s="522"/>
      <c r="V179" s="563"/>
      <c r="W179" s="524"/>
      <c r="X179" s="512"/>
    </row>
    <row r="180" spans="1:24" s="513" customFormat="1" x14ac:dyDescent="0.3">
      <c r="A180" s="521"/>
      <c r="B180" s="522" t="s">
        <v>62</v>
      </c>
      <c r="C180" s="522"/>
      <c r="D180" s="522"/>
      <c r="E180" s="522"/>
      <c r="F180" s="522"/>
      <c r="G180" s="522"/>
      <c r="H180" s="522"/>
      <c r="I180" s="522"/>
      <c r="J180" s="522"/>
      <c r="K180" s="522"/>
      <c r="L180" s="522"/>
      <c r="M180" s="522"/>
      <c r="N180" s="522"/>
      <c r="O180" s="522"/>
      <c r="P180" s="522"/>
      <c r="Q180" s="522"/>
      <c r="R180" s="522"/>
      <c r="S180" s="563">
        <f>+'July 17'!S182</f>
        <v>54685</v>
      </c>
      <c r="T180" s="563">
        <f>+'July 17'!T182</f>
        <v>6367</v>
      </c>
      <c r="U180" s="522"/>
      <c r="V180" s="563">
        <f>S180+T180</f>
        <v>61052</v>
      </c>
      <c r="W180" s="524"/>
      <c r="X180" s="512"/>
    </row>
    <row r="181" spans="1:24" s="513" customFormat="1" x14ac:dyDescent="0.3">
      <c r="A181" s="521"/>
      <c r="B181" s="522" t="s">
        <v>63</v>
      </c>
      <c r="C181" s="522"/>
      <c r="D181" s="522"/>
      <c r="E181" s="522"/>
      <c r="F181" s="522"/>
      <c r="G181" s="522"/>
      <c r="H181" s="522"/>
      <c r="I181" s="522"/>
      <c r="J181" s="522"/>
      <c r="K181" s="522"/>
      <c r="L181" s="522"/>
      <c r="M181" s="522"/>
      <c r="N181" s="522"/>
      <c r="O181" s="522"/>
      <c r="P181" s="522"/>
      <c r="Q181" s="522"/>
      <c r="R181" s="522"/>
      <c r="S181" s="562">
        <f>178+55</f>
        <v>233</v>
      </c>
      <c r="T181" s="562">
        <v>0</v>
      </c>
      <c r="U181" s="522"/>
      <c r="V181" s="563">
        <f>S181+T181</f>
        <v>233</v>
      </c>
      <c r="W181" s="524"/>
      <c r="X181" s="512"/>
    </row>
    <row r="182" spans="1:24" s="513" customFormat="1" x14ac:dyDescent="0.3">
      <c r="A182" s="521"/>
      <c r="B182" s="522" t="s">
        <v>64</v>
      </c>
      <c r="C182" s="522"/>
      <c r="D182" s="522"/>
      <c r="E182" s="522"/>
      <c r="F182" s="522"/>
      <c r="G182" s="522"/>
      <c r="H182" s="522"/>
      <c r="I182" s="522"/>
      <c r="J182" s="522"/>
      <c r="K182" s="522"/>
      <c r="L182" s="522"/>
      <c r="M182" s="522"/>
      <c r="N182" s="522"/>
      <c r="O182" s="522"/>
      <c r="P182" s="522"/>
      <c r="Q182" s="522"/>
      <c r="R182" s="522"/>
      <c r="S182" s="563">
        <f>S180+S181</f>
        <v>54918</v>
      </c>
      <c r="T182" s="563">
        <f>T181+T180</f>
        <v>6367</v>
      </c>
      <c r="U182" s="522"/>
      <c r="V182" s="563">
        <f>S182+T182</f>
        <v>61285</v>
      </c>
      <c r="W182" s="524"/>
      <c r="X182" s="512"/>
    </row>
    <row r="183" spans="1:24" s="513" customFormat="1" x14ac:dyDescent="0.3">
      <c r="A183" s="521"/>
      <c r="B183" s="522" t="s">
        <v>65</v>
      </c>
      <c r="C183" s="522"/>
      <c r="D183" s="522"/>
      <c r="E183" s="522"/>
      <c r="F183" s="522"/>
      <c r="G183" s="522"/>
      <c r="H183" s="522"/>
      <c r="I183" s="522"/>
      <c r="J183" s="522"/>
      <c r="K183" s="522"/>
      <c r="L183" s="522"/>
      <c r="M183" s="522"/>
      <c r="N183" s="522"/>
      <c r="O183" s="522"/>
      <c r="P183" s="522"/>
      <c r="Q183" s="522"/>
      <c r="R183" s="522"/>
      <c r="S183" s="563">
        <f>S179-S182-T182</f>
        <v>178747.80000000002</v>
      </c>
      <c r="T183" s="542"/>
      <c r="U183" s="522"/>
      <c r="V183" s="563"/>
      <c r="W183" s="524"/>
      <c r="X183" s="512"/>
    </row>
    <row r="184" spans="1:24" ht="16.2" thickBot="1" x14ac:dyDescent="0.35">
      <c r="A184" s="407"/>
      <c r="B184" s="429"/>
      <c r="C184" s="429"/>
      <c r="D184" s="429"/>
      <c r="E184" s="429"/>
      <c r="F184" s="429"/>
      <c r="G184" s="429"/>
      <c r="H184" s="429"/>
      <c r="I184" s="429"/>
      <c r="J184" s="429"/>
      <c r="K184" s="429"/>
      <c r="L184" s="429"/>
      <c r="M184" s="429"/>
      <c r="N184" s="429"/>
      <c r="O184" s="429"/>
      <c r="P184" s="429"/>
      <c r="Q184" s="429"/>
      <c r="R184" s="429"/>
      <c r="S184" s="429"/>
      <c r="T184" s="429"/>
      <c r="U184" s="429"/>
      <c r="V184" s="449"/>
      <c r="W184" s="429"/>
      <c r="X184" s="405"/>
    </row>
    <row r="185" spans="1:24" x14ac:dyDescent="0.3">
      <c r="A185" s="403"/>
      <c r="B185" s="404"/>
      <c r="C185" s="404"/>
      <c r="D185" s="404"/>
      <c r="E185" s="404"/>
      <c r="F185" s="404"/>
      <c r="G185" s="404"/>
      <c r="H185" s="404"/>
      <c r="I185" s="404"/>
      <c r="J185" s="404"/>
      <c r="K185" s="404"/>
      <c r="L185" s="404"/>
      <c r="M185" s="404"/>
      <c r="N185" s="404"/>
      <c r="O185" s="404"/>
      <c r="P185" s="404"/>
      <c r="Q185" s="404"/>
      <c r="R185" s="404"/>
      <c r="S185" s="404"/>
      <c r="T185" s="404"/>
      <c r="U185" s="404"/>
      <c r="V185" s="451"/>
      <c r="W185" s="404"/>
      <c r="X185" s="405"/>
    </row>
    <row r="186" spans="1:24" x14ac:dyDescent="0.3">
      <c r="A186" s="407"/>
      <c r="B186" s="502" t="s">
        <v>66</v>
      </c>
      <c r="C186" s="409"/>
      <c r="D186" s="409"/>
      <c r="E186" s="409"/>
      <c r="F186" s="409"/>
      <c r="G186" s="409"/>
      <c r="H186" s="409"/>
      <c r="I186" s="409"/>
      <c r="J186" s="409"/>
      <c r="K186" s="409"/>
      <c r="L186" s="409"/>
      <c r="M186" s="409"/>
      <c r="N186" s="409"/>
      <c r="O186" s="409"/>
      <c r="P186" s="409"/>
      <c r="Q186" s="409"/>
      <c r="R186" s="409"/>
      <c r="S186" s="409"/>
      <c r="T186" s="409"/>
      <c r="U186" s="409"/>
      <c r="V186" s="454"/>
      <c r="W186" s="409"/>
      <c r="X186" s="405"/>
    </row>
    <row r="187" spans="1:24" s="513" customFormat="1" x14ac:dyDescent="0.3">
      <c r="A187" s="521"/>
      <c r="B187" s="522" t="s">
        <v>67</v>
      </c>
      <c r="C187" s="522"/>
      <c r="D187" s="522"/>
      <c r="E187" s="522"/>
      <c r="F187" s="522"/>
      <c r="G187" s="522"/>
      <c r="H187" s="522"/>
      <c r="I187" s="522"/>
      <c r="J187" s="522"/>
      <c r="K187" s="522"/>
      <c r="L187" s="522"/>
      <c r="M187" s="522"/>
      <c r="N187" s="522"/>
      <c r="O187" s="522"/>
      <c r="P187" s="522"/>
      <c r="Q187" s="522"/>
      <c r="R187" s="522"/>
      <c r="S187" s="522"/>
      <c r="T187" s="522"/>
      <c r="U187" s="522"/>
      <c r="V187" s="571">
        <f>(V100+V102+V103+V104+V105)/-(V106+V107)</f>
        <v>5.6262886597938149</v>
      </c>
      <c r="W187" s="524" t="s">
        <v>120</v>
      </c>
      <c r="X187" s="512"/>
    </row>
    <row r="188" spans="1:24" s="513" customFormat="1" x14ac:dyDescent="0.3">
      <c r="A188" s="521"/>
      <c r="B188" s="522" t="s">
        <v>68</v>
      </c>
      <c r="C188" s="522"/>
      <c r="D188" s="522"/>
      <c r="E188" s="522"/>
      <c r="F188" s="522"/>
      <c r="G188" s="522"/>
      <c r="H188" s="522"/>
      <c r="I188" s="522"/>
      <c r="J188" s="522"/>
      <c r="K188" s="522"/>
      <c r="L188" s="522"/>
      <c r="M188" s="522"/>
      <c r="N188" s="522"/>
      <c r="O188" s="522"/>
      <c r="P188" s="522"/>
      <c r="Q188" s="522"/>
      <c r="R188" s="522"/>
      <c r="S188" s="522"/>
      <c r="T188" s="522"/>
      <c r="U188" s="522"/>
      <c r="V188" s="573">
        <v>1.91</v>
      </c>
      <c r="W188" s="524" t="s">
        <v>120</v>
      </c>
      <c r="X188" s="512"/>
    </row>
    <row r="189" spans="1:24" s="513" customFormat="1" x14ac:dyDescent="0.3">
      <c r="A189" s="521"/>
      <c r="B189" s="522" t="s">
        <v>69</v>
      </c>
      <c r="C189" s="522"/>
      <c r="D189" s="522"/>
      <c r="E189" s="522"/>
      <c r="F189" s="522"/>
      <c r="G189" s="522"/>
      <c r="H189" s="522"/>
      <c r="I189" s="522"/>
      <c r="J189" s="522"/>
      <c r="K189" s="522"/>
      <c r="L189" s="522"/>
      <c r="M189" s="522"/>
      <c r="N189" s="522"/>
      <c r="O189" s="522"/>
      <c r="P189" s="522"/>
      <c r="Q189" s="522"/>
      <c r="R189" s="522"/>
      <c r="S189" s="522"/>
      <c r="T189" s="522"/>
      <c r="U189" s="522"/>
      <c r="V189" s="571">
        <f>(V100+V102+V103+V104+V105+V106+V107)/-(V108+V109)</f>
        <v>16.392694063926939</v>
      </c>
      <c r="W189" s="524" t="s">
        <v>120</v>
      </c>
      <c r="X189" s="512"/>
    </row>
    <row r="190" spans="1:24" s="513" customFormat="1" x14ac:dyDescent="0.3">
      <c r="A190" s="521"/>
      <c r="B190" s="522" t="s">
        <v>70</v>
      </c>
      <c r="C190" s="522"/>
      <c r="D190" s="522"/>
      <c r="E190" s="522"/>
      <c r="F190" s="522"/>
      <c r="G190" s="522"/>
      <c r="H190" s="522"/>
      <c r="I190" s="522"/>
      <c r="J190" s="522"/>
      <c r="K190" s="522"/>
      <c r="L190" s="522"/>
      <c r="M190" s="522"/>
      <c r="N190" s="522"/>
      <c r="O190" s="522"/>
      <c r="P190" s="522"/>
      <c r="Q190" s="522"/>
      <c r="R190" s="522"/>
      <c r="S190" s="522"/>
      <c r="T190" s="522"/>
      <c r="U190" s="522"/>
      <c r="V190" s="573">
        <v>7.46</v>
      </c>
      <c r="W190" s="524" t="s">
        <v>120</v>
      </c>
      <c r="X190" s="512"/>
    </row>
    <row r="191" spans="1:24" s="513" customFormat="1" x14ac:dyDescent="0.3">
      <c r="A191" s="521"/>
      <c r="B191" s="522" t="s">
        <v>204</v>
      </c>
      <c r="C191" s="522"/>
      <c r="D191" s="522"/>
      <c r="E191" s="522"/>
      <c r="F191" s="522"/>
      <c r="G191" s="522"/>
      <c r="H191" s="522"/>
      <c r="I191" s="522"/>
      <c r="J191" s="522"/>
      <c r="K191" s="522"/>
      <c r="L191" s="522"/>
      <c r="M191" s="522"/>
      <c r="N191" s="522"/>
      <c r="O191" s="522"/>
      <c r="P191" s="522"/>
      <c r="Q191" s="522"/>
      <c r="R191" s="522"/>
      <c r="S191" s="522"/>
      <c r="T191" s="522"/>
      <c r="U191" s="522"/>
      <c r="V191" s="571">
        <f>(V100+V102+V103+V104+V105+V106+V107+V108+V109)/-(V110+V111)</f>
        <v>11.996441281138789</v>
      </c>
      <c r="W191" s="524" t="s">
        <v>120</v>
      </c>
      <c r="X191" s="512"/>
    </row>
    <row r="192" spans="1:24" s="513" customFormat="1" x14ac:dyDescent="0.3">
      <c r="A192" s="521"/>
      <c r="B192" s="522" t="s">
        <v>205</v>
      </c>
      <c r="C192" s="522"/>
      <c r="D192" s="522"/>
      <c r="E192" s="522"/>
      <c r="F192" s="522"/>
      <c r="G192" s="522"/>
      <c r="H192" s="522"/>
      <c r="I192" s="522"/>
      <c r="J192" s="522"/>
      <c r="K192" s="522"/>
      <c r="L192" s="522"/>
      <c r="M192" s="522"/>
      <c r="N192" s="522"/>
      <c r="O192" s="522"/>
      <c r="P192" s="522"/>
      <c r="Q192" s="522"/>
      <c r="R192" s="522"/>
      <c r="S192" s="522"/>
      <c r="T192" s="522"/>
      <c r="U192" s="522"/>
      <c r="V192" s="573">
        <v>6.88</v>
      </c>
      <c r="W192" s="524" t="s">
        <v>120</v>
      </c>
      <c r="X192" s="512"/>
    </row>
    <row r="193" spans="1:24" s="513" customFormat="1" x14ac:dyDescent="0.3">
      <c r="A193" s="521"/>
      <c r="B193" s="522"/>
      <c r="C193" s="522"/>
      <c r="D193" s="522"/>
      <c r="E193" s="522"/>
      <c r="F193" s="522"/>
      <c r="G193" s="522"/>
      <c r="H193" s="522"/>
      <c r="I193" s="522"/>
      <c r="J193" s="522"/>
      <c r="K193" s="522"/>
      <c r="L193" s="522"/>
      <c r="M193" s="522"/>
      <c r="N193" s="522"/>
      <c r="O193" s="522"/>
      <c r="P193" s="522"/>
      <c r="Q193" s="522"/>
      <c r="R193" s="522"/>
      <c r="S193" s="522"/>
      <c r="T193" s="522"/>
      <c r="U193" s="522"/>
      <c r="V193" s="522"/>
      <c r="W193" s="524"/>
      <c r="X193" s="512"/>
    </row>
    <row r="194" spans="1:24" s="513" customFormat="1" x14ac:dyDescent="0.3">
      <c r="A194" s="509"/>
      <c r="B194" s="552"/>
      <c r="C194" s="552"/>
      <c r="D194" s="552"/>
      <c r="E194" s="552"/>
      <c r="F194" s="552"/>
      <c r="G194" s="552"/>
      <c r="H194" s="552"/>
      <c r="I194" s="552"/>
      <c r="J194" s="552"/>
      <c r="K194" s="552"/>
      <c r="L194" s="552"/>
      <c r="M194" s="552"/>
      <c r="N194" s="552"/>
      <c r="O194" s="552"/>
      <c r="P194" s="552"/>
      <c r="Q194" s="552"/>
      <c r="R194" s="552"/>
      <c r="S194" s="552"/>
      <c r="T194" s="552"/>
      <c r="U194" s="552"/>
      <c r="V194" s="552"/>
      <c r="W194" s="552"/>
      <c r="X194" s="512"/>
    </row>
    <row r="195" spans="1:24" s="513" customFormat="1" x14ac:dyDescent="0.3">
      <c r="A195" s="509"/>
      <c r="B195" s="510"/>
      <c r="C195" s="510"/>
      <c r="D195" s="510"/>
      <c r="E195" s="510"/>
      <c r="F195" s="510"/>
      <c r="G195" s="510"/>
      <c r="H195" s="510"/>
      <c r="I195" s="510"/>
      <c r="J195" s="510"/>
      <c r="K195" s="510"/>
      <c r="L195" s="510"/>
      <c r="M195" s="510"/>
      <c r="N195" s="510"/>
      <c r="O195" s="510"/>
      <c r="P195" s="510"/>
      <c r="Q195" s="510"/>
      <c r="R195" s="510"/>
      <c r="S195" s="510"/>
      <c r="T195" s="510"/>
      <c r="U195" s="510"/>
      <c r="V195" s="510"/>
      <c r="W195" s="510"/>
      <c r="X195" s="512"/>
    </row>
    <row r="196" spans="1:24" s="513" customFormat="1" ht="18.600000000000001" thickBot="1" x14ac:dyDescent="0.4">
      <c r="A196" s="557"/>
      <c r="B196" s="558" t="str">
        <f>B136</f>
        <v>PM12 INVESTOR REPORT QUARTER ENDING OCTOBER 2017</v>
      </c>
      <c r="C196" s="559"/>
      <c r="D196" s="559"/>
      <c r="E196" s="559"/>
      <c r="F196" s="559"/>
      <c r="G196" s="559"/>
      <c r="H196" s="559"/>
      <c r="I196" s="559"/>
      <c r="J196" s="559"/>
      <c r="K196" s="559"/>
      <c r="L196" s="559"/>
      <c r="M196" s="559"/>
      <c r="N196" s="559"/>
      <c r="O196" s="559"/>
      <c r="P196" s="559"/>
      <c r="Q196" s="559"/>
      <c r="R196" s="559"/>
      <c r="S196" s="559"/>
      <c r="T196" s="559"/>
      <c r="U196" s="559"/>
      <c r="V196" s="559"/>
      <c r="W196" s="561"/>
      <c r="X196" s="512"/>
    </row>
    <row r="197" spans="1:24" x14ac:dyDescent="0.3">
      <c r="A197" s="444"/>
      <c r="B197" s="445" t="s">
        <v>71</v>
      </c>
      <c r="C197" s="455"/>
      <c r="D197" s="455"/>
      <c r="E197" s="455"/>
      <c r="F197" s="455"/>
      <c r="G197" s="456"/>
      <c r="H197" s="456"/>
      <c r="I197" s="456"/>
      <c r="J197" s="456"/>
      <c r="K197" s="456"/>
      <c r="L197" s="456"/>
      <c r="M197" s="456"/>
      <c r="N197" s="456"/>
      <c r="O197" s="456"/>
      <c r="P197" s="456"/>
      <c r="Q197" s="456"/>
      <c r="R197" s="456"/>
      <c r="S197" s="456"/>
      <c r="T197" s="456">
        <v>43039</v>
      </c>
      <c r="U197" s="446"/>
      <c r="V197" s="446"/>
      <c r="W197" s="446"/>
      <c r="X197" s="405"/>
    </row>
    <row r="198" spans="1:24" x14ac:dyDescent="0.3">
      <c r="A198" s="457"/>
      <c r="B198" s="458"/>
      <c r="C198" s="459"/>
      <c r="D198" s="459"/>
      <c r="E198" s="459"/>
      <c r="F198" s="459"/>
      <c r="G198" s="460"/>
      <c r="H198" s="460"/>
      <c r="I198" s="460"/>
      <c r="J198" s="460"/>
      <c r="K198" s="460"/>
      <c r="L198" s="460"/>
      <c r="M198" s="460"/>
      <c r="N198" s="460"/>
      <c r="O198" s="460"/>
      <c r="P198" s="460"/>
      <c r="Q198" s="460"/>
      <c r="R198" s="460"/>
      <c r="S198" s="460"/>
      <c r="T198" s="460"/>
      <c r="U198" s="409"/>
      <c r="V198" s="409"/>
      <c r="W198" s="409"/>
      <c r="X198" s="405"/>
    </row>
    <row r="199" spans="1:24" s="513" customFormat="1" x14ac:dyDescent="0.3">
      <c r="A199" s="521"/>
      <c r="B199" s="522" t="s">
        <v>72</v>
      </c>
      <c r="C199" s="574"/>
      <c r="D199" s="574"/>
      <c r="E199" s="574"/>
      <c r="F199" s="574"/>
      <c r="G199" s="546"/>
      <c r="H199" s="546"/>
      <c r="I199" s="546"/>
      <c r="J199" s="546"/>
      <c r="K199" s="546"/>
      <c r="L199" s="546"/>
      <c r="M199" s="546"/>
      <c r="N199" s="546"/>
      <c r="O199" s="546"/>
      <c r="P199" s="546"/>
      <c r="Q199" s="546"/>
      <c r="R199" s="546"/>
      <c r="S199" s="546"/>
      <c r="T199" s="539">
        <v>5.2060000000000002E-2</v>
      </c>
      <c r="U199" s="522"/>
      <c r="V199" s="522"/>
      <c r="W199" s="524"/>
      <c r="X199" s="512"/>
    </row>
    <row r="200" spans="1:24" s="513" customFormat="1" x14ac:dyDescent="0.3">
      <c r="A200" s="521"/>
      <c r="B200" s="522" t="s">
        <v>156</v>
      </c>
      <c r="C200" s="574"/>
      <c r="D200" s="574"/>
      <c r="E200" s="574"/>
      <c r="F200" s="574"/>
      <c r="G200" s="546"/>
      <c r="H200" s="546"/>
      <c r="I200" s="546"/>
      <c r="J200" s="546"/>
      <c r="K200" s="546"/>
      <c r="L200" s="546"/>
      <c r="M200" s="546"/>
      <c r="N200" s="546"/>
      <c r="O200" s="546"/>
      <c r="P200" s="546"/>
      <c r="Q200" s="546"/>
      <c r="R200" s="546"/>
      <c r="S200" s="546"/>
      <c r="T200" s="539">
        <f>'Oct 06'!T197</f>
        <v>4.8538814772447772E-2</v>
      </c>
      <c r="U200" s="522"/>
      <c r="V200" s="522"/>
      <c r="W200" s="524"/>
      <c r="X200" s="512"/>
    </row>
    <row r="201" spans="1:24" s="513" customFormat="1" x14ac:dyDescent="0.3">
      <c r="A201" s="521"/>
      <c r="B201" s="522" t="s">
        <v>73</v>
      </c>
      <c r="C201" s="574"/>
      <c r="D201" s="574"/>
      <c r="E201" s="574"/>
      <c r="F201" s="574"/>
      <c r="G201" s="546"/>
      <c r="H201" s="546"/>
      <c r="I201" s="546"/>
      <c r="J201" s="546"/>
      <c r="K201" s="546"/>
      <c r="L201" s="546"/>
      <c r="M201" s="546"/>
      <c r="N201" s="546"/>
      <c r="O201" s="546"/>
      <c r="P201" s="546"/>
      <c r="Q201" s="546"/>
      <c r="R201" s="546"/>
      <c r="S201" s="546"/>
      <c r="T201" s="539">
        <f>T199-T200</f>
        <v>3.5211852275522301E-3</v>
      </c>
      <c r="U201" s="522"/>
      <c r="V201" s="522"/>
      <c r="W201" s="524"/>
      <c r="X201" s="512"/>
    </row>
    <row r="202" spans="1:24" s="513" customFormat="1" x14ac:dyDescent="0.3">
      <c r="A202" s="521"/>
      <c r="B202" s="522" t="s">
        <v>74</v>
      </c>
      <c r="C202" s="574"/>
      <c r="D202" s="574"/>
      <c r="E202" s="574"/>
      <c r="F202" s="574"/>
      <c r="G202" s="546"/>
      <c r="H202" s="546"/>
      <c r="I202" s="546"/>
      <c r="J202" s="546"/>
      <c r="K202" s="546"/>
      <c r="L202" s="546"/>
      <c r="M202" s="546"/>
      <c r="N202" s="546"/>
      <c r="O202" s="546"/>
      <c r="P202" s="546"/>
      <c r="Q202" s="546"/>
      <c r="R202" s="546"/>
      <c r="S202" s="546"/>
      <c r="T202" s="539">
        <v>2.051E-2</v>
      </c>
      <c r="U202" s="522"/>
      <c r="V202" s="522"/>
      <c r="W202" s="524"/>
      <c r="X202" s="512"/>
    </row>
    <row r="203" spans="1:24" s="513" customFormat="1" x14ac:dyDescent="0.3">
      <c r="A203" s="521"/>
      <c r="B203" s="522" t="s">
        <v>225</v>
      </c>
      <c r="C203" s="574"/>
      <c r="D203" s="574"/>
      <c r="E203" s="574"/>
      <c r="F203" s="574"/>
      <c r="G203" s="546"/>
      <c r="H203" s="546"/>
      <c r="I203" s="546"/>
      <c r="J203" s="546"/>
      <c r="K203" s="546"/>
      <c r="L203" s="546"/>
      <c r="M203" s="546"/>
      <c r="N203" s="546"/>
      <c r="O203" s="546"/>
      <c r="P203" s="546"/>
      <c r="Q203" s="546"/>
      <c r="R203" s="546"/>
      <c r="S203" s="546"/>
      <c r="T203" s="539">
        <f>V43</f>
        <v>6.5031655083654313E-3</v>
      </c>
      <c r="U203" s="522"/>
      <c r="V203" s="522"/>
      <c r="W203" s="524"/>
      <c r="X203" s="512"/>
    </row>
    <row r="204" spans="1:24" s="513" customFormat="1" x14ac:dyDescent="0.3">
      <c r="A204" s="521"/>
      <c r="B204" s="522" t="s">
        <v>75</v>
      </c>
      <c r="C204" s="574"/>
      <c r="D204" s="574"/>
      <c r="E204" s="574"/>
      <c r="F204" s="574"/>
      <c r="G204" s="546"/>
      <c r="H204" s="546"/>
      <c r="I204" s="546"/>
      <c r="J204" s="546"/>
      <c r="K204" s="546"/>
      <c r="L204" s="546"/>
      <c r="M204" s="546"/>
      <c r="N204" s="546"/>
      <c r="O204" s="546"/>
      <c r="P204" s="546"/>
      <c r="Q204" s="546"/>
      <c r="R204" s="546"/>
      <c r="S204" s="546"/>
      <c r="T204" s="539">
        <f>T202-T203</f>
        <v>1.4006834491634569E-2</v>
      </c>
      <c r="U204" s="522"/>
      <c r="V204" s="522"/>
      <c r="W204" s="524"/>
      <c r="X204" s="512"/>
    </row>
    <row r="205" spans="1:24" s="513" customFormat="1" x14ac:dyDescent="0.3">
      <c r="A205" s="521"/>
      <c r="B205" s="522" t="s">
        <v>271</v>
      </c>
      <c r="C205" s="574"/>
      <c r="D205" s="574"/>
      <c r="E205" s="574"/>
      <c r="F205" s="574"/>
      <c r="G205" s="546"/>
      <c r="H205" s="546"/>
      <c r="I205" s="546"/>
      <c r="J205" s="546"/>
      <c r="K205" s="546"/>
      <c r="L205" s="546"/>
      <c r="M205" s="546"/>
      <c r="N205" s="546"/>
      <c r="O205" s="546"/>
      <c r="P205" s="546"/>
      <c r="Q205" s="546"/>
      <c r="R205" s="546"/>
      <c r="S205" s="546"/>
      <c r="T205" s="539">
        <f>+V100/N71</f>
        <v>6.1634509159109009E-3</v>
      </c>
      <c r="U205" s="522"/>
      <c r="V205" s="522"/>
      <c r="W205" s="524"/>
      <c r="X205" s="512"/>
    </row>
    <row r="206" spans="1:24" s="513" customFormat="1" x14ac:dyDescent="0.3">
      <c r="A206" s="521"/>
      <c r="B206" s="522" t="s">
        <v>214</v>
      </c>
      <c r="C206" s="574"/>
      <c r="D206" s="574"/>
      <c r="E206" s="574"/>
      <c r="F206" s="574"/>
      <c r="G206" s="546"/>
      <c r="H206" s="546"/>
      <c r="I206" s="546"/>
      <c r="J206" s="546"/>
      <c r="K206" s="546"/>
      <c r="L206" s="546"/>
      <c r="M206" s="546"/>
      <c r="N206" s="546"/>
      <c r="O206" s="546"/>
      <c r="P206" s="546"/>
      <c r="Q206" s="546"/>
      <c r="R206" s="546"/>
      <c r="S206" s="546"/>
      <c r="T206" s="575">
        <v>50710</v>
      </c>
      <c r="U206" s="522"/>
      <c r="V206" s="522"/>
      <c r="W206" s="524"/>
      <c r="X206" s="512"/>
    </row>
    <row r="207" spans="1:24" s="513" customFormat="1" x14ac:dyDescent="0.3">
      <c r="A207" s="521"/>
      <c r="B207" s="522" t="s">
        <v>215</v>
      </c>
      <c r="C207" s="574"/>
      <c r="D207" s="574"/>
      <c r="E207" s="574"/>
      <c r="F207" s="574"/>
      <c r="G207" s="546"/>
      <c r="H207" s="546"/>
      <c r="I207" s="546"/>
      <c r="J207" s="546"/>
      <c r="K207" s="546"/>
      <c r="L207" s="546"/>
      <c r="M207" s="546"/>
      <c r="N207" s="546"/>
      <c r="O207" s="546"/>
      <c r="P207" s="546"/>
      <c r="Q207" s="546"/>
      <c r="R207" s="546"/>
      <c r="S207" s="546"/>
      <c r="T207" s="575">
        <v>50710</v>
      </c>
      <c r="U207" s="522"/>
      <c r="V207" s="522"/>
      <c r="W207" s="524"/>
      <c r="X207" s="512"/>
    </row>
    <row r="208" spans="1:24" s="513" customFormat="1" x14ac:dyDescent="0.3">
      <c r="A208" s="521"/>
      <c r="B208" s="522" t="s">
        <v>216</v>
      </c>
      <c r="C208" s="574"/>
      <c r="D208" s="574"/>
      <c r="E208" s="574"/>
      <c r="F208" s="574"/>
      <c r="G208" s="546"/>
      <c r="H208" s="546"/>
      <c r="I208" s="546"/>
      <c r="J208" s="546"/>
      <c r="K208" s="546"/>
      <c r="L208" s="546"/>
      <c r="M208" s="546"/>
      <c r="N208" s="546"/>
      <c r="O208" s="546"/>
      <c r="P208" s="546"/>
      <c r="Q208" s="546"/>
      <c r="R208" s="546"/>
      <c r="S208" s="546"/>
      <c r="T208" s="575">
        <v>50710</v>
      </c>
      <c r="U208" s="522"/>
      <c r="V208" s="522"/>
      <c r="W208" s="524"/>
      <c r="X208" s="512"/>
    </row>
    <row r="209" spans="1:24" s="513" customFormat="1" x14ac:dyDescent="0.3">
      <c r="A209" s="521"/>
      <c r="B209" s="522" t="s">
        <v>76</v>
      </c>
      <c r="C209" s="574"/>
      <c r="D209" s="574"/>
      <c r="E209" s="574"/>
      <c r="F209" s="574"/>
      <c r="G209" s="546"/>
      <c r="H209" s="546"/>
      <c r="I209" s="546"/>
      <c r="J209" s="546"/>
      <c r="K209" s="546"/>
      <c r="L209" s="546"/>
      <c r="M209" s="546"/>
      <c r="N209" s="546"/>
      <c r="O209" s="546"/>
      <c r="P209" s="546"/>
      <c r="Q209" s="546"/>
      <c r="R209" s="546"/>
      <c r="S209" s="546"/>
      <c r="T209" s="544">
        <v>21.06</v>
      </c>
      <c r="U209" s="522" t="s">
        <v>115</v>
      </c>
      <c r="V209" s="522"/>
      <c r="W209" s="524"/>
      <c r="X209" s="512"/>
    </row>
    <row r="210" spans="1:24" s="513" customFormat="1" x14ac:dyDescent="0.3">
      <c r="A210" s="521"/>
      <c r="B210" s="522" t="s">
        <v>77</v>
      </c>
      <c r="C210" s="574"/>
      <c r="D210" s="574"/>
      <c r="E210" s="574"/>
      <c r="F210" s="574"/>
      <c r="G210" s="546"/>
      <c r="H210" s="546"/>
      <c r="I210" s="546"/>
      <c r="J210" s="546"/>
      <c r="K210" s="546"/>
      <c r="L210" s="546"/>
      <c r="M210" s="546"/>
      <c r="N210" s="546"/>
      <c r="O210" s="546"/>
      <c r="P210" s="546"/>
      <c r="Q210" s="546"/>
      <c r="R210" s="546"/>
      <c r="S210" s="546"/>
      <c r="T210" s="544">
        <v>10.34</v>
      </c>
      <c r="U210" s="522" t="s">
        <v>115</v>
      </c>
      <c r="V210" s="522"/>
      <c r="W210" s="524"/>
      <c r="X210" s="512"/>
    </row>
    <row r="211" spans="1:24" s="513" customFormat="1" x14ac:dyDescent="0.3">
      <c r="A211" s="521"/>
      <c r="B211" s="522" t="s">
        <v>78</v>
      </c>
      <c r="C211" s="574"/>
      <c r="D211" s="574"/>
      <c r="E211" s="574"/>
      <c r="F211" s="574"/>
      <c r="G211" s="546"/>
      <c r="H211" s="546"/>
      <c r="I211" s="546"/>
      <c r="J211" s="546"/>
      <c r="K211" s="546"/>
      <c r="L211" s="546"/>
      <c r="M211" s="546"/>
      <c r="N211" s="546"/>
      <c r="O211" s="546"/>
      <c r="P211" s="546"/>
      <c r="Q211" s="546"/>
      <c r="R211" s="546"/>
      <c r="S211" s="546"/>
      <c r="T211" s="539">
        <f>P68/N68</f>
        <v>1.5006551396346633E-2</v>
      </c>
      <c r="U211" s="522"/>
      <c r="V211" s="522"/>
      <c r="W211" s="524"/>
      <c r="X211" s="512"/>
    </row>
    <row r="212" spans="1:24" s="513" customFormat="1" x14ac:dyDescent="0.3">
      <c r="A212" s="521"/>
      <c r="B212" s="522" t="s">
        <v>79</v>
      </c>
      <c r="C212" s="574"/>
      <c r="D212" s="574"/>
      <c r="E212" s="574"/>
      <c r="F212" s="574"/>
      <c r="G212" s="546"/>
      <c r="H212" s="546"/>
      <c r="I212" s="546"/>
      <c r="J212" s="546"/>
      <c r="K212" s="546"/>
      <c r="L212" s="546"/>
      <c r="M212" s="546"/>
      <c r="N212" s="546"/>
      <c r="O212" s="546"/>
      <c r="P212" s="546"/>
      <c r="Q212" s="546"/>
      <c r="R212" s="546"/>
      <c r="S212" s="546"/>
      <c r="T212" s="539">
        <v>6.1800000000000001E-2</v>
      </c>
      <c r="U212" s="522"/>
      <c r="V212" s="522"/>
      <c r="W212" s="524"/>
      <c r="X212" s="512"/>
    </row>
    <row r="213" spans="1:24" x14ac:dyDescent="0.3">
      <c r="A213" s="457"/>
      <c r="B213" s="461"/>
      <c r="C213" s="461"/>
      <c r="D213" s="461"/>
      <c r="E213" s="461"/>
      <c r="F213" s="461"/>
      <c r="G213" s="429"/>
      <c r="H213" s="429"/>
      <c r="I213" s="429"/>
      <c r="J213" s="429"/>
      <c r="K213" s="429"/>
      <c r="L213" s="429"/>
      <c r="M213" s="429"/>
      <c r="N213" s="429"/>
      <c r="O213" s="429"/>
      <c r="P213" s="429"/>
      <c r="Q213" s="429"/>
      <c r="R213" s="429"/>
      <c r="S213" s="429"/>
      <c r="T213" s="449"/>
      <c r="U213" s="429"/>
      <c r="V213" s="462"/>
      <c r="W213" s="429"/>
      <c r="X213" s="405"/>
    </row>
    <row r="214" spans="1:24" x14ac:dyDescent="0.3">
      <c r="A214" s="463"/>
      <c r="B214" s="464" t="s">
        <v>80</v>
      </c>
      <c r="C214" s="465"/>
      <c r="D214" s="465"/>
      <c r="E214" s="465"/>
      <c r="F214" s="466"/>
      <c r="G214" s="465"/>
      <c r="H214" s="465"/>
      <c r="I214" s="465"/>
      <c r="J214" s="465"/>
      <c r="K214" s="465"/>
      <c r="L214" s="465"/>
      <c r="M214" s="465"/>
      <c r="N214" s="465"/>
      <c r="O214" s="465"/>
      <c r="P214" s="465"/>
      <c r="Q214" s="465"/>
      <c r="R214" s="465"/>
      <c r="S214" s="465" t="s">
        <v>104</v>
      </c>
      <c r="T214" s="466" t="s">
        <v>111</v>
      </c>
      <c r="U214" s="467"/>
      <c r="V214" s="467"/>
      <c r="W214" s="468"/>
      <c r="X214" s="405"/>
    </row>
    <row r="215" spans="1:24" x14ac:dyDescent="0.3">
      <c r="A215" s="469"/>
      <c r="B215" s="552" t="s">
        <v>81</v>
      </c>
      <c r="C215" s="567"/>
      <c r="D215" s="567"/>
      <c r="E215" s="567"/>
      <c r="F215" s="552"/>
      <c r="G215" s="552"/>
      <c r="H215" s="576"/>
      <c r="I215" s="576"/>
      <c r="J215" s="576"/>
      <c r="K215" s="576"/>
      <c r="L215" s="576"/>
      <c r="M215" s="576"/>
      <c r="N215" s="576"/>
      <c r="O215" s="576"/>
      <c r="P215" s="576"/>
      <c r="Q215" s="576"/>
      <c r="R215" s="576"/>
      <c r="S215" s="576">
        <v>0</v>
      </c>
      <c r="T215" s="577">
        <v>0</v>
      </c>
      <c r="U215" s="429"/>
      <c r="V215" s="462"/>
      <c r="W215" s="470"/>
      <c r="X215" s="405"/>
    </row>
    <row r="216" spans="1:24" x14ac:dyDescent="0.3">
      <c r="A216" s="471"/>
      <c r="B216" s="522" t="s">
        <v>150</v>
      </c>
      <c r="C216" s="562"/>
      <c r="D216" s="562"/>
      <c r="E216" s="562"/>
      <c r="F216" s="522"/>
      <c r="G216" s="522"/>
      <c r="H216" s="528"/>
      <c r="I216" s="528"/>
      <c r="J216" s="528"/>
      <c r="K216" s="528"/>
      <c r="L216" s="528"/>
      <c r="M216" s="528"/>
      <c r="N216" s="528"/>
      <c r="O216" s="528"/>
      <c r="P216" s="528"/>
      <c r="Q216" s="528"/>
      <c r="R216" s="528"/>
      <c r="S216" s="578">
        <f>+R268</f>
        <v>84</v>
      </c>
      <c r="T216" s="579">
        <f>+T268</f>
        <v>14060</v>
      </c>
      <c r="U216" s="424"/>
      <c r="V216" s="474"/>
      <c r="W216" s="475"/>
      <c r="X216" s="405"/>
    </row>
    <row r="217" spans="1:24" x14ac:dyDescent="0.3">
      <c r="A217" s="471"/>
      <c r="B217" s="522" t="s">
        <v>82</v>
      </c>
      <c r="C217" s="562"/>
      <c r="D217" s="562"/>
      <c r="E217" s="562"/>
      <c r="F217" s="522"/>
      <c r="G217" s="522"/>
      <c r="H217" s="528"/>
      <c r="I217" s="528"/>
      <c r="J217" s="528"/>
      <c r="K217" s="528"/>
      <c r="L217" s="528"/>
      <c r="M217" s="528"/>
      <c r="N217" s="528"/>
      <c r="O217" s="528"/>
      <c r="P217" s="528"/>
      <c r="Q217" s="528"/>
      <c r="R217" s="528"/>
      <c r="S217" s="578">
        <f>+R280</f>
        <v>0</v>
      </c>
      <c r="T217" s="579">
        <f>+T280</f>
        <v>0</v>
      </c>
      <c r="U217" s="424"/>
      <c r="V217" s="474"/>
      <c r="W217" s="475"/>
      <c r="X217" s="405"/>
    </row>
    <row r="218" spans="1:24" x14ac:dyDescent="0.3">
      <c r="A218" s="471"/>
      <c r="B218" s="493" t="s">
        <v>83</v>
      </c>
      <c r="C218" s="472"/>
      <c r="D218" s="472"/>
      <c r="E218" s="472"/>
      <c r="F218" s="424"/>
      <c r="G218" s="424"/>
      <c r="H218" s="424"/>
      <c r="I218" s="424"/>
      <c r="J218" s="424"/>
      <c r="K218" s="424"/>
      <c r="L218" s="424"/>
      <c r="M218" s="424"/>
      <c r="N218" s="424"/>
      <c r="O218" s="424"/>
      <c r="P218" s="424"/>
      <c r="Q218" s="424"/>
      <c r="R218" s="424"/>
      <c r="S218" s="421"/>
      <c r="T218" s="579">
        <v>0</v>
      </c>
      <c r="U218" s="424"/>
      <c r="V218" s="474"/>
      <c r="W218" s="475"/>
      <c r="X218" s="405"/>
    </row>
    <row r="219" spans="1:24" x14ac:dyDescent="0.3">
      <c r="A219" s="471"/>
      <c r="B219" s="493" t="s">
        <v>84</v>
      </c>
      <c r="C219" s="472"/>
      <c r="D219" s="472"/>
      <c r="E219" s="472"/>
      <c r="F219" s="424"/>
      <c r="G219" s="424"/>
      <c r="H219" s="424"/>
      <c r="I219" s="424"/>
      <c r="J219" s="424"/>
      <c r="K219" s="424"/>
      <c r="L219" s="424"/>
      <c r="M219" s="424"/>
      <c r="N219" s="424"/>
      <c r="O219" s="424"/>
      <c r="P219" s="424"/>
      <c r="Q219" s="424"/>
      <c r="R219" s="424"/>
      <c r="S219" s="421"/>
      <c r="T219" s="580" t="s">
        <v>112</v>
      </c>
      <c r="U219" s="424"/>
      <c r="V219" s="474"/>
      <c r="W219" s="475"/>
      <c r="X219" s="405"/>
    </row>
    <row r="220" spans="1:24" x14ac:dyDescent="0.3">
      <c r="A220" s="476"/>
      <c r="B220" s="493" t="s">
        <v>85</v>
      </c>
      <c r="C220" s="477"/>
      <c r="D220" s="477"/>
      <c r="E220" s="477"/>
      <c r="F220" s="477"/>
      <c r="G220" s="424"/>
      <c r="H220" s="424"/>
      <c r="I220" s="424"/>
      <c r="J220" s="424"/>
      <c r="K220" s="424"/>
      <c r="L220" s="424"/>
      <c r="M220" s="424"/>
      <c r="N220" s="424"/>
      <c r="O220" s="424"/>
      <c r="P220" s="424"/>
      <c r="Q220" s="424"/>
      <c r="R220" s="424"/>
      <c r="S220" s="421"/>
      <c r="T220" s="473"/>
      <c r="U220" s="424"/>
      <c r="V220" s="474"/>
      <c r="W220" s="478"/>
      <c r="X220" s="405"/>
    </row>
    <row r="221" spans="1:24" s="513" customFormat="1" x14ac:dyDescent="0.3">
      <c r="A221" s="581"/>
      <c r="B221" s="522" t="s">
        <v>86</v>
      </c>
      <c r="C221" s="522"/>
      <c r="D221" s="522"/>
      <c r="E221" s="522"/>
      <c r="F221" s="522"/>
      <c r="G221" s="522"/>
      <c r="H221" s="522"/>
      <c r="I221" s="522"/>
      <c r="J221" s="522"/>
      <c r="K221" s="522"/>
      <c r="L221" s="522"/>
      <c r="M221" s="522"/>
      <c r="N221" s="522"/>
      <c r="O221" s="522"/>
      <c r="P221" s="522"/>
      <c r="Q221" s="522"/>
      <c r="R221" s="522"/>
      <c r="S221" s="528"/>
      <c r="T221" s="579">
        <f>+V165</f>
        <v>-9</v>
      </c>
      <c r="U221" s="522"/>
      <c r="V221" s="582"/>
      <c r="W221" s="583"/>
      <c r="X221" s="512"/>
    </row>
    <row r="222" spans="1:24" s="513" customFormat="1" x14ac:dyDescent="0.3">
      <c r="A222" s="584"/>
      <c r="B222" s="522" t="s">
        <v>87</v>
      </c>
      <c r="C222" s="562"/>
      <c r="D222" s="562"/>
      <c r="E222" s="562"/>
      <c r="F222" s="562"/>
      <c r="G222" s="522"/>
      <c r="H222" s="522"/>
      <c r="I222" s="522"/>
      <c r="J222" s="522"/>
      <c r="K222" s="522"/>
      <c r="L222" s="522"/>
      <c r="M222" s="522"/>
      <c r="N222" s="522"/>
      <c r="O222" s="522"/>
      <c r="P222" s="522"/>
      <c r="Q222" s="522"/>
      <c r="R222" s="522"/>
      <c r="S222" s="528"/>
      <c r="T222" s="579">
        <f>'July 17'!T222+'Oct 17'!T221</f>
        <v>7100</v>
      </c>
      <c r="U222" s="522"/>
      <c r="V222" s="582"/>
      <c r="W222" s="583"/>
      <c r="X222" s="512"/>
    </row>
    <row r="223" spans="1:24" x14ac:dyDescent="0.3">
      <c r="A223" s="476"/>
      <c r="B223" s="493" t="s">
        <v>292</v>
      </c>
      <c r="C223" s="477"/>
      <c r="D223" s="477"/>
      <c r="E223" s="477"/>
      <c r="F223" s="477"/>
      <c r="G223" s="424"/>
      <c r="H223" s="424"/>
      <c r="I223" s="424"/>
      <c r="J223" s="424"/>
      <c r="K223" s="424"/>
      <c r="L223" s="424"/>
      <c r="M223" s="424"/>
      <c r="N223" s="424"/>
      <c r="O223" s="424"/>
      <c r="P223" s="424"/>
      <c r="Q223" s="424"/>
      <c r="R223" s="424"/>
      <c r="S223" s="423"/>
      <c r="T223" s="473"/>
      <c r="U223" s="424"/>
      <c r="V223" s="474"/>
      <c r="W223" s="478"/>
      <c r="X223" s="405"/>
    </row>
    <row r="224" spans="1:24" s="513" customFormat="1" x14ac:dyDescent="0.3">
      <c r="A224" s="581"/>
      <c r="B224" s="522" t="s">
        <v>290</v>
      </c>
      <c r="C224" s="522"/>
      <c r="D224" s="522"/>
      <c r="E224" s="522"/>
      <c r="F224" s="522"/>
      <c r="G224" s="522"/>
      <c r="H224" s="522"/>
      <c r="I224" s="522"/>
      <c r="J224" s="522"/>
      <c r="K224" s="522"/>
      <c r="L224" s="522"/>
      <c r="M224" s="522"/>
      <c r="N224" s="522"/>
      <c r="O224" s="522"/>
      <c r="P224" s="522"/>
      <c r="Q224" s="522"/>
      <c r="R224" s="522"/>
      <c r="S224" s="528">
        <v>0</v>
      </c>
      <c r="T224" s="579">
        <v>0</v>
      </c>
      <c r="U224" s="522"/>
      <c r="V224" s="582"/>
      <c r="W224" s="583"/>
      <c r="X224" s="512"/>
    </row>
    <row r="225" spans="1:25" s="513" customFormat="1" x14ac:dyDescent="0.3">
      <c r="A225" s="584"/>
      <c r="B225" s="522" t="s">
        <v>88</v>
      </c>
      <c r="C225" s="542"/>
      <c r="D225" s="542"/>
      <c r="E225" s="542"/>
      <c r="F225" s="585"/>
      <c r="G225" s="522"/>
      <c r="H225" s="522"/>
      <c r="I225" s="522"/>
      <c r="J225" s="522"/>
      <c r="K225" s="522"/>
      <c r="L225" s="522"/>
      <c r="M225" s="522"/>
      <c r="N225" s="522"/>
      <c r="O225" s="522"/>
      <c r="P225" s="522"/>
      <c r="Q225" s="522"/>
      <c r="R225" s="522"/>
      <c r="S225" s="522"/>
      <c r="T225" s="580">
        <v>0</v>
      </c>
      <c r="U225" s="522"/>
      <c r="V225" s="582"/>
      <c r="W225" s="583"/>
      <c r="X225" s="512"/>
    </row>
    <row r="226" spans="1:25" s="513" customFormat="1" x14ac:dyDescent="0.3">
      <c r="A226" s="584"/>
      <c r="B226" s="522" t="s">
        <v>89</v>
      </c>
      <c r="C226" s="542"/>
      <c r="D226" s="542"/>
      <c r="E226" s="542"/>
      <c r="F226" s="585"/>
      <c r="G226" s="522"/>
      <c r="H226" s="522"/>
      <c r="I226" s="522"/>
      <c r="J226" s="522"/>
      <c r="K226" s="522"/>
      <c r="L226" s="522"/>
      <c r="M226" s="522"/>
      <c r="N226" s="522"/>
      <c r="O226" s="522"/>
      <c r="P226" s="522"/>
      <c r="Q226" s="522"/>
      <c r="R226" s="522"/>
      <c r="S226" s="522"/>
      <c r="T226" s="580">
        <v>0</v>
      </c>
      <c r="U226" s="522"/>
      <c r="V226" s="582"/>
      <c r="W226" s="583"/>
      <c r="X226" s="512"/>
    </row>
    <row r="227" spans="1:25" x14ac:dyDescent="0.3">
      <c r="A227" s="471"/>
      <c r="B227" s="493" t="s">
        <v>223</v>
      </c>
      <c r="C227" s="479"/>
      <c r="D227" s="479"/>
      <c r="E227" s="479"/>
      <c r="F227" s="480"/>
      <c r="G227" s="424"/>
      <c r="H227" s="424"/>
      <c r="I227" s="424"/>
      <c r="J227" s="424"/>
      <c r="K227" s="424"/>
      <c r="L227" s="424"/>
      <c r="M227" s="424"/>
      <c r="N227" s="424"/>
      <c r="O227" s="424"/>
      <c r="P227" s="424"/>
      <c r="Q227" s="424"/>
      <c r="R227" s="424"/>
      <c r="S227" s="421"/>
      <c r="T227" s="481"/>
      <c r="U227" s="424"/>
      <c r="V227" s="474"/>
      <c r="W227" s="478"/>
      <c r="X227" s="405"/>
    </row>
    <row r="228" spans="1:25" s="513" customFormat="1" x14ac:dyDescent="0.3">
      <c r="A228" s="584"/>
      <c r="B228" s="522" t="s">
        <v>290</v>
      </c>
      <c r="C228" s="542"/>
      <c r="D228" s="542"/>
      <c r="E228" s="542"/>
      <c r="F228" s="585"/>
      <c r="G228" s="522"/>
      <c r="H228" s="522"/>
      <c r="I228" s="522"/>
      <c r="J228" s="522"/>
      <c r="K228" s="522"/>
      <c r="L228" s="522"/>
      <c r="M228" s="522"/>
      <c r="N228" s="522"/>
      <c r="O228" s="522"/>
      <c r="P228" s="522"/>
      <c r="Q228" s="522"/>
      <c r="R228" s="522"/>
      <c r="S228" s="528">
        <v>1</v>
      </c>
      <c r="T228" s="579">
        <v>396</v>
      </c>
      <c r="U228" s="522"/>
      <c r="V228" s="582"/>
      <c r="W228" s="583"/>
      <c r="X228" s="512"/>
    </row>
    <row r="229" spans="1:25" s="513" customFormat="1" x14ac:dyDescent="0.3">
      <c r="A229" s="584"/>
      <c r="B229" s="522" t="s">
        <v>224</v>
      </c>
      <c r="C229" s="542"/>
      <c r="D229" s="542"/>
      <c r="E229" s="542"/>
      <c r="F229" s="585"/>
      <c r="G229" s="522"/>
      <c r="H229" s="522"/>
      <c r="I229" s="522"/>
      <c r="J229" s="522"/>
      <c r="K229" s="522"/>
      <c r="L229" s="522"/>
      <c r="M229" s="522"/>
      <c r="N229" s="522"/>
      <c r="O229" s="522"/>
      <c r="P229" s="522"/>
      <c r="Q229" s="522"/>
      <c r="R229" s="522"/>
      <c r="S229" s="522"/>
      <c r="T229" s="580">
        <v>0</v>
      </c>
      <c r="U229" s="522"/>
      <c r="V229" s="582"/>
      <c r="W229" s="583"/>
      <c r="X229" s="512"/>
    </row>
    <row r="230" spans="1:25" x14ac:dyDescent="0.3">
      <c r="A230" s="471"/>
      <c r="B230" s="477"/>
      <c r="C230" s="479"/>
      <c r="D230" s="479"/>
      <c r="E230" s="479"/>
      <c r="F230" s="480"/>
      <c r="G230" s="424"/>
      <c r="H230" s="424"/>
      <c r="I230" s="424"/>
      <c r="J230" s="424"/>
      <c r="K230" s="424"/>
      <c r="L230" s="424"/>
      <c r="M230" s="424"/>
      <c r="N230" s="424"/>
      <c r="O230" s="424"/>
      <c r="P230" s="424"/>
      <c r="Q230" s="424"/>
      <c r="R230" s="424"/>
      <c r="S230" s="421"/>
      <c r="T230" s="481"/>
      <c r="U230" s="424"/>
      <c r="V230" s="474"/>
      <c r="W230" s="478"/>
      <c r="X230" s="405"/>
    </row>
    <row r="231" spans="1:25" x14ac:dyDescent="0.3">
      <c r="A231" s="471"/>
      <c r="B231" s="477"/>
      <c r="C231" s="479"/>
      <c r="D231" s="479"/>
      <c r="E231" s="479"/>
      <c r="F231" s="480"/>
      <c r="G231" s="424"/>
      <c r="H231" s="424"/>
      <c r="I231" s="424"/>
      <c r="J231" s="424"/>
      <c r="K231" s="424"/>
      <c r="L231" s="424"/>
      <c r="M231" s="424"/>
      <c r="N231" s="424"/>
      <c r="O231" s="424"/>
      <c r="P231" s="424"/>
      <c r="Q231" s="424"/>
      <c r="R231" s="424"/>
      <c r="S231" s="424"/>
      <c r="T231" s="482"/>
      <c r="U231" s="424"/>
      <c r="V231" s="474"/>
      <c r="W231" s="478"/>
      <c r="X231" s="405"/>
    </row>
    <row r="232" spans="1:25" ht="18" x14ac:dyDescent="0.35">
      <c r="A232" s="471"/>
      <c r="B232" s="505" t="s">
        <v>174</v>
      </c>
      <c r="C232" s="479"/>
      <c r="D232" s="479"/>
      <c r="E232" s="479"/>
      <c r="F232" s="480"/>
      <c r="G232" s="424"/>
      <c r="H232" s="424"/>
      <c r="I232" s="424"/>
      <c r="J232" s="424"/>
      <c r="K232" s="424"/>
      <c r="L232" s="424"/>
      <c r="M232" s="424"/>
      <c r="N232" s="424"/>
      <c r="O232" s="424"/>
      <c r="P232" s="606" t="s">
        <v>349</v>
      </c>
      <c r="Q232" s="424"/>
      <c r="R232" s="424"/>
      <c r="S232" s="424"/>
      <c r="T232" s="482"/>
      <c r="U232" s="424"/>
      <c r="V232" s="474"/>
      <c r="W232" s="478"/>
      <c r="X232" s="405"/>
    </row>
    <row r="233" spans="1:25" x14ac:dyDescent="0.3">
      <c r="A233" s="469"/>
      <c r="B233" s="461"/>
      <c r="C233" s="483"/>
      <c r="D233" s="483"/>
      <c r="E233" s="483"/>
      <c r="F233" s="484"/>
      <c r="G233" s="429"/>
      <c r="H233" s="429"/>
      <c r="I233" s="429"/>
      <c r="J233" s="429"/>
      <c r="K233" s="429"/>
      <c r="L233" s="429"/>
      <c r="M233" s="429"/>
      <c r="N233" s="429"/>
      <c r="O233" s="429"/>
      <c r="P233" s="429"/>
      <c r="Q233" s="429"/>
      <c r="R233" s="429"/>
      <c r="S233" s="429"/>
      <c r="T233" s="485"/>
      <c r="U233" s="429"/>
      <c r="V233" s="462"/>
      <c r="W233" s="486"/>
      <c r="X233" s="405"/>
    </row>
    <row r="234" spans="1:25" x14ac:dyDescent="0.3">
      <c r="A234" s="418"/>
      <c r="B234" s="464" t="s">
        <v>304</v>
      </c>
      <c r="C234" s="465"/>
      <c r="D234" s="465"/>
      <c r="E234" s="465"/>
      <c r="F234" s="466"/>
      <c r="G234" s="465"/>
      <c r="H234" s="465"/>
      <c r="I234" s="465"/>
      <c r="J234" s="465"/>
      <c r="K234" s="465"/>
      <c r="L234" s="465"/>
      <c r="M234" s="465"/>
      <c r="N234" s="465"/>
      <c r="O234" s="465"/>
      <c r="P234" s="465"/>
      <c r="Q234" s="465"/>
      <c r="R234" s="466" t="s">
        <v>104</v>
      </c>
      <c r="S234" s="465" t="s">
        <v>105</v>
      </c>
      <c r="T234" s="466" t="s">
        <v>113</v>
      </c>
      <c r="U234" s="465" t="s">
        <v>105</v>
      </c>
      <c r="V234" s="467"/>
      <c r="W234" s="487"/>
      <c r="X234" s="405"/>
    </row>
    <row r="235" spans="1:25" s="513" customFormat="1" x14ac:dyDescent="0.3">
      <c r="A235" s="509"/>
      <c r="B235" s="567" t="s">
        <v>90</v>
      </c>
      <c r="C235" s="586"/>
      <c r="D235" s="586"/>
      <c r="E235" s="586"/>
      <c r="F235" s="552"/>
      <c r="G235" s="586"/>
      <c r="H235" s="586"/>
      <c r="I235" s="586"/>
      <c r="J235" s="586"/>
      <c r="K235" s="586"/>
      <c r="L235" s="586"/>
      <c r="M235" s="586"/>
      <c r="N235" s="586"/>
      <c r="O235" s="586"/>
      <c r="P235" s="586"/>
      <c r="Q235" s="586"/>
      <c r="R235" s="587">
        <f t="shared" ref="R235:R242" si="1">+R247+R259+R271</f>
        <v>5818</v>
      </c>
      <c r="S235" s="588">
        <f t="shared" ref="S235:S242" si="2">R235/$R$244</f>
        <v>0.99914133608105793</v>
      </c>
      <c r="T235" s="589">
        <f t="shared" ref="T235:T242" si="3">+T247+T259+T271</f>
        <v>766193</v>
      </c>
      <c r="U235" s="588">
        <f t="shared" ref="U235:U242" si="4">T235/$T$244</f>
        <v>0.99893352246577949</v>
      </c>
      <c r="V235" s="590"/>
      <c r="W235" s="591"/>
      <c r="X235" s="512"/>
    </row>
    <row r="236" spans="1:25" s="513" customFormat="1" x14ac:dyDescent="0.3">
      <c r="A236" s="521"/>
      <c r="B236" s="562" t="s">
        <v>91</v>
      </c>
      <c r="C236" s="592"/>
      <c r="D236" s="592"/>
      <c r="E236" s="592"/>
      <c r="F236" s="522"/>
      <c r="G236" s="593"/>
      <c r="H236" s="592"/>
      <c r="I236" s="592"/>
      <c r="J236" s="592"/>
      <c r="K236" s="592"/>
      <c r="L236" s="592"/>
      <c r="M236" s="592"/>
      <c r="N236" s="592"/>
      <c r="O236" s="592"/>
      <c r="P236" s="592"/>
      <c r="Q236" s="592"/>
      <c r="R236" s="562">
        <f t="shared" si="1"/>
        <v>2</v>
      </c>
      <c r="S236" s="593">
        <f t="shared" si="2"/>
        <v>3.4346556757685042E-4</v>
      </c>
      <c r="T236" s="563">
        <f t="shared" si="3"/>
        <v>508</v>
      </c>
      <c r="U236" s="593">
        <f t="shared" si="4"/>
        <v>6.6231123152079956E-4</v>
      </c>
      <c r="V236" s="582"/>
      <c r="W236" s="583"/>
      <c r="X236" s="512"/>
      <c r="Y236" s="570"/>
    </row>
    <row r="237" spans="1:25" s="513" customFormat="1" x14ac:dyDescent="0.3">
      <c r="A237" s="521"/>
      <c r="B237" s="562" t="s">
        <v>92</v>
      </c>
      <c r="C237" s="592"/>
      <c r="D237" s="592"/>
      <c r="E237" s="592"/>
      <c r="F237" s="522"/>
      <c r="G237" s="593"/>
      <c r="H237" s="592"/>
      <c r="I237" s="592"/>
      <c r="J237" s="592"/>
      <c r="K237" s="592"/>
      <c r="L237" s="592"/>
      <c r="M237" s="592"/>
      <c r="N237" s="592"/>
      <c r="O237" s="592"/>
      <c r="P237" s="592"/>
      <c r="Q237" s="592"/>
      <c r="R237" s="562">
        <f t="shared" si="1"/>
        <v>1</v>
      </c>
      <c r="S237" s="593">
        <f t="shared" si="2"/>
        <v>1.7173278378842521E-4</v>
      </c>
      <c r="T237" s="563">
        <f t="shared" si="3"/>
        <v>101</v>
      </c>
      <c r="U237" s="593">
        <f t="shared" si="4"/>
        <v>1.3167998894409599E-4</v>
      </c>
      <c r="V237" s="582"/>
      <c r="W237" s="583"/>
      <c r="X237" s="512"/>
    </row>
    <row r="238" spans="1:25" s="513" customFormat="1" x14ac:dyDescent="0.3">
      <c r="A238" s="521"/>
      <c r="B238" s="562" t="s">
        <v>161</v>
      </c>
      <c r="C238" s="592"/>
      <c r="D238" s="592"/>
      <c r="E238" s="592"/>
      <c r="F238" s="522"/>
      <c r="G238" s="593"/>
      <c r="H238" s="592"/>
      <c r="I238" s="592"/>
      <c r="J238" s="592"/>
      <c r="K238" s="592"/>
      <c r="L238" s="592"/>
      <c r="M238" s="592"/>
      <c r="N238" s="592"/>
      <c r="O238" s="592"/>
      <c r="P238" s="592"/>
      <c r="Q238" s="592"/>
      <c r="R238" s="562">
        <f t="shared" si="1"/>
        <v>0</v>
      </c>
      <c r="S238" s="593">
        <f t="shared" si="2"/>
        <v>0</v>
      </c>
      <c r="T238" s="563">
        <f t="shared" si="3"/>
        <v>0</v>
      </c>
      <c r="U238" s="593">
        <f t="shared" si="4"/>
        <v>0</v>
      </c>
      <c r="V238" s="582"/>
      <c r="W238" s="583"/>
      <c r="X238" s="512"/>
      <c r="Y238" s="570"/>
    </row>
    <row r="239" spans="1:25" s="513" customFormat="1" x14ac:dyDescent="0.3">
      <c r="A239" s="521"/>
      <c r="B239" s="562" t="s">
        <v>162</v>
      </c>
      <c r="C239" s="592"/>
      <c r="D239" s="592"/>
      <c r="E239" s="592"/>
      <c r="F239" s="522"/>
      <c r="G239" s="593"/>
      <c r="H239" s="592"/>
      <c r="I239" s="592"/>
      <c r="J239" s="592"/>
      <c r="K239" s="592"/>
      <c r="L239" s="592"/>
      <c r="M239" s="592"/>
      <c r="N239" s="592"/>
      <c r="O239" s="592"/>
      <c r="P239" s="592"/>
      <c r="Q239" s="592"/>
      <c r="R239" s="562">
        <f t="shared" si="1"/>
        <v>1</v>
      </c>
      <c r="S239" s="593">
        <f t="shared" si="2"/>
        <v>1.7173278378842521E-4</v>
      </c>
      <c r="T239" s="563">
        <f t="shared" si="3"/>
        <v>170</v>
      </c>
      <c r="U239" s="593">
        <f t="shared" si="4"/>
        <v>2.2163958535144866E-4</v>
      </c>
      <c r="V239" s="582"/>
      <c r="W239" s="583"/>
      <c r="X239" s="512"/>
    </row>
    <row r="240" spans="1:25" s="513" customFormat="1" x14ac:dyDescent="0.3">
      <c r="A240" s="521"/>
      <c r="B240" s="562" t="s">
        <v>163</v>
      </c>
      <c r="C240" s="592"/>
      <c r="D240" s="592"/>
      <c r="E240" s="592"/>
      <c r="F240" s="522"/>
      <c r="G240" s="593"/>
      <c r="H240" s="592"/>
      <c r="I240" s="592"/>
      <c r="J240" s="592"/>
      <c r="K240" s="592"/>
      <c r="L240" s="592"/>
      <c r="M240" s="592"/>
      <c r="N240" s="592"/>
      <c r="O240" s="592"/>
      <c r="P240" s="592"/>
      <c r="Q240" s="592"/>
      <c r="R240" s="562">
        <f t="shared" si="1"/>
        <v>0</v>
      </c>
      <c r="S240" s="593">
        <f t="shared" si="2"/>
        <v>0</v>
      </c>
      <c r="T240" s="563">
        <f t="shared" si="3"/>
        <v>0</v>
      </c>
      <c r="U240" s="593">
        <f t="shared" si="4"/>
        <v>0</v>
      </c>
      <c r="V240" s="582"/>
      <c r="W240" s="583"/>
      <c r="X240" s="512"/>
      <c r="Y240" s="570"/>
    </row>
    <row r="241" spans="1:25" s="513" customFormat="1" x14ac:dyDescent="0.3">
      <c r="A241" s="521"/>
      <c r="B241" s="562" t="s">
        <v>164</v>
      </c>
      <c r="C241" s="592"/>
      <c r="D241" s="592"/>
      <c r="E241" s="592"/>
      <c r="F241" s="522"/>
      <c r="G241" s="593"/>
      <c r="H241" s="592"/>
      <c r="I241" s="592"/>
      <c r="J241" s="592"/>
      <c r="K241" s="592"/>
      <c r="L241" s="592"/>
      <c r="M241" s="592"/>
      <c r="N241" s="592"/>
      <c r="O241" s="592"/>
      <c r="P241" s="592"/>
      <c r="Q241" s="592"/>
      <c r="R241" s="562">
        <f t="shared" si="1"/>
        <v>1</v>
      </c>
      <c r="S241" s="593">
        <f t="shared" si="2"/>
        <v>1.7173278378842521E-4</v>
      </c>
      <c r="T241" s="563">
        <f t="shared" si="3"/>
        <v>39</v>
      </c>
      <c r="U241" s="593">
        <f t="shared" si="4"/>
        <v>5.0846728404155874E-5</v>
      </c>
      <c r="V241" s="582"/>
      <c r="W241" s="583"/>
      <c r="X241" s="512"/>
    </row>
    <row r="242" spans="1:25" s="513" customFormat="1" x14ac:dyDescent="0.3">
      <c r="A242" s="521"/>
      <c r="B242" s="562" t="s">
        <v>165</v>
      </c>
      <c r="C242" s="592"/>
      <c r="D242" s="592"/>
      <c r="E242" s="592"/>
      <c r="F242" s="522"/>
      <c r="G242" s="593"/>
      <c r="H242" s="592"/>
      <c r="I242" s="592"/>
      <c r="J242" s="592"/>
      <c r="K242" s="592"/>
      <c r="L242" s="592"/>
      <c r="M242" s="592"/>
      <c r="N242" s="592"/>
      <c r="O242" s="592"/>
      <c r="P242" s="592"/>
      <c r="Q242" s="592"/>
      <c r="R242" s="562">
        <f t="shared" si="1"/>
        <v>0</v>
      </c>
      <c r="S242" s="593">
        <f t="shared" si="2"/>
        <v>0</v>
      </c>
      <c r="T242" s="563">
        <f t="shared" si="3"/>
        <v>0</v>
      </c>
      <c r="U242" s="593">
        <f t="shared" si="4"/>
        <v>0</v>
      </c>
      <c r="V242" s="582"/>
      <c r="W242" s="583"/>
      <c r="X242" s="512"/>
      <c r="Y242" s="570"/>
    </row>
    <row r="243" spans="1:25" s="513" customFormat="1" x14ac:dyDescent="0.3">
      <c r="A243" s="521"/>
      <c r="B243" s="562"/>
      <c r="C243" s="592"/>
      <c r="D243" s="592"/>
      <c r="E243" s="592"/>
      <c r="F243" s="522"/>
      <c r="G243" s="593"/>
      <c r="H243" s="592"/>
      <c r="I243" s="592"/>
      <c r="J243" s="592"/>
      <c r="K243" s="592"/>
      <c r="L243" s="592"/>
      <c r="M243" s="592"/>
      <c r="N243" s="592"/>
      <c r="O243" s="592"/>
      <c r="P243" s="592"/>
      <c r="Q243" s="592"/>
      <c r="R243" s="562"/>
      <c r="S243" s="593"/>
      <c r="T243" s="563"/>
      <c r="U243" s="593"/>
      <c r="V243" s="582"/>
      <c r="W243" s="583"/>
      <c r="X243" s="512"/>
    </row>
    <row r="244" spans="1:25" s="513" customFormat="1" x14ac:dyDescent="0.3">
      <c r="A244" s="521"/>
      <c r="B244" s="522" t="s">
        <v>119</v>
      </c>
      <c r="C244" s="522"/>
      <c r="D244" s="522"/>
      <c r="E244" s="522"/>
      <c r="F244" s="522"/>
      <c r="G244" s="522"/>
      <c r="H244" s="594"/>
      <c r="I244" s="594"/>
      <c r="J244" s="594"/>
      <c r="K244" s="594"/>
      <c r="L244" s="594"/>
      <c r="M244" s="594"/>
      <c r="N244" s="594"/>
      <c r="O244" s="594"/>
      <c r="P244" s="594"/>
      <c r="Q244" s="594"/>
      <c r="R244" s="562">
        <f>SUM(R235:R243)</f>
        <v>5823</v>
      </c>
      <c r="S244" s="593">
        <f>SUM(S235:S243)</f>
        <v>1</v>
      </c>
      <c r="T244" s="563">
        <f>SUM(T235:T243)</f>
        <v>767011</v>
      </c>
      <c r="U244" s="593">
        <f>SUM(U235:U243)</f>
        <v>1</v>
      </c>
      <c r="V244" s="522"/>
      <c r="W244" s="524"/>
      <c r="X244" s="512"/>
    </row>
    <row r="245" spans="1:25" x14ac:dyDescent="0.3">
      <c r="A245" s="469"/>
      <c r="B245" s="461"/>
      <c r="C245" s="483"/>
      <c r="D245" s="483"/>
      <c r="E245" s="483"/>
      <c r="F245" s="484"/>
      <c r="G245" s="429"/>
      <c r="H245" s="429"/>
      <c r="I245" s="429"/>
      <c r="J245" s="429"/>
      <c r="K245" s="429"/>
      <c r="L245" s="429"/>
      <c r="M245" s="429"/>
      <c r="N245" s="429"/>
      <c r="O245" s="429"/>
      <c r="P245" s="429"/>
      <c r="Q245" s="429"/>
      <c r="R245" s="429"/>
      <c r="S245" s="429"/>
      <c r="T245" s="485"/>
      <c r="U245" s="429"/>
      <c r="V245" s="462"/>
      <c r="W245" s="486"/>
      <c r="X245" s="405"/>
    </row>
    <row r="246" spans="1:25" x14ac:dyDescent="0.3">
      <c r="A246" s="418"/>
      <c r="B246" s="464" t="s">
        <v>167</v>
      </c>
      <c r="C246" s="465"/>
      <c r="D246" s="465"/>
      <c r="E246" s="465"/>
      <c r="F246" s="466"/>
      <c r="G246" s="465"/>
      <c r="H246" s="465"/>
      <c r="I246" s="465"/>
      <c r="J246" s="465"/>
      <c r="K246" s="465"/>
      <c r="L246" s="465"/>
      <c r="M246" s="465"/>
      <c r="N246" s="465"/>
      <c r="O246" s="465"/>
      <c r="P246" s="465"/>
      <c r="Q246" s="465"/>
      <c r="R246" s="466" t="s">
        <v>104</v>
      </c>
      <c r="S246" s="465" t="s">
        <v>105</v>
      </c>
      <c r="T246" s="466" t="s">
        <v>113</v>
      </c>
      <c r="U246" s="465" t="s">
        <v>105</v>
      </c>
      <c r="V246" s="467"/>
      <c r="W246" s="487"/>
      <c r="X246" s="405"/>
    </row>
    <row r="247" spans="1:25" s="513" customFormat="1" x14ac:dyDescent="0.3">
      <c r="A247" s="509"/>
      <c r="B247" s="567" t="s">
        <v>90</v>
      </c>
      <c r="C247" s="586"/>
      <c r="D247" s="586"/>
      <c r="E247" s="586"/>
      <c r="F247" s="552"/>
      <c r="G247" s="586"/>
      <c r="H247" s="586"/>
      <c r="I247" s="586"/>
      <c r="J247" s="586"/>
      <c r="K247" s="586"/>
      <c r="L247" s="586"/>
      <c r="M247" s="586"/>
      <c r="N247" s="586"/>
      <c r="O247" s="586"/>
      <c r="P247" s="586"/>
      <c r="Q247" s="586"/>
      <c r="R247" s="567">
        <v>5737</v>
      </c>
      <c r="S247" s="595">
        <f t="shared" ref="S247:S254" si="5">R247/$R$256</f>
        <v>0.99965150723122498</v>
      </c>
      <c r="T247" s="596">
        <v>752443</v>
      </c>
      <c r="U247" s="595">
        <f t="shared" ref="U247:U254" si="6">T247/$T$256</f>
        <v>0.99932532130244867</v>
      </c>
      <c r="V247" s="590"/>
      <c r="W247" s="591"/>
      <c r="X247" s="512"/>
    </row>
    <row r="248" spans="1:25" s="513" customFormat="1" x14ac:dyDescent="0.3">
      <c r="A248" s="521"/>
      <c r="B248" s="562" t="s">
        <v>91</v>
      </c>
      <c r="C248" s="592"/>
      <c r="D248" s="592"/>
      <c r="E248" s="592"/>
      <c r="F248" s="522"/>
      <c r="G248" s="593"/>
      <c r="H248" s="592"/>
      <c r="I248" s="592"/>
      <c r="J248" s="592"/>
      <c r="K248" s="592"/>
      <c r="L248" s="592"/>
      <c r="M248" s="592"/>
      <c r="N248" s="592"/>
      <c r="O248" s="592"/>
      <c r="P248" s="592"/>
      <c r="Q248" s="592"/>
      <c r="R248" s="562">
        <v>2</v>
      </c>
      <c r="S248" s="593">
        <f t="shared" si="5"/>
        <v>3.484927687750479E-4</v>
      </c>
      <c r="T248" s="563">
        <v>508</v>
      </c>
      <c r="U248" s="593">
        <f t="shared" si="6"/>
        <v>6.7467869755136786E-4</v>
      </c>
      <c r="V248" s="582"/>
      <c r="W248" s="583"/>
      <c r="X248" s="512"/>
      <c r="Y248" s="570"/>
    </row>
    <row r="249" spans="1:25" s="513" customFormat="1" x14ac:dyDescent="0.3">
      <c r="A249" s="521"/>
      <c r="B249" s="562" t="s">
        <v>92</v>
      </c>
      <c r="C249" s="592"/>
      <c r="D249" s="592"/>
      <c r="E249" s="592"/>
      <c r="F249" s="522"/>
      <c r="G249" s="593"/>
      <c r="H249" s="592"/>
      <c r="I249" s="592"/>
      <c r="J249" s="592"/>
      <c r="K249" s="592"/>
      <c r="L249" s="592"/>
      <c r="M249" s="592"/>
      <c r="N249" s="592"/>
      <c r="O249" s="592"/>
      <c r="P249" s="592"/>
      <c r="Q249" s="592"/>
      <c r="R249" s="562">
        <v>0</v>
      </c>
      <c r="S249" s="593">
        <f t="shared" si="5"/>
        <v>0</v>
      </c>
      <c r="T249" s="563">
        <v>0</v>
      </c>
      <c r="U249" s="593">
        <f t="shared" si="6"/>
        <v>0</v>
      </c>
      <c r="V249" s="582"/>
      <c r="W249" s="583"/>
      <c r="X249" s="512"/>
    </row>
    <row r="250" spans="1:25" s="513" customFormat="1" x14ac:dyDescent="0.3">
      <c r="A250" s="521"/>
      <c r="B250" s="562" t="s">
        <v>161</v>
      </c>
      <c r="C250" s="592"/>
      <c r="D250" s="592"/>
      <c r="E250" s="592"/>
      <c r="F250" s="522"/>
      <c r="G250" s="593"/>
      <c r="H250" s="592"/>
      <c r="I250" s="592"/>
      <c r="J250" s="592"/>
      <c r="K250" s="592"/>
      <c r="L250" s="592"/>
      <c r="M250" s="592"/>
      <c r="N250" s="592"/>
      <c r="O250" s="592"/>
      <c r="P250" s="592"/>
      <c r="Q250" s="592"/>
      <c r="R250" s="562">
        <v>0</v>
      </c>
      <c r="S250" s="593">
        <f t="shared" si="5"/>
        <v>0</v>
      </c>
      <c r="T250" s="563">
        <v>0</v>
      </c>
      <c r="U250" s="593">
        <f t="shared" si="6"/>
        <v>0</v>
      </c>
      <c r="V250" s="582"/>
      <c r="W250" s="583"/>
      <c r="X250" s="512"/>
      <c r="Y250" s="570"/>
    </row>
    <row r="251" spans="1:25" s="513" customFormat="1" x14ac:dyDescent="0.3">
      <c r="A251" s="521"/>
      <c r="B251" s="562" t="s">
        <v>162</v>
      </c>
      <c r="C251" s="592"/>
      <c r="D251" s="592"/>
      <c r="E251" s="592"/>
      <c r="F251" s="522"/>
      <c r="G251" s="593"/>
      <c r="H251" s="592"/>
      <c r="I251" s="592"/>
      <c r="J251" s="592"/>
      <c r="K251" s="592"/>
      <c r="L251" s="592"/>
      <c r="M251" s="592"/>
      <c r="N251" s="592"/>
      <c r="O251" s="592"/>
      <c r="P251" s="592"/>
      <c r="Q251" s="592"/>
      <c r="R251" s="562">
        <v>0</v>
      </c>
      <c r="S251" s="593">
        <f t="shared" si="5"/>
        <v>0</v>
      </c>
      <c r="T251" s="563">
        <v>0</v>
      </c>
      <c r="U251" s="593">
        <f t="shared" si="6"/>
        <v>0</v>
      </c>
      <c r="V251" s="582"/>
      <c r="W251" s="583"/>
      <c r="X251" s="512"/>
    </row>
    <row r="252" spans="1:25" s="513" customFormat="1" x14ac:dyDescent="0.3">
      <c r="A252" s="521"/>
      <c r="B252" s="562" t="s">
        <v>163</v>
      </c>
      <c r="C252" s="592"/>
      <c r="D252" s="592"/>
      <c r="E252" s="592"/>
      <c r="F252" s="522"/>
      <c r="G252" s="593"/>
      <c r="H252" s="592"/>
      <c r="I252" s="592"/>
      <c r="J252" s="592"/>
      <c r="K252" s="592"/>
      <c r="L252" s="592"/>
      <c r="M252" s="592"/>
      <c r="N252" s="592"/>
      <c r="O252" s="592"/>
      <c r="P252" s="592"/>
      <c r="Q252" s="592"/>
      <c r="R252" s="562">
        <v>0</v>
      </c>
      <c r="S252" s="593">
        <f t="shared" si="5"/>
        <v>0</v>
      </c>
      <c r="T252" s="563">
        <v>0</v>
      </c>
      <c r="U252" s="593">
        <f t="shared" si="6"/>
        <v>0</v>
      </c>
      <c r="V252" s="582"/>
      <c r="W252" s="583"/>
      <c r="X252" s="512"/>
      <c r="Y252" s="570"/>
    </row>
    <row r="253" spans="1:25" s="513" customFormat="1" x14ac:dyDescent="0.3">
      <c r="A253" s="521"/>
      <c r="B253" s="562" t="s">
        <v>164</v>
      </c>
      <c r="C253" s="592"/>
      <c r="D253" s="592"/>
      <c r="E253" s="592"/>
      <c r="F253" s="522"/>
      <c r="G253" s="593"/>
      <c r="H253" s="592"/>
      <c r="I253" s="592"/>
      <c r="J253" s="592"/>
      <c r="K253" s="592"/>
      <c r="L253" s="592"/>
      <c r="M253" s="592"/>
      <c r="N253" s="592"/>
      <c r="O253" s="592"/>
      <c r="P253" s="592"/>
      <c r="Q253" s="592"/>
      <c r="R253" s="562">
        <v>0</v>
      </c>
      <c r="S253" s="593">
        <f t="shared" si="5"/>
        <v>0</v>
      </c>
      <c r="T253" s="563">
        <v>0</v>
      </c>
      <c r="U253" s="593">
        <f t="shared" si="6"/>
        <v>0</v>
      </c>
      <c r="V253" s="582"/>
      <c r="W253" s="583"/>
      <c r="X253" s="512"/>
    </row>
    <row r="254" spans="1:25" s="513" customFormat="1" x14ac:dyDescent="0.3">
      <c r="A254" s="521"/>
      <c r="B254" s="562" t="s">
        <v>165</v>
      </c>
      <c r="C254" s="592"/>
      <c r="D254" s="592"/>
      <c r="E254" s="592"/>
      <c r="F254" s="522"/>
      <c r="G254" s="593"/>
      <c r="H254" s="592"/>
      <c r="I254" s="592"/>
      <c r="J254" s="592"/>
      <c r="K254" s="592"/>
      <c r="L254" s="592"/>
      <c r="M254" s="592"/>
      <c r="N254" s="592"/>
      <c r="O254" s="592"/>
      <c r="P254" s="592"/>
      <c r="Q254" s="592"/>
      <c r="R254" s="562">
        <v>0</v>
      </c>
      <c r="S254" s="593">
        <f t="shared" si="5"/>
        <v>0</v>
      </c>
      <c r="T254" s="563">
        <v>0</v>
      </c>
      <c r="U254" s="593">
        <f t="shared" si="6"/>
        <v>0</v>
      </c>
      <c r="V254" s="582"/>
      <c r="W254" s="583"/>
      <c r="X254" s="512"/>
      <c r="Y254" s="570"/>
    </row>
    <row r="255" spans="1:25" s="513" customFormat="1" x14ac:dyDescent="0.3">
      <c r="A255" s="521"/>
      <c r="B255" s="562"/>
      <c r="C255" s="592"/>
      <c r="D255" s="592"/>
      <c r="E255" s="592"/>
      <c r="F255" s="522"/>
      <c r="G255" s="593"/>
      <c r="H255" s="592"/>
      <c r="I255" s="592"/>
      <c r="J255" s="592"/>
      <c r="K255" s="592"/>
      <c r="L255" s="592"/>
      <c r="M255" s="592"/>
      <c r="N255" s="592"/>
      <c r="O255" s="592"/>
      <c r="P255" s="592"/>
      <c r="Q255" s="592"/>
      <c r="R255" s="562"/>
      <c r="S255" s="593"/>
      <c r="T255" s="563"/>
      <c r="U255" s="593"/>
      <c r="V255" s="582"/>
      <c r="W255" s="583"/>
      <c r="X255" s="512"/>
    </row>
    <row r="256" spans="1:25" s="513" customFormat="1" x14ac:dyDescent="0.3">
      <c r="A256" s="521"/>
      <c r="B256" s="522" t="s">
        <v>119</v>
      </c>
      <c r="C256" s="522"/>
      <c r="D256" s="522"/>
      <c r="E256" s="522"/>
      <c r="F256" s="522"/>
      <c r="G256" s="522"/>
      <c r="H256" s="594"/>
      <c r="I256" s="594"/>
      <c r="J256" s="594"/>
      <c r="K256" s="594"/>
      <c r="L256" s="594"/>
      <c r="M256" s="594"/>
      <c r="N256" s="594"/>
      <c r="O256" s="594"/>
      <c r="P256" s="594"/>
      <c r="Q256" s="594"/>
      <c r="R256" s="562">
        <f>SUM(R247:R255)</f>
        <v>5739</v>
      </c>
      <c r="S256" s="593">
        <f>SUM(S247:S255)</f>
        <v>1</v>
      </c>
      <c r="T256" s="563">
        <f>SUM(T247:T255)</f>
        <v>752951</v>
      </c>
      <c r="U256" s="593">
        <f>SUM(U247:U255)</f>
        <v>1</v>
      </c>
      <c r="V256" s="522"/>
      <c r="W256" s="524"/>
      <c r="X256" s="512"/>
    </row>
    <row r="257" spans="1:24" x14ac:dyDescent="0.3">
      <c r="A257" s="407"/>
      <c r="B257" s="429"/>
      <c r="C257" s="429"/>
      <c r="D257" s="429"/>
      <c r="E257" s="429"/>
      <c r="F257" s="429"/>
      <c r="G257" s="429"/>
      <c r="H257" s="488"/>
      <c r="I257" s="488"/>
      <c r="J257" s="488"/>
      <c r="K257" s="488"/>
      <c r="L257" s="488"/>
      <c r="M257" s="488"/>
      <c r="N257" s="488"/>
      <c r="O257" s="488"/>
      <c r="P257" s="488"/>
      <c r="Q257" s="488"/>
      <c r="R257" s="435"/>
      <c r="S257" s="489"/>
      <c r="T257" s="490"/>
      <c r="U257" s="489"/>
      <c r="V257" s="429"/>
      <c r="W257" s="429"/>
      <c r="X257" s="405"/>
    </row>
    <row r="258" spans="1:24" x14ac:dyDescent="0.3">
      <c r="A258" s="418"/>
      <c r="B258" s="464" t="s">
        <v>283</v>
      </c>
      <c r="C258" s="465"/>
      <c r="D258" s="465"/>
      <c r="E258" s="465"/>
      <c r="F258" s="466"/>
      <c r="G258" s="465"/>
      <c r="H258" s="465"/>
      <c r="I258" s="465"/>
      <c r="J258" s="465"/>
      <c r="K258" s="465"/>
      <c r="L258" s="465"/>
      <c r="M258" s="465"/>
      <c r="N258" s="465"/>
      <c r="O258" s="465"/>
      <c r="P258" s="465"/>
      <c r="Q258" s="465"/>
      <c r="R258" s="466" t="s">
        <v>104</v>
      </c>
      <c r="S258" s="465" t="s">
        <v>105</v>
      </c>
      <c r="T258" s="466" t="s">
        <v>113</v>
      </c>
      <c r="U258" s="465" t="s">
        <v>105</v>
      </c>
      <c r="V258" s="467"/>
      <c r="W258" s="468"/>
      <c r="X258" s="405"/>
    </row>
    <row r="259" spans="1:24" s="513" customFormat="1" x14ac:dyDescent="0.3">
      <c r="A259" s="509"/>
      <c r="B259" s="567" t="s">
        <v>90</v>
      </c>
      <c r="C259" s="586"/>
      <c r="D259" s="586"/>
      <c r="E259" s="586"/>
      <c r="F259" s="552"/>
      <c r="G259" s="586"/>
      <c r="H259" s="586"/>
      <c r="I259" s="586"/>
      <c r="J259" s="586"/>
      <c r="K259" s="586"/>
      <c r="L259" s="586"/>
      <c r="M259" s="586"/>
      <c r="N259" s="586"/>
      <c r="O259" s="586"/>
      <c r="P259" s="586"/>
      <c r="Q259" s="586"/>
      <c r="R259" s="567">
        <v>81</v>
      </c>
      <c r="S259" s="595">
        <f t="shared" ref="S259:S266" si="7">R259/$R$268</f>
        <v>0.9642857142857143</v>
      </c>
      <c r="T259" s="596">
        <v>13750</v>
      </c>
      <c r="U259" s="595">
        <f t="shared" ref="U259:U266" si="8">T259/$T$268</f>
        <v>0.97795163584637268</v>
      </c>
      <c r="V259" s="552"/>
      <c r="W259" s="552"/>
      <c r="X259" s="512"/>
    </row>
    <row r="260" spans="1:24" s="513" customFormat="1" x14ac:dyDescent="0.3">
      <c r="A260" s="521"/>
      <c r="B260" s="562" t="s">
        <v>91</v>
      </c>
      <c r="C260" s="592"/>
      <c r="D260" s="592"/>
      <c r="E260" s="592"/>
      <c r="F260" s="522"/>
      <c r="G260" s="593"/>
      <c r="H260" s="592"/>
      <c r="I260" s="592"/>
      <c r="J260" s="592"/>
      <c r="K260" s="592"/>
      <c r="L260" s="592"/>
      <c r="M260" s="592"/>
      <c r="N260" s="592"/>
      <c r="O260" s="592"/>
      <c r="P260" s="592"/>
      <c r="Q260" s="592"/>
      <c r="R260" s="562">
        <v>0</v>
      </c>
      <c r="S260" s="593">
        <f t="shared" si="7"/>
        <v>0</v>
      </c>
      <c r="T260" s="563">
        <v>0</v>
      </c>
      <c r="U260" s="593">
        <f t="shared" si="8"/>
        <v>0</v>
      </c>
      <c r="V260" s="522"/>
      <c r="W260" s="524"/>
      <c r="X260" s="512"/>
    </row>
    <row r="261" spans="1:24" s="513" customFormat="1" x14ac:dyDescent="0.3">
      <c r="A261" s="521"/>
      <c r="B261" s="562" t="s">
        <v>92</v>
      </c>
      <c r="C261" s="592"/>
      <c r="D261" s="592"/>
      <c r="E261" s="592"/>
      <c r="F261" s="522"/>
      <c r="G261" s="593"/>
      <c r="H261" s="592"/>
      <c r="I261" s="592"/>
      <c r="J261" s="592"/>
      <c r="K261" s="592"/>
      <c r="L261" s="592"/>
      <c r="M261" s="592"/>
      <c r="N261" s="592"/>
      <c r="O261" s="592"/>
      <c r="P261" s="592"/>
      <c r="Q261" s="592"/>
      <c r="R261" s="562">
        <v>1</v>
      </c>
      <c r="S261" s="593">
        <f t="shared" si="7"/>
        <v>1.1904761904761904E-2</v>
      </c>
      <c r="T261" s="563">
        <v>101</v>
      </c>
      <c r="U261" s="593">
        <f t="shared" si="8"/>
        <v>7.1834992887624466E-3</v>
      </c>
      <c r="V261" s="522"/>
      <c r="W261" s="524"/>
      <c r="X261" s="512"/>
    </row>
    <row r="262" spans="1:24" s="513" customFormat="1" x14ac:dyDescent="0.3">
      <c r="A262" s="521"/>
      <c r="B262" s="562" t="s">
        <v>161</v>
      </c>
      <c r="C262" s="592"/>
      <c r="D262" s="592"/>
      <c r="E262" s="592"/>
      <c r="F262" s="522"/>
      <c r="G262" s="593"/>
      <c r="H262" s="592"/>
      <c r="I262" s="592"/>
      <c r="J262" s="592"/>
      <c r="K262" s="592"/>
      <c r="L262" s="592"/>
      <c r="M262" s="592"/>
      <c r="N262" s="592"/>
      <c r="O262" s="592"/>
      <c r="P262" s="592"/>
      <c r="Q262" s="592"/>
      <c r="R262" s="562">
        <v>0</v>
      </c>
      <c r="S262" s="593">
        <f t="shared" si="7"/>
        <v>0</v>
      </c>
      <c r="T262" s="563">
        <v>0</v>
      </c>
      <c r="U262" s="593">
        <f t="shared" si="8"/>
        <v>0</v>
      </c>
      <c r="V262" s="522"/>
      <c r="W262" s="524"/>
      <c r="X262" s="512"/>
    </row>
    <row r="263" spans="1:24" s="513" customFormat="1" x14ac:dyDescent="0.3">
      <c r="A263" s="521"/>
      <c r="B263" s="562" t="s">
        <v>162</v>
      </c>
      <c r="C263" s="592"/>
      <c r="D263" s="592"/>
      <c r="E263" s="592"/>
      <c r="F263" s="522"/>
      <c r="G263" s="593"/>
      <c r="H263" s="592"/>
      <c r="I263" s="592"/>
      <c r="J263" s="592"/>
      <c r="K263" s="592"/>
      <c r="L263" s="592"/>
      <c r="M263" s="592"/>
      <c r="N263" s="592"/>
      <c r="O263" s="592"/>
      <c r="P263" s="592"/>
      <c r="Q263" s="592"/>
      <c r="R263" s="562">
        <v>1</v>
      </c>
      <c r="S263" s="593">
        <f t="shared" si="7"/>
        <v>1.1904761904761904E-2</v>
      </c>
      <c r="T263" s="563">
        <v>170</v>
      </c>
      <c r="U263" s="593">
        <f t="shared" si="8"/>
        <v>1.2091038406827881E-2</v>
      </c>
      <c r="V263" s="522"/>
      <c r="W263" s="524"/>
      <c r="X263" s="512"/>
    </row>
    <row r="264" spans="1:24" s="513" customFormat="1" x14ac:dyDescent="0.3">
      <c r="A264" s="521"/>
      <c r="B264" s="562" t="s">
        <v>163</v>
      </c>
      <c r="C264" s="592"/>
      <c r="D264" s="592"/>
      <c r="E264" s="592"/>
      <c r="F264" s="522"/>
      <c r="G264" s="593"/>
      <c r="H264" s="592"/>
      <c r="I264" s="592"/>
      <c r="J264" s="592"/>
      <c r="K264" s="592"/>
      <c r="L264" s="592"/>
      <c r="M264" s="592"/>
      <c r="N264" s="592"/>
      <c r="O264" s="592"/>
      <c r="P264" s="592"/>
      <c r="Q264" s="592"/>
      <c r="R264" s="562">
        <v>0</v>
      </c>
      <c r="S264" s="593">
        <f t="shared" si="7"/>
        <v>0</v>
      </c>
      <c r="T264" s="563">
        <v>0</v>
      </c>
      <c r="U264" s="593">
        <f t="shared" si="8"/>
        <v>0</v>
      </c>
      <c r="V264" s="522"/>
      <c r="W264" s="524"/>
      <c r="X264" s="512"/>
    </row>
    <row r="265" spans="1:24" s="513" customFormat="1" x14ac:dyDescent="0.3">
      <c r="A265" s="521"/>
      <c r="B265" s="562" t="s">
        <v>164</v>
      </c>
      <c r="C265" s="592"/>
      <c r="D265" s="592"/>
      <c r="E265" s="592"/>
      <c r="F265" s="522"/>
      <c r="G265" s="593"/>
      <c r="H265" s="592"/>
      <c r="I265" s="592"/>
      <c r="J265" s="592"/>
      <c r="K265" s="592"/>
      <c r="L265" s="592"/>
      <c r="M265" s="592"/>
      <c r="N265" s="592"/>
      <c r="O265" s="592"/>
      <c r="P265" s="592"/>
      <c r="Q265" s="592"/>
      <c r="R265" s="562">
        <v>1</v>
      </c>
      <c r="S265" s="593">
        <f t="shared" si="7"/>
        <v>1.1904761904761904E-2</v>
      </c>
      <c r="T265" s="563">
        <v>39</v>
      </c>
      <c r="U265" s="593">
        <f t="shared" si="8"/>
        <v>2.7738264580369843E-3</v>
      </c>
      <c r="V265" s="522"/>
      <c r="W265" s="524"/>
      <c r="X265" s="512"/>
    </row>
    <row r="266" spans="1:24" s="513" customFormat="1" x14ac:dyDescent="0.3">
      <c r="A266" s="521"/>
      <c r="B266" s="562" t="s">
        <v>165</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4" s="513" customFormat="1" x14ac:dyDescent="0.3">
      <c r="A267" s="521"/>
      <c r="B267" s="562"/>
      <c r="C267" s="592"/>
      <c r="D267" s="592"/>
      <c r="E267" s="592"/>
      <c r="F267" s="522"/>
      <c r="G267" s="593"/>
      <c r="H267" s="592"/>
      <c r="I267" s="592"/>
      <c r="J267" s="592"/>
      <c r="K267" s="592"/>
      <c r="L267" s="592"/>
      <c r="M267" s="592"/>
      <c r="N267" s="592"/>
      <c r="O267" s="592"/>
      <c r="P267" s="592"/>
      <c r="Q267" s="592"/>
      <c r="R267" s="562"/>
      <c r="S267" s="593"/>
      <c r="T267" s="563"/>
      <c r="U267" s="593"/>
      <c r="V267" s="522"/>
      <c r="W267" s="524"/>
      <c r="X267" s="512"/>
    </row>
    <row r="268" spans="1:24" s="513" customFormat="1" x14ac:dyDescent="0.3">
      <c r="A268" s="521"/>
      <c r="B268" s="522" t="s">
        <v>119</v>
      </c>
      <c r="C268" s="522"/>
      <c r="D268" s="522"/>
      <c r="E268" s="522"/>
      <c r="F268" s="522"/>
      <c r="G268" s="522"/>
      <c r="H268" s="594"/>
      <c r="I268" s="594"/>
      <c r="J268" s="594"/>
      <c r="K268" s="594"/>
      <c r="L268" s="594"/>
      <c r="M268" s="594"/>
      <c r="N268" s="594"/>
      <c r="O268" s="594"/>
      <c r="P268" s="594"/>
      <c r="Q268" s="594"/>
      <c r="R268" s="562">
        <f>SUM(R259:R267)</f>
        <v>84</v>
      </c>
      <c r="S268" s="593">
        <f>SUM(S259:S267)</f>
        <v>0.99999999999999989</v>
      </c>
      <c r="T268" s="563">
        <f>SUM(T259:T267)</f>
        <v>14060</v>
      </c>
      <c r="U268" s="593">
        <f>SUM(U259:U267)</f>
        <v>1</v>
      </c>
      <c r="V268" s="522"/>
      <c r="W268" s="524"/>
      <c r="X268" s="512"/>
    </row>
    <row r="269" spans="1:24" x14ac:dyDescent="0.3">
      <c r="A269" s="407"/>
      <c r="B269" s="429"/>
      <c r="C269" s="429"/>
      <c r="D269" s="429"/>
      <c r="E269" s="429"/>
      <c r="F269" s="429"/>
      <c r="G269" s="429"/>
      <c r="H269" s="488"/>
      <c r="I269" s="488"/>
      <c r="J269" s="488"/>
      <c r="K269" s="488"/>
      <c r="L269" s="488"/>
      <c r="M269" s="488"/>
      <c r="N269" s="488"/>
      <c r="O269" s="488"/>
      <c r="P269" s="488"/>
      <c r="Q269" s="488"/>
      <c r="R269" s="435"/>
      <c r="S269" s="489"/>
      <c r="T269" s="490"/>
      <c r="U269" s="489"/>
      <c r="V269" s="429"/>
      <c r="W269" s="429"/>
      <c r="X269" s="405"/>
    </row>
    <row r="270" spans="1:24" x14ac:dyDescent="0.3">
      <c r="A270" s="418"/>
      <c r="B270" s="464" t="s">
        <v>169</v>
      </c>
      <c r="C270" s="467"/>
      <c r="D270" s="467"/>
      <c r="E270" s="467"/>
      <c r="F270" s="467"/>
      <c r="G270" s="467"/>
      <c r="H270" s="491"/>
      <c r="I270" s="491"/>
      <c r="J270" s="491"/>
      <c r="K270" s="491"/>
      <c r="L270" s="491"/>
      <c r="M270" s="491"/>
      <c r="N270" s="491"/>
      <c r="O270" s="491"/>
      <c r="P270" s="491"/>
      <c r="Q270" s="491"/>
      <c r="R270" s="466" t="s">
        <v>104</v>
      </c>
      <c r="S270" s="465" t="s">
        <v>105</v>
      </c>
      <c r="T270" s="466" t="s">
        <v>113</v>
      </c>
      <c r="U270" s="465" t="s">
        <v>105</v>
      </c>
      <c r="V270" s="467"/>
      <c r="W270" s="468"/>
      <c r="X270" s="405"/>
    </row>
    <row r="271" spans="1:24" s="513" customFormat="1" x14ac:dyDescent="0.3">
      <c r="A271" s="509"/>
      <c r="B271" s="567" t="s">
        <v>90</v>
      </c>
      <c r="C271" s="552"/>
      <c r="D271" s="552"/>
      <c r="E271" s="552"/>
      <c r="F271" s="552"/>
      <c r="G271" s="552"/>
      <c r="H271" s="597"/>
      <c r="I271" s="597"/>
      <c r="J271" s="597"/>
      <c r="K271" s="597"/>
      <c r="L271" s="597"/>
      <c r="M271" s="597"/>
      <c r="N271" s="597"/>
      <c r="O271" s="597"/>
      <c r="P271" s="597"/>
      <c r="Q271" s="597"/>
      <c r="R271" s="567">
        <v>0</v>
      </c>
      <c r="S271" s="595">
        <v>0</v>
      </c>
      <c r="T271" s="596">
        <v>0</v>
      </c>
      <c r="U271" s="595">
        <v>0</v>
      </c>
      <c r="V271" s="552"/>
      <c r="W271" s="552"/>
      <c r="X271" s="512"/>
    </row>
    <row r="272" spans="1:24" s="513" customFormat="1" x14ac:dyDescent="0.3">
      <c r="A272" s="521"/>
      <c r="B272" s="562" t="s">
        <v>91</v>
      </c>
      <c r="C272" s="522"/>
      <c r="D272" s="522"/>
      <c r="E272" s="522"/>
      <c r="F272" s="522"/>
      <c r="G272" s="522"/>
      <c r="H272" s="594"/>
      <c r="I272" s="594"/>
      <c r="J272" s="594"/>
      <c r="K272" s="594"/>
      <c r="L272" s="594"/>
      <c r="M272" s="594"/>
      <c r="N272" s="594"/>
      <c r="O272" s="594"/>
      <c r="P272" s="594"/>
      <c r="Q272" s="594"/>
      <c r="R272" s="562">
        <v>0</v>
      </c>
      <c r="S272" s="593">
        <v>0</v>
      </c>
      <c r="T272" s="563">
        <v>0</v>
      </c>
      <c r="U272" s="593">
        <v>0</v>
      </c>
      <c r="V272" s="522"/>
      <c r="W272" s="524"/>
      <c r="X272" s="512"/>
    </row>
    <row r="273" spans="1:24" s="513" customFormat="1" x14ac:dyDescent="0.3">
      <c r="A273" s="521"/>
      <c r="B273" s="562" t="s">
        <v>92</v>
      </c>
      <c r="C273" s="522"/>
      <c r="D273" s="522"/>
      <c r="E273" s="522"/>
      <c r="F273" s="522"/>
      <c r="G273" s="522"/>
      <c r="H273" s="594"/>
      <c r="I273" s="594"/>
      <c r="J273" s="594"/>
      <c r="K273" s="594"/>
      <c r="L273" s="594"/>
      <c r="M273" s="594"/>
      <c r="N273" s="594"/>
      <c r="O273" s="594"/>
      <c r="P273" s="594"/>
      <c r="Q273" s="594"/>
      <c r="R273" s="562">
        <v>0</v>
      </c>
      <c r="S273" s="593">
        <v>0</v>
      </c>
      <c r="T273" s="563">
        <v>0</v>
      </c>
      <c r="U273" s="593">
        <v>0</v>
      </c>
      <c r="V273" s="522"/>
      <c r="W273" s="524"/>
      <c r="X273" s="512"/>
    </row>
    <row r="274" spans="1:24" s="513" customFormat="1" x14ac:dyDescent="0.3">
      <c r="A274" s="521"/>
      <c r="B274" s="562" t="s">
        <v>161</v>
      </c>
      <c r="C274" s="522"/>
      <c r="D274" s="522"/>
      <c r="E274" s="522"/>
      <c r="F274" s="522"/>
      <c r="G274" s="522"/>
      <c r="H274" s="594"/>
      <c r="I274" s="594"/>
      <c r="J274" s="594"/>
      <c r="K274" s="594"/>
      <c r="L274" s="594"/>
      <c r="M274" s="594"/>
      <c r="N274" s="594"/>
      <c r="O274" s="594"/>
      <c r="P274" s="594"/>
      <c r="Q274" s="594"/>
      <c r="R274" s="562">
        <v>0</v>
      </c>
      <c r="S274" s="593">
        <v>0</v>
      </c>
      <c r="T274" s="563">
        <v>0</v>
      </c>
      <c r="U274" s="593">
        <v>0</v>
      </c>
      <c r="V274" s="522"/>
      <c r="W274" s="524"/>
      <c r="X274" s="512"/>
    </row>
    <row r="275" spans="1:24" s="513" customFormat="1" x14ac:dyDescent="0.3">
      <c r="A275" s="521"/>
      <c r="B275" s="562" t="s">
        <v>162</v>
      </c>
      <c r="C275" s="522"/>
      <c r="D275" s="522"/>
      <c r="E275" s="522"/>
      <c r="F275" s="522"/>
      <c r="G275" s="522"/>
      <c r="H275" s="594"/>
      <c r="I275" s="594"/>
      <c r="J275" s="594"/>
      <c r="K275" s="594"/>
      <c r="L275" s="594"/>
      <c r="M275" s="594"/>
      <c r="N275" s="594"/>
      <c r="O275" s="594"/>
      <c r="P275" s="594"/>
      <c r="Q275" s="594"/>
      <c r="R275" s="562">
        <v>0</v>
      </c>
      <c r="S275" s="593">
        <v>0</v>
      </c>
      <c r="T275" s="563">
        <v>0</v>
      </c>
      <c r="U275" s="593">
        <v>0</v>
      </c>
      <c r="V275" s="522"/>
      <c r="W275" s="524"/>
      <c r="X275" s="512"/>
    </row>
    <row r="276" spans="1:24" s="513" customFormat="1" x14ac:dyDescent="0.3">
      <c r="A276" s="521"/>
      <c r="B276" s="562" t="s">
        <v>163</v>
      </c>
      <c r="C276" s="522"/>
      <c r="D276" s="522"/>
      <c r="E276" s="522"/>
      <c r="F276" s="522"/>
      <c r="G276" s="522"/>
      <c r="H276" s="594"/>
      <c r="I276" s="594"/>
      <c r="J276" s="594"/>
      <c r="K276" s="594"/>
      <c r="L276" s="594"/>
      <c r="M276" s="594"/>
      <c r="N276" s="594"/>
      <c r="O276" s="594"/>
      <c r="P276" s="594"/>
      <c r="Q276" s="594"/>
      <c r="R276" s="562">
        <v>0</v>
      </c>
      <c r="S276" s="593">
        <v>0</v>
      </c>
      <c r="T276" s="563">
        <v>0</v>
      </c>
      <c r="U276" s="593">
        <v>0</v>
      </c>
      <c r="V276" s="522"/>
      <c r="W276" s="524"/>
      <c r="X276" s="512"/>
    </row>
    <row r="277" spans="1:24" s="513" customFormat="1" x14ac:dyDescent="0.3">
      <c r="A277" s="521"/>
      <c r="B277" s="562" t="s">
        <v>164</v>
      </c>
      <c r="C277" s="522"/>
      <c r="D277" s="522"/>
      <c r="E277" s="522"/>
      <c r="F277" s="522"/>
      <c r="G277" s="522"/>
      <c r="H277" s="594"/>
      <c r="I277" s="594"/>
      <c r="J277" s="594"/>
      <c r="K277" s="594"/>
      <c r="L277" s="594"/>
      <c r="M277" s="594"/>
      <c r="N277" s="594"/>
      <c r="O277" s="594"/>
      <c r="P277" s="594"/>
      <c r="Q277" s="594"/>
      <c r="R277" s="562">
        <v>0</v>
      </c>
      <c r="S277" s="593">
        <v>0</v>
      </c>
      <c r="T277" s="563">
        <v>0</v>
      </c>
      <c r="U277" s="593">
        <v>0</v>
      </c>
      <c r="V277" s="522"/>
      <c r="W277" s="524"/>
      <c r="X277" s="512"/>
    </row>
    <row r="278" spans="1:24" s="513" customFormat="1" x14ac:dyDescent="0.3">
      <c r="A278" s="521"/>
      <c r="B278" s="562" t="s">
        <v>165</v>
      </c>
      <c r="C278" s="522"/>
      <c r="D278" s="522"/>
      <c r="E278" s="522"/>
      <c r="F278" s="522"/>
      <c r="G278" s="522"/>
      <c r="H278" s="594"/>
      <c r="I278" s="594"/>
      <c r="J278" s="594"/>
      <c r="K278" s="594"/>
      <c r="L278" s="594"/>
      <c r="M278" s="594"/>
      <c r="N278" s="594"/>
      <c r="O278" s="594"/>
      <c r="P278" s="594"/>
      <c r="Q278" s="594"/>
      <c r="R278" s="562">
        <v>0</v>
      </c>
      <c r="S278" s="593">
        <v>0</v>
      </c>
      <c r="T278" s="563">
        <v>0</v>
      </c>
      <c r="U278" s="593">
        <v>0</v>
      </c>
      <c r="V278" s="522"/>
      <c r="W278" s="524"/>
      <c r="X278" s="512"/>
    </row>
    <row r="279" spans="1:24" s="513" customFormat="1" x14ac:dyDescent="0.3">
      <c r="A279" s="521"/>
      <c r="B279" s="562"/>
      <c r="C279" s="522"/>
      <c r="D279" s="522"/>
      <c r="E279" s="522"/>
      <c r="F279" s="522"/>
      <c r="G279" s="522"/>
      <c r="H279" s="594"/>
      <c r="I279" s="594"/>
      <c r="J279" s="594"/>
      <c r="K279" s="594"/>
      <c r="L279" s="594"/>
      <c r="M279" s="594"/>
      <c r="N279" s="594"/>
      <c r="O279" s="594"/>
      <c r="P279" s="594"/>
      <c r="Q279" s="594"/>
      <c r="R279" s="562"/>
      <c r="S279" s="593"/>
      <c r="T279" s="563"/>
      <c r="U279" s="593"/>
      <c r="V279" s="522"/>
      <c r="W279" s="524"/>
      <c r="X279" s="512"/>
    </row>
    <row r="280" spans="1:24" s="513" customFormat="1" x14ac:dyDescent="0.3">
      <c r="A280" s="521"/>
      <c r="B280" s="522" t="s">
        <v>119</v>
      </c>
      <c r="C280" s="522"/>
      <c r="D280" s="522"/>
      <c r="E280" s="522"/>
      <c r="F280" s="522"/>
      <c r="G280" s="522"/>
      <c r="H280" s="594"/>
      <c r="I280" s="594"/>
      <c r="J280" s="594"/>
      <c r="K280" s="594"/>
      <c r="L280" s="594"/>
      <c r="M280" s="594"/>
      <c r="N280" s="594"/>
      <c r="O280" s="594"/>
      <c r="P280" s="594"/>
      <c r="Q280" s="594"/>
      <c r="R280" s="562">
        <f>SUM(R271:R278)</f>
        <v>0</v>
      </c>
      <c r="S280" s="593">
        <f>SUM(S271:S279)</f>
        <v>0</v>
      </c>
      <c r="T280" s="563">
        <f>SUM(T271:T278)</f>
        <v>0</v>
      </c>
      <c r="U280" s="593">
        <f>SUM(U271:U279)</f>
        <v>0</v>
      </c>
      <c r="V280" s="522"/>
      <c r="W280" s="524"/>
      <c r="X280" s="512"/>
    </row>
    <row r="281" spans="1:24" s="513" customFormat="1" x14ac:dyDescent="0.3">
      <c r="A281" s="521"/>
      <c r="B281" s="522"/>
      <c r="C281" s="522"/>
      <c r="D281" s="522"/>
      <c r="E281" s="522"/>
      <c r="F281" s="522"/>
      <c r="G281" s="522"/>
      <c r="H281" s="594"/>
      <c r="I281" s="594"/>
      <c r="J281" s="594"/>
      <c r="K281" s="594"/>
      <c r="L281" s="594"/>
      <c r="M281" s="594"/>
      <c r="N281" s="594"/>
      <c r="O281" s="594"/>
      <c r="P281" s="594"/>
      <c r="Q281" s="594"/>
      <c r="R281" s="562"/>
      <c r="S281" s="593"/>
      <c r="T281" s="563"/>
      <c r="U281" s="593"/>
      <c r="V281" s="522"/>
      <c r="W281" s="524"/>
      <c r="X281" s="512"/>
    </row>
    <row r="282" spans="1:24" s="513" customFormat="1" x14ac:dyDescent="0.3">
      <c r="A282" s="521"/>
      <c r="B282" s="527" t="s">
        <v>170</v>
      </c>
      <c r="C282" s="522"/>
      <c r="D282" s="522"/>
      <c r="E282" s="522"/>
      <c r="F282" s="522"/>
      <c r="G282" s="522"/>
      <c r="H282" s="594"/>
      <c r="I282" s="594"/>
      <c r="J282" s="594"/>
      <c r="K282" s="594"/>
      <c r="L282" s="594"/>
      <c r="M282" s="594"/>
      <c r="N282" s="594"/>
      <c r="O282" s="594"/>
      <c r="P282" s="594"/>
      <c r="Q282" s="594"/>
      <c r="R282" s="598">
        <f>R280+R268+R256</f>
        <v>5823</v>
      </c>
      <c r="S282" s="593"/>
      <c r="T282" s="599">
        <f>+T280+T268+T256</f>
        <v>767011</v>
      </c>
      <c r="U282" s="593"/>
      <c r="V282" s="522"/>
      <c r="W282" s="524"/>
      <c r="X282" s="512"/>
    </row>
    <row r="283" spans="1:24" s="513" customFormat="1" x14ac:dyDescent="0.3">
      <c r="A283" s="509"/>
      <c r="B283" s="552"/>
      <c r="C283" s="552"/>
      <c r="D283" s="552"/>
      <c r="E283" s="552"/>
      <c r="F283" s="552"/>
      <c r="G283" s="552"/>
      <c r="H283" s="597"/>
      <c r="I283" s="597"/>
      <c r="J283" s="597"/>
      <c r="K283" s="597"/>
      <c r="L283" s="597"/>
      <c r="M283" s="597"/>
      <c r="N283" s="597"/>
      <c r="O283" s="597"/>
      <c r="P283" s="597"/>
      <c r="Q283" s="597"/>
      <c r="R283" s="597"/>
      <c r="S283" s="597"/>
      <c r="T283" s="596"/>
      <c r="U283" s="597"/>
      <c r="V283" s="552"/>
      <c r="W283" s="552"/>
      <c r="X283" s="512"/>
    </row>
    <row r="284" spans="1:24" s="513" customFormat="1" x14ac:dyDescent="0.3">
      <c r="A284" s="509"/>
      <c r="B284" s="510"/>
      <c r="C284" s="510"/>
      <c r="D284" s="510"/>
      <c r="E284" s="510"/>
      <c r="F284" s="510"/>
      <c r="G284" s="510"/>
      <c r="H284" s="600"/>
      <c r="I284" s="600"/>
      <c r="J284" s="600"/>
      <c r="K284" s="600"/>
      <c r="L284" s="600"/>
      <c r="M284" s="600"/>
      <c r="N284" s="600"/>
      <c r="O284" s="600"/>
      <c r="P284" s="600"/>
      <c r="Q284" s="600"/>
      <c r="R284" s="600"/>
      <c r="S284" s="600"/>
      <c r="T284" s="601"/>
      <c r="U284" s="600"/>
      <c r="V284" s="510"/>
      <c r="W284" s="510"/>
      <c r="X284" s="512"/>
    </row>
    <row r="285" spans="1:24" s="513" customFormat="1" x14ac:dyDescent="0.3">
      <c r="A285" s="509"/>
      <c r="B285" s="508" t="s">
        <v>93</v>
      </c>
      <c r="C285" s="510"/>
      <c r="D285" s="510"/>
      <c r="E285" s="510"/>
      <c r="F285" s="516" t="s">
        <v>99</v>
      </c>
      <c r="G285" s="510"/>
      <c r="H285" s="508" t="s">
        <v>101</v>
      </c>
      <c r="I285" s="510"/>
      <c r="J285" s="510"/>
      <c r="K285" s="510"/>
      <c r="L285" s="510"/>
      <c r="M285" s="510"/>
      <c r="N285" s="510"/>
      <c r="O285" s="510"/>
      <c r="P285" s="510"/>
      <c r="Q285" s="510"/>
      <c r="R285" s="510"/>
      <c r="S285" s="510"/>
      <c r="T285" s="510"/>
      <c r="U285" s="510"/>
      <c r="V285" s="510"/>
      <c r="W285" s="510"/>
      <c r="X285" s="512"/>
    </row>
    <row r="286" spans="1:24" s="513" customFormat="1" x14ac:dyDescent="0.3">
      <c r="A286" s="509"/>
      <c r="B286" s="510"/>
      <c r="C286" s="510"/>
      <c r="D286" s="510"/>
      <c r="E286" s="510"/>
      <c r="F286" s="510"/>
      <c r="G286" s="510"/>
      <c r="H286" s="510"/>
      <c r="I286" s="510"/>
      <c r="J286" s="510"/>
      <c r="K286" s="510"/>
      <c r="L286" s="510"/>
      <c r="M286" s="510"/>
      <c r="N286" s="510"/>
      <c r="O286" s="510"/>
      <c r="P286" s="510"/>
      <c r="Q286" s="510"/>
      <c r="R286" s="510"/>
      <c r="S286" s="510"/>
      <c r="T286" s="510"/>
      <c r="U286" s="510"/>
      <c r="V286" s="510"/>
      <c r="W286" s="510"/>
      <c r="X286" s="512"/>
    </row>
    <row r="287" spans="1:24" s="513" customFormat="1" x14ac:dyDescent="0.3">
      <c r="A287" s="509"/>
      <c r="B287" s="508" t="s">
        <v>327</v>
      </c>
      <c r="C287" s="508"/>
      <c r="D287" s="508"/>
      <c r="E287" s="508"/>
      <c r="F287" s="602" t="s">
        <v>278</v>
      </c>
      <c r="G287" s="508"/>
      <c r="H287" s="402" t="s">
        <v>350</v>
      </c>
      <c r="I287" s="510"/>
      <c r="J287" s="510"/>
      <c r="K287" s="510"/>
      <c r="L287" s="510"/>
      <c r="M287" s="510"/>
      <c r="N287" s="510"/>
      <c r="O287" s="510"/>
      <c r="P287" s="510"/>
      <c r="Q287" s="510"/>
      <c r="R287" s="510"/>
      <c r="S287" s="510"/>
      <c r="T287" s="510"/>
      <c r="U287" s="510"/>
      <c r="V287" s="510"/>
      <c r="W287" s="510"/>
      <c r="X287" s="512"/>
    </row>
    <row r="288" spans="1:24" s="513" customFormat="1" x14ac:dyDescent="0.3">
      <c r="A288" s="509"/>
      <c r="B288" s="508" t="s">
        <v>328</v>
      </c>
      <c r="C288" s="508"/>
      <c r="D288" s="508"/>
      <c r="E288" s="508"/>
      <c r="F288" s="602" t="s">
        <v>152</v>
      </c>
      <c r="G288" s="508"/>
      <c r="H288" s="402" t="s">
        <v>351</v>
      </c>
      <c r="I288" s="510"/>
      <c r="J288" s="510"/>
      <c r="K288" s="510"/>
      <c r="L288" s="510"/>
      <c r="M288" s="510"/>
      <c r="N288" s="510"/>
      <c r="O288" s="510"/>
      <c r="P288" s="510"/>
      <c r="Q288" s="510"/>
      <c r="R288" s="510"/>
      <c r="S288" s="510"/>
      <c r="T288" s="510"/>
      <c r="U288" s="510"/>
      <c r="V288" s="510"/>
      <c r="W288" s="510"/>
      <c r="X288" s="512"/>
    </row>
    <row r="289" spans="1:24" s="513" customFormat="1" x14ac:dyDescent="0.3">
      <c r="A289" s="509"/>
      <c r="B289" s="508"/>
      <c r="C289" s="508"/>
      <c r="D289" s="508"/>
      <c r="E289" s="508"/>
      <c r="F289" s="508"/>
      <c r="G289" s="508"/>
      <c r="H289" s="510"/>
      <c r="I289" s="510"/>
      <c r="J289" s="510"/>
      <c r="K289" s="510"/>
      <c r="L289" s="510"/>
      <c r="M289" s="510"/>
      <c r="N289" s="510"/>
      <c r="O289" s="510"/>
      <c r="P289" s="510"/>
      <c r="Q289" s="510"/>
      <c r="R289" s="510"/>
      <c r="S289" s="510"/>
      <c r="T289" s="510"/>
      <c r="U289" s="510"/>
      <c r="V289" s="510"/>
      <c r="W289" s="510"/>
      <c r="X289" s="512"/>
    </row>
    <row r="290" spans="1:24" s="513" customFormat="1" ht="18.600000000000001" thickBot="1" x14ac:dyDescent="0.4">
      <c r="A290" s="509"/>
      <c r="B290" s="603" t="str">
        <f>B196</f>
        <v>PM12 INVESTOR REPORT QUARTER ENDING OCTOBER 2017</v>
      </c>
      <c r="C290" s="508"/>
      <c r="D290" s="508"/>
      <c r="E290" s="508"/>
      <c r="F290" s="508"/>
      <c r="G290" s="508"/>
      <c r="H290" s="510"/>
      <c r="I290" s="510"/>
      <c r="J290" s="510"/>
      <c r="K290" s="510"/>
      <c r="L290" s="510"/>
      <c r="M290" s="510"/>
      <c r="N290" s="510"/>
      <c r="O290" s="510"/>
      <c r="P290" s="510"/>
      <c r="Q290" s="510"/>
      <c r="R290" s="510"/>
      <c r="S290" s="510"/>
      <c r="T290" s="510"/>
      <c r="U290" s="510"/>
      <c r="V290" s="510"/>
      <c r="W290" s="510"/>
      <c r="X290" s="512"/>
    </row>
    <row r="291" spans="1:24" x14ac:dyDescent="0.3">
      <c r="A291" s="492"/>
      <c r="B291" s="492"/>
      <c r="C291" s="492"/>
      <c r="D291" s="492"/>
      <c r="E291" s="492"/>
      <c r="F291" s="492"/>
      <c r="G291" s="492"/>
      <c r="H291" s="492"/>
      <c r="I291" s="492"/>
      <c r="J291" s="492"/>
      <c r="K291" s="492"/>
      <c r="L291" s="492"/>
      <c r="M291" s="492"/>
      <c r="N291" s="492"/>
      <c r="O291" s="492"/>
      <c r="P291" s="492"/>
      <c r="Q291" s="492"/>
      <c r="R291" s="492"/>
      <c r="S291" s="492"/>
      <c r="T291" s="492"/>
      <c r="U291" s="492"/>
      <c r="V291" s="492"/>
      <c r="W291" s="492"/>
    </row>
  </sheetData>
  <hyperlinks>
    <hyperlink ref="I9" r:id="rId1" xr:uid="{00000000-0004-0000-2C00-000000000000}"/>
    <hyperlink ref="P232" r:id="rId2" xr:uid="{00000000-0004-0000-2C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2D2926"/>
  </sheetPr>
  <dimension ref="A1:Y291"/>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0.66749999999999998</v>
      </c>
      <c r="T16" s="516" t="s">
        <v>145</v>
      </c>
      <c r="U16" s="515">
        <v>0.33250000000000002</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43152</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219</v>
      </c>
      <c r="E26" s="526"/>
      <c r="F26" s="526" t="s">
        <v>146</v>
      </c>
      <c r="G26" s="526"/>
      <c r="H26" s="526" t="s">
        <v>146</v>
      </c>
      <c r="I26" s="526"/>
      <c r="J26" s="526" t="s">
        <v>146</v>
      </c>
      <c r="K26" s="526"/>
      <c r="L26" s="526" t="s">
        <v>347</v>
      </c>
      <c r="M26" s="526"/>
      <c r="N26" s="526" t="s">
        <v>347</v>
      </c>
      <c r="O26" s="526"/>
      <c r="P26" s="526" t="s">
        <v>147</v>
      </c>
      <c r="Q26" s="526"/>
      <c r="R26" s="526" t="s">
        <v>147</v>
      </c>
      <c r="S26" s="526"/>
      <c r="T26" s="523"/>
      <c r="U26" s="522"/>
      <c r="V26" s="522"/>
      <c r="W26" s="524"/>
      <c r="X26" s="512"/>
    </row>
    <row r="27" spans="1:25" s="513" customFormat="1" x14ac:dyDescent="0.3">
      <c r="A27" s="521"/>
      <c r="B27" s="527" t="s">
        <v>197</v>
      </c>
      <c r="C27" s="523"/>
      <c r="D27" s="526" t="s">
        <v>314</v>
      </c>
      <c r="E27" s="526"/>
      <c r="F27" s="526" t="s">
        <v>148</v>
      </c>
      <c r="G27" s="526"/>
      <c r="H27" s="526" t="s">
        <v>148</v>
      </c>
      <c r="I27" s="526"/>
      <c r="J27" s="526" t="s">
        <v>148</v>
      </c>
      <c r="K27" s="526"/>
      <c r="L27" s="526" t="s">
        <v>149</v>
      </c>
      <c r="M27" s="526"/>
      <c r="N27" s="526" t="s">
        <v>149</v>
      </c>
      <c r="O27" s="526"/>
      <c r="P27" s="526" t="s">
        <v>337</v>
      </c>
      <c r="Q27" s="526"/>
      <c r="R27" s="526" t="s">
        <v>337</v>
      </c>
      <c r="S27" s="523"/>
      <c r="T27" s="528"/>
      <c r="U27" s="522"/>
      <c r="V27" s="522"/>
      <c r="W27" s="524"/>
      <c r="X27" s="512"/>
    </row>
    <row r="28" spans="1:25" s="513" customFormat="1" x14ac:dyDescent="0.3">
      <c r="A28" s="521"/>
      <c r="B28" s="527" t="s">
        <v>198</v>
      </c>
      <c r="C28" s="523"/>
      <c r="D28" s="526" t="s">
        <v>312</v>
      </c>
      <c r="E28" s="526"/>
      <c r="F28" s="526" t="s">
        <v>148</v>
      </c>
      <c r="G28" s="526"/>
      <c r="H28" s="526" t="s">
        <v>148</v>
      </c>
      <c r="I28" s="526"/>
      <c r="J28" s="526" t="s">
        <v>148</v>
      </c>
      <c r="K28" s="526"/>
      <c r="L28" s="526" t="s">
        <v>148</v>
      </c>
      <c r="M28" s="526"/>
      <c r="N28" s="526" t="s">
        <v>148</v>
      </c>
      <c r="O28" s="526"/>
      <c r="P28" s="526" t="s">
        <v>149</v>
      </c>
      <c r="Q28" s="526"/>
      <c r="R28" s="526" t="s">
        <v>149</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533">
        <f>D31*D38</f>
        <v>652836.30000000005</v>
      </c>
      <c r="E32" s="529"/>
      <c r="F32" s="530">
        <f>F31*F38</f>
        <v>63107.798999999999</v>
      </c>
      <c r="G32" s="530"/>
      <c r="H32" s="534">
        <f>H31*H38</f>
        <v>106630.41900000001</v>
      </c>
      <c r="I32" s="534"/>
      <c r="J32" s="533">
        <f>J31*J38</f>
        <v>135354.7262</v>
      </c>
      <c r="K32" s="530"/>
      <c r="L32" s="530">
        <f>+L31</f>
        <v>25000</v>
      </c>
      <c r="M32" s="530"/>
      <c r="N32" s="534">
        <f>+N31</f>
        <v>126000</v>
      </c>
      <c r="O32" s="530"/>
      <c r="P32" s="530">
        <f>+P31</f>
        <v>17000</v>
      </c>
      <c r="Q32" s="530"/>
      <c r="R32" s="534">
        <f>+R31</f>
        <v>106000</v>
      </c>
      <c r="S32" s="530"/>
      <c r="T32" s="530"/>
      <c r="U32" s="529"/>
      <c r="V32" s="530"/>
      <c r="W32" s="531"/>
      <c r="X32" s="512"/>
    </row>
    <row r="33" spans="1:24" s="513" customFormat="1" x14ac:dyDescent="0.3">
      <c r="A33" s="521"/>
      <c r="B33" s="527" t="s">
        <v>139</v>
      </c>
      <c r="C33" s="529"/>
      <c r="D33" s="536">
        <f>D37*D31</f>
        <v>635479.95000000007</v>
      </c>
      <c r="E33" s="532"/>
      <c r="F33" s="535">
        <f>F37*F31</f>
        <v>61430.033000000003</v>
      </c>
      <c r="G33" s="535"/>
      <c r="H33" s="537">
        <f>H31*H37</f>
        <v>103795.573</v>
      </c>
      <c r="I33" s="537"/>
      <c r="J33" s="536">
        <f>J37*J31</f>
        <v>131756.17629999999</v>
      </c>
      <c r="K33" s="535"/>
      <c r="L33" s="535">
        <f>L31*L37</f>
        <v>25000</v>
      </c>
      <c r="M33" s="535"/>
      <c r="N33" s="537">
        <f>N31*N37</f>
        <v>126000</v>
      </c>
      <c r="O33" s="535"/>
      <c r="P33" s="535">
        <f>P31*P37</f>
        <v>17000</v>
      </c>
      <c r="Q33" s="535"/>
      <c r="R33" s="537">
        <f>R31*R37</f>
        <v>106000</v>
      </c>
      <c r="S33" s="530"/>
      <c r="T33" s="530"/>
      <c r="U33" s="529"/>
      <c r="V33" s="530"/>
      <c r="W33" s="531"/>
      <c r="X33" s="512"/>
    </row>
    <row r="34" spans="1:24"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4" s="513" customFormat="1" x14ac:dyDescent="0.3">
      <c r="A35" s="525"/>
      <c r="B35" s="522" t="s">
        <v>294</v>
      </c>
      <c r="C35" s="532"/>
      <c r="D35" s="530">
        <f>D34*D38</f>
        <v>354802.16665139998</v>
      </c>
      <c r="E35" s="529"/>
      <c r="F35" s="530">
        <f>F34*F38</f>
        <v>63107.798999999999</v>
      </c>
      <c r="G35" s="530"/>
      <c r="H35" s="530">
        <f>H34*H38</f>
        <v>73538.430109199995</v>
      </c>
      <c r="I35" s="530"/>
      <c r="J35" s="530">
        <f>J34*J38</f>
        <v>73562.464732399996</v>
      </c>
      <c r="K35" s="530"/>
      <c r="L35" s="530">
        <f>+L34</f>
        <v>25000</v>
      </c>
      <c r="M35" s="530"/>
      <c r="N35" s="530">
        <f>+N34</f>
        <v>86897</v>
      </c>
      <c r="O35" s="530"/>
      <c r="P35" s="530">
        <f>+P34</f>
        <v>17000</v>
      </c>
      <c r="Q35" s="530"/>
      <c r="R35" s="530">
        <f>+R34</f>
        <v>73103</v>
      </c>
      <c r="S35" s="530"/>
      <c r="T35" s="530"/>
      <c r="U35" s="529"/>
      <c r="V35" s="530">
        <f>SUM(C35:R35)</f>
        <v>767010.86049300001</v>
      </c>
      <c r="W35" s="531"/>
      <c r="X35" s="512"/>
    </row>
    <row r="36" spans="1:24" s="513" customFormat="1" x14ac:dyDescent="0.3">
      <c r="A36" s="525"/>
      <c r="B36" s="527" t="s">
        <v>295</v>
      </c>
      <c r="C36" s="532"/>
      <c r="D36" s="535">
        <f>D34*D37</f>
        <v>345369.37226610002</v>
      </c>
      <c r="E36" s="532"/>
      <c r="F36" s="535">
        <f>F34*F37</f>
        <v>61430.033000000003</v>
      </c>
      <c r="G36" s="535"/>
      <c r="H36" s="535">
        <f>H34*H37</f>
        <v>71583.358316400001</v>
      </c>
      <c r="I36" s="535"/>
      <c r="J36" s="535">
        <f>J34*J37</f>
        <v>71606.728072600003</v>
      </c>
      <c r="K36" s="535"/>
      <c r="L36" s="535">
        <f>+L34</f>
        <v>25000</v>
      </c>
      <c r="M36" s="535"/>
      <c r="N36" s="535">
        <f>+N34</f>
        <v>86897</v>
      </c>
      <c r="O36" s="535"/>
      <c r="P36" s="535">
        <f>+P34</f>
        <v>17000</v>
      </c>
      <c r="Q36" s="535"/>
      <c r="R36" s="535">
        <f>+R34</f>
        <v>73103</v>
      </c>
      <c r="S36" s="538"/>
      <c r="T36" s="538"/>
      <c r="U36" s="529"/>
      <c r="V36" s="535">
        <f>SUM(C36:R36)</f>
        <v>751989.49165510002</v>
      </c>
      <c r="W36" s="531"/>
      <c r="X36" s="512"/>
    </row>
    <row r="37" spans="1:24" x14ac:dyDescent="0.3">
      <c r="A37" s="420"/>
      <c r="B37" s="493" t="s">
        <v>135</v>
      </c>
      <c r="C37" s="494"/>
      <c r="D37" s="495">
        <v>0.42365330000000001</v>
      </c>
      <c r="E37" s="496"/>
      <c r="F37" s="495">
        <v>0.42365540000000002</v>
      </c>
      <c r="G37" s="495"/>
      <c r="H37" s="495">
        <v>0.42365540000000002</v>
      </c>
      <c r="I37" s="495"/>
      <c r="J37" s="495">
        <v>0.42365330000000001</v>
      </c>
      <c r="K37" s="495"/>
      <c r="L37" s="495">
        <v>1</v>
      </c>
      <c r="M37" s="495"/>
      <c r="N37" s="495">
        <v>1</v>
      </c>
      <c r="O37" s="495"/>
      <c r="P37" s="495">
        <v>1</v>
      </c>
      <c r="Q37" s="495"/>
      <c r="R37" s="495">
        <v>1</v>
      </c>
      <c r="S37" s="425"/>
      <c r="T37" s="425"/>
      <c r="U37" s="424"/>
      <c r="V37" s="424"/>
      <c r="W37" s="426"/>
      <c r="X37" s="405"/>
    </row>
    <row r="38" spans="1:24" x14ac:dyDescent="0.3">
      <c r="A38" s="420"/>
      <c r="B38" s="493" t="s">
        <v>136</v>
      </c>
      <c r="C38" s="494"/>
      <c r="D38" s="495">
        <v>0.43522420000000001</v>
      </c>
      <c r="E38" s="496"/>
      <c r="F38" s="495">
        <v>0.43522620000000001</v>
      </c>
      <c r="G38" s="495"/>
      <c r="H38" s="495">
        <v>0.43522620000000001</v>
      </c>
      <c r="I38" s="495"/>
      <c r="J38" s="495">
        <v>0.43522420000000001</v>
      </c>
      <c r="K38" s="495"/>
      <c r="L38" s="495">
        <v>1</v>
      </c>
      <c r="M38" s="495"/>
      <c r="N38" s="495">
        <v>1</v>
      </c>
      <c r="O38" s="495"/>
      <c r="P38" s="495">
        <v>1</v>
      </c>
      <c r="Q38" s="495"/>
      <c r="R38" s="495">
        <v>1</v>
      </c>
      <c r="S38" s="427"/>
      <c r="T38" s="428"/>
      <c r="U38" s="424"/>
      <c r="V38" s="427"/>
      <c r="W38" s="426"/>
      <c r="X38" s="405"/>
    </row>
    <row r="39" spans="1:24"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4" s="513" customFormat="1" x14ac:dyDescent="0.3">
      <c r="A40" s="521"/>
      <c r="B40" s="522" t="s">
        <v>12</v>
      </c>
      <c r="C40" s="522"/>
      <c r="D40" s="540">
        <v>1.7994699999999999E-2</v>
      </c>
      <c r="E40" s="522"/>
      <c r="F40" s="540">
        <v>7.6625E-3</v>
      </c>
      <c r="G40" s="539"/>
      <c r="H40" s="540">
        <v>0</v>
      </c>
      <c r="I40" s="540"/>
      <c r="J40" s="540">
        <v>1.6358600000000001E-2</v>
      </c>
      <c r="K40" s="539"/>
      <c r="L40" s="540">
        <v>1.00625E-2</v>
      </c>
      <c r="M40" s="539"/>
      <c r="N40" s="540">
        <v>1.5100000000000001E-3</v>
      </c>
      <c r="O40" s="539"/>
      <c r="P40" s="540">
        <v>1.44625E-2</v>
      </c>
      <c r="Q40" s="539"/>
      <c r="R40" s="540">
        <v>5.9100000000000003E-3</v>
      </c>
      <c r="S40" s="539"/>
      <c r="T40" s="540"/>
      <c r="U40" s="522"/>
      <c r="V40" s="528"/>
      <c r="W40" s="524"/>
      <c r="X40" s="512"/>
    </row>
    <row r="41" spans="1:24" s="513" customFormat="1" x14ac:dyDescent="0.3">
      <c r="A41" s="521"/>
      <c r="B41" s="522" t="s">
        <v>13</v>
      </c>
      <c r="C41" s="522"/>
      <c r="D41" s="540">
        <v>1.4788900000000001E-2</v>
      </c>
      <c r="E41" s="522"/>
      <c r="F41" s="540">
        <v>5.1963000000000001E-3</v>
      </c>
      <c r="G41" s="539"/>
      <c r="H41" s="540">
        <v>0</v>
      </c>
      <c r="I41" s="540"/>
      <c r="J41" s="540">
        <v>1.5350000000000001E-2</v>
      </c>
      <c r="K41" s="539"/>
      <c r="L41" s="540">
        <v>7.5963000000000003E-3</v>
      </c>
      <c r="M41" s="539"/>
      <c r="N41" s="540">
        <v>1.5100000000000001E-3</v>
      </c>
      <c r="O41" s="539"/>
      <c r="P41" s="540">
        <v>1.19963E-2</v>
      </c>
      <c r="Q41" s="539"/>
      <c r="R41" s="540">
        <v>5.9100000000000003E-3</v>
      </c>
      <c r="S41" s="539"/>
      <c r="T41" s="540"/>
      <c r="U41" s="522"/>
      <c r="V41" s="539" t="s">
        <v>199</v>
      </c>
      <c r="W41" s="524"/>
      <c r="X41" s="512"/>
    </row>
    <row r="42" spans="1:24" s="513" customFormat="1" x14ac:dyDescent="0.3">
      <c r="A42" s="521"/>
      <c r="B42" s="522" t="s">
        <v>296</v>
      </c>
      <c r="C42" s="522"/>
      <c r="D42" s="528" t="s">
        <v>243</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4" s="513" customFormat="1" x14ac:dyDescent="0.3">
      <c r="A43" s="521"/>
      <c r="B43" s="522" t="s">
        <v>297</v>
      </c>
      <c r="C43" s="541"/>
      <c r="D43" s="540">
        <v>7.8767999999999998E-3</v>
      </c>
      <c r="E43" s="540"/>
      <c r="F43" s="540">
        <f>+F40</f>
        <v>7.6625E-3</v>
      </c>
      <c r="G43" s="540"/>
      <c r="H43" s="540">
        <v>7.5845000000000001E-3</v>
      </c>
      <c r="I43" s="540"/>
      <c r="J43" s="540">
        <v>7.8265000000000001E-3</v>
      </c>
      <c r="K43" s="540"/>
      <c r="L43" s="540">
        <f>+L40</f>
        <v>1.00625E-2</v>
      </c>
      <c r="M43" s="540"/>
      <c r="N43" s="540">
        <v>1.0264499999999999E-2</v>
      </c>
      <c r="O43" s="540"/>
      <c r="P43" s="540">
        <f>+P40</f>
        <v>1.44625E-2</v>
      </c>
      <c r="Q43" s="539"/>
      <c r="R43" s="540">
        <v>1.49345E-2</v>
      </c>
      <c r="S43" s="528"/>
      <c r="T43" s="528"/>
      <c r="U43" s="522"/>
      <c r="V43" s="539">
        <f>SUMPRODUCT(D43:R43,D35:R35)/V35</f>
        <v>8.9866968442639285E-3</v>
      </c>
      <c r="W43" s="524"/>
      <c r="X43" s="512"/>
    </row>
    <row r="44" spans="1:24" s="513" customFormat="1" x14ac:dyDescent="0.3">
      <c r="A44" s="521"/>
      <c r="B44" s="522" t="s">
        <v>298</v>
      </c>
      <c r="C44" s="541"/>
      <c r="D44" s="540">
        <v>5.4105999999999998E-3</v>
      </c>
      <c r="E44" s="540"/>
      <c r="F44" s="540">
        <f>+F41</f>
        <v>5.1963000000000001E-3</v>
      </c>
      <c r="G44" s="540"/>
      <c r="H44" s="540">
        <v>5.1183000000000001E-3</v>
      </c>
      <c r="I44" s="540"/>
      <c r="J44" s="540">
        <v>5.3603000000000001E-3</v>
      </c>
      <c r="K44" s="540"/>
      <c r="L44" s="540">
        <f>+L41</f>
        <v>7.5963000000000003E-3</v>
      </c>
      <c r="M44" s="540"/>
      <c r="N44" s="540">
        <v>7.7983000000000002E-3</v>
      </c>
      <c r="O44" s="540"/>
      <c r="P44" s="540">
        <f>+P41</f>
        <v>1.19963E-2</v>
      </c>
      <c r="Q44" s="539"/>
      <c r="R44" s="540">
        <v>1.24683E-2</v>
      </c>
      <c r="S44" s="528"/>
      <c r="T44" s="528"/>
      <c r="U44" s="522"/>
      <c r="V44" s="522"/>
      <c r="W44" s="524"/>
      <c r="X44" s="512"/>
    </row>
    <row r="45" spans="1:24"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4"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4"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4" s="513" customFormat="1" x14ac:dyDescent="0.3">
      <c r="A48" s="521"/>
      <c r="B48" s="522" t="s">
        <v>299</v>
      </c>
      <c r="C48" s="522"/>
      <c r="D48" s="528" t="s">
        <v>243</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0.36727974454951001</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209</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43146</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42962</v>
      </c>
      <c r="U57" s="550"/>
      <c r="V57" s="549">
        <v>43053</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43054</v>
      </c>
      <c r="U58" s="550"/>
      <c r="V58" s="549">
        <v>43145</v>
      </c>
      <c r="W58" s="524"/>
      <c r="X58" s="512"/>
    </row>
    <row r="59" spans="1:25" s="513" customFormat="1" x14ac:dyDescent="0.3">
      <c r="A59" s="521"/>
      <c r="B59" s="522" t="s">
        <v>263</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262</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43132</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353</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767011</v>
      </c>
      <c r="O68" s="562"/>
      <c r="P68" s="562">
        <f>15022+633</f>
        <v>15655</v>
      </c>
      <c r="Q68" s="562"/>
      <c r="R68" s="562">
        <v>633</v>
      </c>
      <c r="S68" s="562"/>
      <c r="T68" s="562">
        <v>0</v>
      </c>
      <c r="U68" s="562"/>
      <c r="V68" s="563">
        <f>+N68-P68+R68-T68</f>
        <v>751989</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767011</v>
      </c>
      <c r="O71" s="562"/>
      <c r="P71" s="562">
        <f>SUM(P68:P70)</f>
        <v>15655</v>
      </c>
      <c r="Q71" s="562"/>
      <c r="R71" s="562">
        <f>SUM(R68:R70)</f>
        <v>633</v>
      </c>
      <c r="S71" s="562"/>
      <c r="T71" s="562">
        <f>SUM(T68:T70)</f>
        <v>0</v>
      </c>
      <c r="U71" s="562"/>
      <c r="V71" s="562">
        <f>SUM(V68:V70)</f>
        <v>751989</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767011</v>
      </c>
      <c r="O84" s="562"/>
      <c r="P84" s="562"/>
      <c r="Q84" s="562"/>
      <c r="R84" s="562"/>
      <c r="S84" s="562"/>
      <c r="T84" s="562"/>
      <c r="U84" s="562"/>
      <c r="V84" s="562">
        <f>SUM(V71:V83)</f>
        <v>751989</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+T197</f>
        <v>43131</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15655-80</f>
        <v>15575</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3871+2015-1270-558</f>
        <v>4058</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57+24</f>
        <v>81</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28</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602</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15575</v>
      </c>
      <c r="U96" s="522"/>
      <c r="V96" s="562">
        <f>SUM(V88:V95)</f>
        <v>4769</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-89</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15575</v>
      </c>
      <c r="U100" s="522"/>
      <c r="V100" s="562">
        <f>V96+V98+V97+V99</f>
        <v>4680</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-293-125-9</f>
        <v>-427</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256</v>
      </c>
      <c r="C106" s="522"/>
      <c r="D106" s="522"/>
      <c r="E106" s="522"/>
      <c r="F106" s="522"/>
      <c r="G106" s="522"/>
      <c r="H106" s="522"/>
      <c r="I106" s="522"/>
      <c r="J106" s="522"/>
      <c r="K106" s="522"/>
      <c r="L106" s="522"/>
      <c r="M106" s="522"/>
      <c r="N106" s="522"/>
      <c r="O106" s="522"/>
      <c r="P106" s="522"/>
      <c r="Q106" s="522"/>
      <c r="R106" s="522"/>
      <c r="S106" s="522"/>
      <c r="T106" s="522"/>
      <c r="U106" s="522"/>
      <c r="V106" s="563">
        <f>-1112+122</f>
        <v>-990</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-122</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-225</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-63</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-275</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-62</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-32</v>
      </c>
      <c r="W113" s="422"/>
      <c r="X113" s="405"/>
    </row>
    <row r="114" spans="1:24" x14ac:dyDescent="0.3">
      <c r="A114" s="521">
        <f t="shared" ref="A114:A119"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80</v>
      </c>
      <c r="U114" s="522"/>
      <c r="V114" s="563">
        <v>-80</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-293</v>
      </c>
      <c r="W118" s="422"/>
      <c r="X118" s="405"/>
    </row>
    <row r="119" spans="1:24" x14ac:dyDescent="0.3">
      <c r="A119" s="521">
        <f t="shared" si="0"/>
        <v>14</v>
      </c>
      <c r="B119" s="522" t="s">
        <v>131</v>
      </c>
      <c r="C119" s="522"/>
      <c r="D119" s="522"/>
      <c r="E119" s="522"/>
      <c r="F119" s="522"/>
      <c r="G119" s="522"/>
      <c r="H119" s="522"/>
      <c r="I119" s="522"/>
      <c r="J119" s="522"/>
      <c r="K119" s="522"/>
      <c r="L119" s="522"/>
      <c r="M119" s="522"/>
      <c r="N119" s="522"/>
      <c r="O119" s="522"/>
      <c r="P119" s="522"/>
      <c r="Q119" s="522"/>
      <c r="R119" s="522"/>
      <c r="S119" s="522"/>
      <c r="T119" s="522"/>
      <c r="U119" s="522"/>
      <c r="V119" s="563">
        <f>-V100-SUM(V102:V118)</f>
        <v>-2109</v>
      </c>
      <c r="W119" s="422"/>
      <c r="X119" s="405"/>
    </row>
    <row r="120" spans="1:24" x14ac:dyDescent="0.3">
      <c r="A120" s="420"/>
      <c r="B120" s="501" t="s">
        <v>38</v>
      </c>
      <c r="C120" s="424"/>
      <c r="D120" s="424"/>
      <c r="E120" s="424"/>
      <c r="F120" s="424"/>
      <c r="G120" s="424"/>
      <c r="H120" s="424"/>
      <c r="I120" s="424"/>
      <c r="J120" s="424"/>
      <c r="K120" s="424"/>
      <c r="L120" s="424"/>
      <c r="M120" s="424"/>
      <c r="N120" s="424"/>
      <c r="O120" s="424"/>
      <c r="P120" s="424"/>
      <c r="Q120" s="424"/>
      <c r="R120" s="424"/>
      <c r="S120" s="424"/>
      <c r="T120" s="424"/>
      <c r="U120" s="424"/>
      <c r="V120" s="443"/>
      <c r="W120" s="426"/>
      <c r="X120" s="405"/>
    </row>
    <row r="121" spans="1:24" x14ac:dyDescent="0.3">
      <c r="A121" s="420"/>
      <c r="B121" s="522" t="s">
        <v>179</v>
      </c>
      <c r="C121" s="522"/>
      <c r="D121" s="522"/>
      <c r="E121" s="522"/>
      <c r="F121" s="522"/>
      <c r="G121" s="522"/>
      <c r="H121" s="522"/>
      <c r="I121" s="522"/>
      <c r="J121" s="522"/>
      <c r="K121" s="522"/>
      <c r="L121" s="522"/>
      <c r="M121" s="522"/>
      <c r="N121" s="522"/>
      <c r="O121" s="522"/>
      <c r="P121" s="522"/>
      <c r="Q121" s="522"/>
      <c r="R121" s="522"/>
      <c r="S121" s="522"/>
      <c r="T121" s="562">
        <f>-T181</f>
        <v>0</v>
      </c>
      <c r="U121" s="562"/>
      <c r="V121" s="563"/>
      <c r="W121" s="524"/>
      <c r="X121" s="405"/>
    </row>
    <row r="122" spans="1:24" x14ac:dyDescent="0.3">
      <c r="A122" s="420"/>
      <c r="B122" s="522" t="s">
        <v>180</v>
      </c>
      <c r="C122" s="522"/>
      <c r="D122" s="522"/>
      <c r="E122" s="522"/>
      <c r="F122" s="522"/>
      <c r="G122" s="522"/>
      <c r="H122" s="522"/>
      <c r="I122" s="522"/>
      <c r="J122" s="522"/>
      <c r="K122" s="522"/>
      <c r="L122" s="522"/>
      <c r="M122" s="522"/>
      <c r="N122" s="522"/>
      <c r="O122" s="522"/>
      <c r="P122" s="522"/>
      <c r="Q122" s="522"/>
      <c r="R122" s="522"/>
      <c r="S122" s="522"/>
      <c r="T122" s="562">
        <v>0</v>
      </c>
      <c r="U122" s="562"/>
      <c r="V122" s="563"/>
      <c r="W122" s="524"/>
      <c r="X122" s="405"/>
    </row>
    <row r="123" spans="1:24" x14ac:dyDescent="0.3">
      <c r="A123" s="420"/>
      <c r="B123" s="522" t="s">
        <v>39</v>
      </c>
      <c r="C123" s="522"/>
      <c r="D123" s="522"/>
      <c r="E123" s="522"/>
      <c r="F123" s="522"/>
      <c r="G123" s="522"/>
      <c r="H123" s="522"/>
      <c r="I123" s="522"/>
      <c r="J123" s="522"/>
      <c r="K123" s="522"/>
      <c r="L123" s="522"/>
      <c r="M123" s="522"/>
      <c r="N123" s="522"/>
      <c r="O123" s="522"/>
      <c r="P123" s="522"/>
      <c r="Q123" s="522"/>
      <c r="R123" s="522"/>
      <c r="S123" s="522"/>
      <c r="T123" s="562">
        <f>-S181</f>
        <v>-633</v>
      </c>
      <c r="U123" s="562"/>
      <c r="V123" s="563"/>
      <c r="W123" s="524"/>
      <c r="X123" s="405"/>
    </row>
    <row r="124" spans="1:24" x14ac:dyDescent="0.3">
      <c r="A124" s="420"/>
      <c r="B124" s="522" t="s">
        <v>203</v>
      </c>
      <c r="C124" s="522"/>
      <c r="D124" s="522"/>
      <c r="E124" s="522"/>
      <c r="F124" s="522"/>
      <c r="G124" s="522"/>
      <c r="H124" s="522"/>
      <c r="I124" s="522"/>
      <c r="J124" s="522"/>
      <c r="K124" s="522"/>
      <c r="L124" s="522"/>
      <c r="M124" s="522"/>
      <c r="N124" s="522"/>
      <c r="O124" s="522"/>
      <c r="P124" s="522"/>
      <c r="Q124" s="522"/>
      <c r="R124" s="522"/>
      <c r="S124" s="522"/>
      <c r="T124" s="562">
        <v>-9433</v>
      </c>
      <c r="U124" s="562"/>
      <c r="V124" s="563"/>
      <c r="W124" s="524"/>
      <c r="X124" s="405"/>
    </row>
    <row r="125" spans="1:24" x14ac:dyDescent="0.3">
      <c r="A125" s="420"/>
      <c r="B125" s="522" t="s">
        <v>201</v>
      </c>
      <c r="C125" s="522"/>
      <c r="D125" s="522"/>
      <c r="E125" s="522"/>
      <c r="F125" s="522"/>
      <c r="G125" s="522"/>
      <c r="H125" s="522"/>
      <c r="I125" s="522"/>
      <c r="J125" s="522"/>
      <c r="K125" s="522"/>
      <c r="L125" s="522"/>
      <c r="M125" s="522"/>
      <c r="N125" s="522"/>
      <c r="O125" s="522"/>
      <c r="P125" s="522"/>
      <c r="Q125" s="522"/>
      <c r="R125" s="522"/>
      <c r="S125" s="522"/>
      <c r="T125" s="562">
        <v>-1678</v>
      </c>
      <c r="U125" s="562"/>
      <c r="V125" s="563"/>
      <c r="W125" s="524"/>
      <c r="X125" s="405"/>
    </row>
    <row r="126" spans="1:24" x14ac:dyDescent="0.3">
      <c r="A126" s="420"/>
      <c r="B126" s="522" t="s">
        <v>200</v>
      </c>
      <c r="C126" s="522"/>
      <c r="D126" s="522"/>
      <c r="E126" s="522"/>
      <c r="F126" s="522"/>
      <c r="G126" s="522"/>
      <c r="H126" s="522"/>
      <c r="I126" s="522"/>
      <c r="J126" s="522"/>
      <c r="K126" s="522"/>
      <c r="L126" s="522"/>
      <c r="M126" s="522"/>
      <c r="N126" s="522"/>
      <c r="O126" s="522"/>
      <c r="P126" s="522"/>
      <c r="Q126" s="522"/>
      <c r="R126" s="522"/>
      <c r="S126" s="522"/>
      <c r="T126" s="562">
        <v>-1955</v>
      </c>
      <c r="U126" s="562"/>
      <c r="V126" s="563"/>
      <c r="W126" s="524"/>
      <c r="X126" s="405"/>
    </row>
    <row r="127" spans="1:24" x14ac:dyDescent="0.3">
      <c r="A127" s="420"/>
      <c r="B127" s="522" t="s">
        <v>260</v>
      </c>
      <c r="C127" s="522"/>
      <c r="D127" s="522"/>
      <c r="E127" s="522"/>
      <c r="F127" s="522"/>
      <c r="G127" s="522"/>
      <c r="H127" s="522"/>
      <c r="I127" s="522"/>
      <c r="J127" s="522"/>
      <c r="K127" s="522"/>
      <c r="L127" s="522"/>
      <c r="M127" s="522"/>
      <c r="N127" s="522"/>
      <c r="O127" s="522"/>
      <c r="P127" s="522"/>
      <c r="Q127" s="522"/>
      <c r="R127" s="522"/>
      <c r="S127" s="522"/>
      <c r="T127" s="562">
        <v>-1956</v>
      </c>
      <c r="U127" s="562"/>
      <c r="V127" s="563"/>
      <c r="W127" s="524"/>
      <c r="X127" s="405"/>
    </row>
    <row r="128" spans="1:24" x14ac:dyDescent="0.3">
      <c r="A128" s="420"/>
      <c r="B128" s="522" t="s">
        <v>195</v>
      </c>
      <c r="C128" s="522"/>
      <c r="D128" s="522"/>
      <c r="E128" s="522"/>
      <c r="F128" s="522"/>
      <c r="G128" s="522"/>
      <c r="H128" s="522"/>
      <c r="I128" s="522"/>
      <c r="J128" s="522"/>
      <c r="K128" s="522"/>
      <c r="L128" s="522"/>
      <c r="M128" s="522"/>
      <c r="N128" s="522"/>
      <c r="O128" s="522"/>
      <c r="P128" s="522"/>
      <c r="Q128" s="522"/>
      <c r="R128" s="522"/>
      <c r="S128" s="522"/>
      <c r="T128" s="562">
        <v>0</v>
      </c>
      <c r="U128" s="562"/>
      <c r="V128" s="563"/>
      <c r="W128" s="524"/>
      <c r="X128" s="405"/>
    </row>
    <row r="129" spans="1:24" x14ac:dyDescent="0.3">
      <c r="A129" s="420"/>
      <c r="B129" s="522" t="s">
        <v>194</v>
      </c>
      <c r="C129" s="522"/>
      <c r="D129" s="522"/>
      <c r="E129" s="522"/>
      <c r="F129" s="522"/>
      <c r="G129" s="522"/>
      <c r="H129" s="522"/>
      <c r="I129" s="522"/>
      <c r="J129" s="522"/>
      <c r="K129" s="522"/>
      <c r="L129" s="522"/>
      <c r="M129" s="522"/>
      <c r="N129" s="522"/>
      <c r="O129" s="522"/>
      <c r="P129" s="522"/>
      <c r="Q129" s="522"/>
      <c r="R129" s="522"/>
      <c r="S129" s="522"/>
      <c r="T129" s="562">
        <v>0</v>
      </c>
      <c r="U129" s="562"/>
      <c r="V129" s="563"/>
      <c r="W129" s="524"/>
      <c r="X129" s="405"/>
    </row>
    <row r="130" spans="1:24" x14ac:dyDescent="0.3">
      <c r="A130" s="420"/>
      <c r="B130" s="522" t="s">
        <v>261</v>
      </c>
      <c r="C130" s="522"/>
      <c r="D130" s="522"/>
      <c r="E130" s="522"/>
      <c r="F130" s="522"/>
      <c r="G130" s="522"/>
      <c r="H130" s="522"/>
      <c r="I130" s="522"/>
      <c r="J130" s="522"/>
      <c r="K130" s="522"/>
      <c r="L130" s="522"/>
      <c r="M130" s="522"/>
      <c r="N130" s="522"/>
      <c r="O130" s="522"/>
      <c r="P130" s="522"/>
      <c r="Q130" s="522"/>
      <c r="R130" s="522"/>
      <c r="S130" s="522"/>
      <c r="T130" s="562">
        <v>0</v>
      </c>
      <c r="U130" s="562"/>
      <c r="V130" s="563"/>
      <c r="W130" s="524"/>
      <c r="X130" s="405"/>
    </row>
    <row r="131" spans="1:24" x14ac:dyDescent="0.3">
      <c r="A131" s="420"/>
      <c r="B131" s="522" t="s">
        <v>193</v>
      </c>
      <c r="C131" s="522"/>
      <c r="D131" s="522"/>
      <c r="E131" s="522"/>
      <c r="F131" s="522"/>
      <c r="G131" s="522"/>
      <c r="H131" s="522"/>
      <c r="I131" s="522"/>
      <c r="J131" s="522"/>
      <c r="K131" s="522"/>
      <c r="L131" s="522"/>
      <c r="M131" s="522"/>
      <c r="N131" s="522"/>
      <c r="O131" s="522"/>
      <c r="P131" s="522"/>
      <c r="Q131" s="522"/>
      <c r="R131" s="522"/>
      <c r="S131" s="522"/>
      <c r="T131" s="562">
        <v>0</v>
      </c>
      <c r="U131" s="562"/>
      <c r="V131" s="563"/>
      <c r="W131" s="524"/>
      <c r="X131" s="405"/>
    </row>
    <row r="132" spans="1:24" x14ac:dyDescent="0.3">
      <c r="A132" s="420"/>
      <c r="B132" s="522" t="s">
        <v>40</v>
      </c>
      <c r="C132" s="522"/>
      <c r="D132" s="522"/>
      <c r="E132" s="522"/>
      <c r="F132" s="522"/>
      <c r="G132" s="522"/>
      <c r="H132" s="522"/>
      <c r="I132" s="522"/>
      <c r="J132" s="522"/>
      <c r="K132" s="522"/>
      <c r="L132" s="522"/>
      <c r="M132" s="522"/>
      <c r="N132" s="522"/>
      <c r="O132" s="522"/>
      <c r="P132" s="522"/>
      <c r="Q132" s="522"/>
      <c r="R132" s="522"/>
      <c r="S132" s="522"/>
      <c r="T132" s="562">
        <f>SUM(T121:T131)</f>
        <v>-15655</v>
      </c>
      <c r="U132" s="562"/>
      <c r="V132" s="562">
        <f>SUM(V101:V129)</f>
        <v>-4680</v>
      </c>
      <c r="W132" s="524"/>
      <c r="X132" s="405"/>
    </row>
    <row r="133" spans="1:24" x14ac:dyDescent="0.3">
      <c r="A133" s="420"/>
      <c r="B133" s="522" t="s">
        <v>41</v>
      </c>
      <c r="C133" s="522"/>
      <c r="D133" s="522"/>
      <c r="E133" s="522"/>
      <c r="F133" s="522"/>
      <c r="G133" s="522"/>
      <c r="H133" s="522"/>
      <c r="I133" s="522"/>
      <c r="J133" s="522"/>
      <c r="K133" s="522"/>
      <c r="L133" s="522"/>
      <c r="M133" s="522"/>
      <c r="N133" s="522"/>
      <c r="O133" s="522"/>
      <c r="P133" s="522"/>
      <c r="Q133" s="522"/>
      <c r="R133" s="522"/>
      <c r="S133" s="522"/>
      <c r="T133" s="562">
        <f>T100+T132+T114</f>
        <v>0</v>
      </c>
      <c r="U133" s="562"/>
      <c r="V133" s="562">
        <f>V100+V132</f>
        <v>0</v>
      </c>
      <c r="W133" s="524"/>
      <c r="X133" s="405"/>
    </row>
    <row r="134" spans="1:24" x14ac:dyDescent="0.3">
      <c r="A134" s="407"/>
      <c r="B134" s="552"/>
      <c r="C134" s="552"/>
      <c r="D134" s="552"/>
      <c r="E134" s="552"/>
      <c r="F134" s="552"/>
      <c r="G134" s="552"/>
      <c r="H134" s="552"/>
      <c r="I134" s="552"/>
      <c r="J134" s="552"/>
      <c r="K134" s="552"/>
      <c r="L134" s="552"/>
      <c r="M134" s="552"/>
      <c r="N134" s="552"/>
      <c r="O134" s="552"/>
      <c r="P134" s="552"/>
      <c r="Q134" s="552"/>
      <c r="R134" s="552"/>
      <c r="S134" s="552"/>
      <c r="T134" s="567"/>
      <c r="U134" s="567"/>
      <c r="V134" s="567"/>
      <c r="W134" s="552"/>
      <c r="X134" s="405"/>
    </row>
    <row r="135" spans="1:24" x14ac:dyDescent="0.3">
      <c r="A135" s="407"/>
      <c r="B135" s="510"/>
      <c r="C135" s="510"/>
      <c r="D135" s="510"/>
      <c r="E135" s="510"/>
      <c r="F135" s="510"/>
      <c r="G135" s="510"/>
      <c r="H135" s="510"/>
      <c r="I135" s="510"/>
      <c r="J135" s="510"/>
      <c r="K135" s="510"/>
      <c r="L135" s="510"/>
      <c r="M135" s="510"/>
      <c r="N135" s="510"/>
      <c r="O135" s="510"/>
      <c r="P135" s="510"/>
      <c r="Q135" s="510"/>
      <c r="R135" s="510"/>
      <c r="S135" s="510"/>
      <c r="T135" s="510"/>
      <c r="U135" s="510"/>
      <c r="V135" s="568"/>
      <c r="W135" s="510"/>
      <c r="X135" s="405"/>
    </row>
    <row r="136" spans="1:24" ht="18.600000000000001" thickBot="1" x14ac:dyDescent="0.4">
      <c r="A136" s="430"/>
      <c r="B136" s="558" t="str">
        <f>B64</f>
        <v>PM12 INVESTOR REPORT QUARTER ENDING JANUARY 2018</v>
      </c>
      <c r="C136" s="559"/>
      <c r="D136" s="559"/>
      <c r="E136" s="559"/>
      <c r="F136" s="559"/>
      <c r="G136" s="559"/>
      <c r="H136" s="559"/>
      <c r="I136" s="559"/>
      <c r="J136" s="559"/>
      <c r="K136" s="559"/>
      <c r="L136" s="559"/>
      <c r="M136" s="559"/>
      <c r="N136" s="559"/>
      <c r="O136" s="559"/>
      <c r="P136" s="559"/>
      <c r="Q136" s="559"/>
      <c r="R136" s="559"/>
      <c r="S136" s="559"/>
      <c r="T136" s="559"/>
      <c r="U136" s="559"/>
      <c r="V136" s="569"/>
      <c r="W136" s="561"/>
      <c r="X136" s="405"/>
    </row>
    <row r="137" spans="1:24" x14ac:dyDescent="0.3">
      <c r="A137" s="444"/>
      <c r="B137" s="445" t="s">
        <v>42</v>
      </c>
      <c r="C137" s="446"/>
      <c r="D137" s="446"/>
      <c r="E137" s="446"/>
      <c r="F137" s="446"/>
      <c r="G137" s="446"/>
      <c r="H137" s="446"/>
      <c r="I137" s="446"/>
      <c r="J137" s="446"/>
      <c r="K137" s="446"/>
      <c r="L137" s="446"/>
      <c r="M137" s="446"/>
      <c r="N137" s="446"/>
      <c r="O137" s="446"/>
      <c r="P137" s="446"/>
      <c r="Q137" s="446"/>
      <c r="R137" s="446"/>
      <c r="S137" s="446"/>
      <c r="T137" s="446"/>
      <c r="U137" s="446"/>
      <c r="V137" s="447"/>
      <c r="W137" s="446"/>
      <c r="X137" s="405"/>
    </row>
    <row r="138" spans="1:24" x14ac:dyDescent="0.3">
      <c r="A138" s="407"/>
      <c r="B138" s="448"/>
      <c r="C138" s="409"/>
      <c r="D138" s="409"/>
      <c r="E138" s="409"/>
      <c r="F138" s="409"/>
      <c r="G138" s="409"/>
      <c r="H138" s="409"/>
      <c r="I138" s="409"/>
      <c r="J138" s="409"/>
      <c r="K138" s="409"/>
      <c r="L138" s="409"/>
      <c r="M138" s="409"/>
      <c r="N138" s="409"/>
      <c r="O138" s="409"/>
      <c r="P138" s="409"/>
      <c r="Q138" s="409"/>
      <c r="R138" s="409"/>
      <c r="S138" s="409"/>
      <c r="T138" s="409"/>
      <c r="U138" s="409"/>
      <c r="V138" s="433"/>
      <c r="W138" s="409"/>
      <c r="X138" s="405"/>
    </row>
    <row r="139" spans="1:24" x14ac:dyDescent="0.3">
      <c r="A139" s="407"/>
      <c r="B139" s="502" t="s">
        <v>43</v>
      </c>
      <c r="C139" s="409"/>
      <c r="D139" s="409"/>
      <c r="E139" s="409"/>
      <c r="F139" s="409"/>
      <c r="G139" s="409"/>
      <c r="H139" s="409"/>
      <c r="I139" s="409"/>
      <c r="J139" s="409"/>
      <c r="K139" s="409"/>
      <c r="L139" s="409"/>
      <c r="M139" s="409"/>
      <c r="N139" s="409"/>
      <c r="O139" s="409"/>
      <c r="P139" s="409"/>
      <c r="Q139" s="409"/>
      <c r="R139" s="409"/>
      <c r="S139" s="409"/>
      <c r="T139" s="409"/>
      <c r="U139" s="409"/>
      <c r="V139" s="433"/>
      <c r="W139" s="409"/>
      <c r="X139" s="405"/>
    </row>
    <row r="140" spans="1:24" s="513" customFormat="1" x14ac:dyDescent="0.3">
      <c r="A140" s="521"/>
      <c r="B140" s="522" t="s">
        <v>44</v>
      </c>
      <c r="C140" s="522"/>
      <c r="D140" s="522"/>
      <c r="E140" s="522"/>
      <c r="F140" s="522"/>
      <c r="G140" s="522"/>
      <c r="H140" s="522"/>
      <c r="I140" s="522"/>
      <c r="J140" s="522"/>
      <c r="K140" s="522"/>
      <c r="L140" s="522"/>
      <c r="M140" s="522"/>
      <c r="N140" s="522"/>
      <c r="O140" s="522"/>
      <c r="P140" s="522"/>
      <c r="Q140" s="522"/>
      <c r="R140" s="522"/>
      <c r="S140" s="522"/>
      <c r="T140" s="522"/>
      <c r="U140" s="522"/>
      <c r="V140" s="563">
        <f>+V34*0.019</f>
        <v>28503.895</v>
      </c>
      <c r="W140" s="524"/>
      <c r="X140" s="512"/>
    </row>
    <row r="141" spans="1:24" s="513" customFormat="1" x14ac:dyDescent="0.3">
      <c r="A141" s="521"/>
      <c r="B141" s="522" t="s">
        <v>45</v>
      </c>
      <c r="C141" s="522"/>
      <c r="D141" s="522"/>
      <c r="E141" s="522"/>
      <c r="F141" s="522"/>
      <c r="G141" s="522"/>
      <c r="H141" s="522"/>
      <c r="I141" s="522"/>
      <c r="J141" s="522"/>
      <c r="K141" s="522"/>
      <c r="L141" s="522"/>
      <c r="M141" s="522"/>
      <c r="N141" s="522"/>
      <c r="O141" s="522"/>
      <c r="P141" s="522"/>
      <c r="Q141" s="522"/>
      <c r="R141" s="522"/>
      <c r="S141" s="522"/>
      <c r="T141" s="522"/>
      <c r="U141" s="522"/>
      <c r="V141" s="563">
        <v>28504</v>
      </c>
      <c r="W141" s="524"/>
      <c r="X141" s="512"/>
    </row>
    <row r="142" spans="1:24" s="513" customFormat="1" x14ac:dyDescent="0.3">
      <c r="A142" s="521"/>
      <c r="B142" s="522" t="s">
        <v>141</v>
      </c>
      <c r="C142" s="522"/>
      <c r="D142" s="522"/>
      <c r="E142" s="522"/>
      <c r="F142" s="522"/>
      <c r="G142" s="522"/>
      <c r="H142" s="522"/>
      <c r="I142" s="522"/>
      <c r="J142" s="522"/>
      <c r="K142" s="522"/>
      <c r="L142" s="522"/>
      <c r="M142" s="522"/>
      <c r="N142" s="522"/>
      <c r="O142" s="522"/>
      <c r="P142" s="522"/>
      <c r="Q142" s="522"/>
      <c r="R142" s="522"/>
      <c r="S142" s="522"/>
      <c r="T142" s="522"/>
      <c r="U142" s="522"/>
      <c r="V142" s="563">
        <v>0</v>
      </c>
      <c r="W142" s="524"/>
      <c r="X142" s="512"/>
    </row>
    <row r="143" spans="1:24" s="513" customFormat="1" x14ac:dyDescent="0.3">
      <c r="A143" s="521"/>
      <c r="B143" s="522" t="s">
        <v>128</v>
      </c>
      <c r="C143" s="522"/>
      <c r="D143" s="522"/>
      <c r="E143" s="522"/>
      <c r="F143" s="522"/>
      <c r="G143" s="522"/>
      <c r="H143" s="522"/>
      <c r="I143" s="522"/>
      <c r="J143" s="522"/>
      <c r="K143" s="522"/>
      <c r="L143" s="522"/>
      <c r="M143" s="522"/>
      <c r="N143" s="522"/>
      <c r="O143" s="522"/>
      <c r="P143" s="522"/>
      <c r="Q143" s="522"/>
      <c r="R143" s="522"/>
      <c r="S143" s="522"/>
      <c r="T143" s="522"/>
      <c r="U143" s="522"/>
      <c r="V143" s="563">
        <v>0</v>
      </c>
      <c r="W143" s="524"/>
      <c r="X143" s="512"/>
    </row>
    <row r="144" spans="1:24" s="513" customFormat="1" x14ac:dyDescent="0.3">
      <c r="A144" s="521"/>
      <c r="B144" s="522" t="s">
        <v>129</v>
      </c>
      <c r="C144" s="522"/>
      <c r="D144" s="522"/>
      <c r="E144" s="522"/>
      <c r="F144" s="522"/>
      <c r="G144" s="522"/>
      <c r="H144" s="522"/>
      <c r="I144" s="522"/>
      <c r="J144" s="522"/>
      <c r="K144" s="522"/>
      <c r="L144" s="522"/>
      <c r="M144" s="522"/>
      <c r="N144" s="522"/>
      <c r="O144" s="522"/>
      <c r="P144" s="522"/>
      <c r="Q144" s="522"/>
      <c r="R144" s="522"/>
      <c r="S144" s="522"/>
      <c r="T144" s="522"/>
      <c r="U144" s="522"/>
      <c r="V144" s="563">
        <v>0</v>
      </c>
      <c r="W144" s="524"/>
      <c r="X144" s="512"/>
    </row>
    <row r="145" spans="1:25" s="513" customFormat="1" x14ac:dyDescent="0.3">
      <c r="A145" s="521"/>
      <c r="B145" s="522" t="s">
        <v>181</v>
      </c>
      <c r="C145" s="522"/>
      <c r="D145" s="522"/>
      <c r="E145" s="522"/>
      <c r="F145" s="522"/>
      <c r="G145" s="522"/>
      <c r="H145" s="522"/>
      <c r="I145" s="522"/>
      <c r="J145" s="522"/>
      <c r="K145" s="522"/>
      <c r="L145" s="522"/>
      <c r="M145" s="522"/>
      <c r="N145" s="522"/>
      <c r="O145" s="522"/>
      <c r="P145" s="522"/>
      <c r="Q145" s="522"/>
      <c r="R145" s="522"/>
      <c r="S145" s="522"/>
      <c r="T145" s="522"/>
      <c r="U145" s="522"/>
      <c r="V145" s="563">
        <v>0</v>
      </c>
      <c r="W145" s="524"/>
      <c r="X145" s="512"/>
    </row>
    <row r="146" spans="1:25" s="513" customFormat="1" x14ac:dyDescent="0.3">
      <c r="A146" s="521"/>
      <c r="B146" s="522" t="s">
        <v>46</v>
      </c>
      <c r="C146" s="522"/>
      <c r="D146" s="522"/>
      <c r="E146" s="522"/>
      <c r="F146" s="522"/>
      <c r="G146" s="522"/>
      <c r="H146" s="522"/>
      <c r="I146" s="522"/>
      <c r="J146" s="522"/>
      <c r="K146" s="522"/>
      <c r="L146" s="522"/>
      <c r="M146" s="522"/>
      <c r="N146" s="522"/>
      <c r="O146" s="522"/>
      <c r="P146" s="522"/>
      <c r="Q146" s="522"/>
      <c r="R146" s="522"/>
      <c r="S146" s="522"/>
      <c r="T146" s="522"/>
      <c r="U146" s="522"/>
      <c r="V146" s="563">
        <v>0</v>
      </c>
      <c r="W146" s="524"/>
      <c r="X146" s="512"/>
    </row>
    <row r="147" spans="1:25" s="513" customFormat="1" x14ac:dyDescent="0.3">
      <c r="A147" s="521"/>
      <c r="B147" s="522" t="s">
        <v>134</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5" s="513" customFormat="1" x14ac:dyDescent="0.3">
      <c r="A148" s="521"/>
      <c r="B148" s="522" t="s">
        <v>230</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c r="Y148" s="570"/>
    </row>
    <row r="149" spans="1:25" s="513" customFormat="1" x14ac:dyDescent="0.3">
      <c r="A149" s="521"/>
      <c r="B149" s="522" t="s">
        <v>47</v>
      </c>
      <c r="C149" s="522"/>
      <c r="D149" s="522"/>
      <c r="E149" s="522"/>
      <c r="F149" s="522"/>
      <c r="G149" s="522"/>
      <c r="H149" s="522"/>
      <c r="I149" s="522"/>
      <c r="J149" s="522"/>
      <c r="K149" s="522"/>
      <c r="L149" s="522"/>
      <c r="M149" s="522"/>
      <c r="N149" s="522"/>
      <c r="O149" s="522"/>
      <c r="P149" s="522"/>
      <c r="Q149" s="522"/>
      <c r="R149" s="522"/>
      <c r="S149" s="522"/>
      <c r="T149" s="522"/>
      <c r="U149" s="522"/>
      <c r="V149" s="563">
        <f>SUM(V141:V148)</f>
        <v>28504</v>
      </c>
      <c r="W149" s="524"/>
      <c r="X149" s="512"/>
    </row>
    <row r="150" spans="1:25" x14ac:dyDescent="0.3">
      <c r="A150" s="420"/>
      <c r="B150" s="424"/>
      <c r="C150" s="424"/>
      <c r="D150" s="424"/>
      <c r="E150" s="424"/>
      <c r="F150" s="424"/>
      <c r="G150" s="424"/>
      <c r="H150" s="424"/>
      <c r="I150" s="424"/>
      <c r="J150" s="424"/>
      <c r="K150" s="424"/>
      <c r="L150" s="424"/>
      <c r="M150" s="424"/>
      <c r="N150" s="424"/>
      <c r="O150" s="424"/>
      <c r="P150" s="424"/>
      <c r="Q150" s="424"/>
      <c r="R150" s="424"/>
      <c r="S150" s="424"/>
      <c r="T150" s="424"/>
      <c r="U150" s="424"/>
      <c r="V150" s="440"/>
      <c r="W150" s="426"/>
      <c r="X150" s="405"/>
    </row>
    <row r="151" spans="1:25" x14ac:dyDescent="0.3">
      <c r="A151" s="420"/>
      <c r="B151" s="501" t="s">
        <v>269</v>
      </c>
      <c r="C151" s="424"/>
      <c r="D151" s="424"/>
      <c r="E151" s="424"/>
      <c r="F151" s="424"/>
      <c r="G151" s="424"/>
      <c r="H151" s="424"/>
      <c r="I151" s="424"/>
      <c r="J151" s="424"/>
      <c r="K151" s="424"/>
      <c r="L151" s="424"/>
      <c r="M151" s="424"/>
      <c r="N151" s="424"/>
      <c r="O151" s="424"/>
      <c r="P151" s="424"/>
      <c r="Q151" s="424"/>
      <c r="R151" s="424"/>
      <c r="S151" s="424"/>
      <c r="T151" s="424"/>
      <c r="U151" s="424"/>
      <c r="V151" s="440"/>
      <c r="W151" s="426"/>
      <c r="X151" s="405"/>
    </row>
    <row r="152" spans="1:25" s="513" customFormat="1" x14ac:dyDescent="0.3">
      <c r="A152" s="521"/>
      <c r="B152" s="522" t="s">
        <v>160</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5" s="513" customFormat="1" x14ac:dyDescent="0.3">
      <c r="A153" s="521"/>
      <c r="B153" s="522" t="s">
        <v>178</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row>
    <row r="154" spans="1:25" s="513" customFormat="1" x14ac:dyDescent="0.3">
      <c r="A154" s="521"/>
      <c r="B154" s="522" t="s">
        <v>270</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row>
    <row r="155" spans="1:25" x14ac:dyDescent="0.3">
      <c r="A155" s="420"/>
      <c r="B155" s="424"/>
      <c r="C155" s="424"/>
      <c r="D155" s="424"/>
      <c r="E155" s="424"/>
      <c r="F155" s="424"/>
      <c r="G155" s="424"/>
      <c r="H155" s="424"/>
      <c r="I155" s="424"/>
      <c r="J155" s="424"/>
      <c r="K155" s="424"/>
      <c r="L155" s="424"/>
      <c r="M155" s="424"/>
      <c r="N155" s="424"/>
      <c r="O155" s="424"/>
      <c r="P155" s="424"/>
      <c r="Q155" s="424"/>
      <c r="R155" s="424"/>
      <c r="S155" s="424"/>
      <c r="T155" s="424"/>
      <c r="U155" s="424"/>
      <c r="V155" s="440"/>
      <c r="W155" s="426"/>
      <c r="X155" s="405"/>
    </row>
    <row r="156" spans="1:25" x14ac:dyDescent="0.3">
      <c r="A156" s="407"/>
      <c r="B156" s="429"/>
      <c r="C156" s="429"/>
      <c r="D156" s="429"/>
      <c r="E156" s="429"/>
      <c r="F156" s="429"/>
      <c r="G156" s="429"/>
      <c r="H156" s="429"/>
      <c r="I156" s="429"/>
      <c r="J156" s="429"/>
      <c r="K156" s="429"/>
      <c r="L156" s="429"/>
      <c r="M156" s="429"/>
      <c r="N156" s="429"/>
      <c r="O156" s="429"/>
      <c r="P156" s="429"/>
      <c r="Q156" s="429"/>
      <c r="R156" s="429"/>
      <c r="S156" s="429"/>
      <c r="T156" s="429"/>
      <c r="U156" s="429"/>
      <c r="V156" s="449"/>
      <c r="W156" s="429"/>
      <c r="X156" s="405"/>
    </row>
    <row r="157" spans="1:25" x14ac:dyDescent="0.3">
      <c r="A157" s="407"/>
      <c r="B157" s="502" t="s">
        <v>24</v>
      </c>
      <c r="C157" s="409"/>
      <c r="D157" s="409"/>
      <c r="E157" s="409"/>
      <c r="F157" s="409"/>
      <c r="G157" s="409"/>
      <c r="H157" s="409"/>
      <c r="I157" s="409"/>
      <c r="J157" s="409"/>
      <c r="K157" s="409"/>
      <c r="L157" s="409"/>
      <c r="M157" s="409"/>
      <c r="N157" s="409"/>
      <c r="O157" s="409"/>
      <c r="P157" s="409"/>
      <c r="Q157" s="409"/>
      <c r="R157" s="409"/>
      <c r="S157" s="409"/>
      <c r="T157" s="409"/>
      <c r="U157" s="409"/>
      <c r="V157" s="433"/>
      <c r="W157" s="409"/>
      <c r="X157" s="405"/>
    </row>
    <row r="158" spans="1:25" s="513" customFormat="1" x14ac:dyDescent="0.3">
      <c r="A158" s="521"/>
      <c r="B158" s="522" t="s">
        <v>48</v>
      </c>
      <c r="C158" s="522"/>
      <c r="D158" s="522"/>
      <c r="E158" s="522"/>
      <c r="F158" s="522"/>
      <c r="G158" s="522"/>
      <c r="H158" s="522"/>
      <c r="I158" s="522"/>
      <c r="J158" s="522"/>
      <c r="K158" s="522"/>
      <c r="L158" s="522"/>
      <c r="M158" s="522"/>
      <c r="N158" s="522"/>
      <c r="O158" s="522"/>
      <c r="P158" s="522"/>
      <c r="Q158" s="522"/>
      <c r="R158" s="522"/>
      <c r="S158" s="522"/>
      <c r="T158" s="522"/>
      <c r="U158" s="522"/>
      <c r="V158" s="571" t="s">
        <v>123</v>
      </c>
      <c r="W158" s="524"/>
      <c r="X158" s="512"/>
    </row>
    <row r="159" spans="1:25" s="513" customFormat="1" x14ac:dyDescent="0.3">
      <c r="A159" s="521"/>
      <c r="B159" s="522" t="s">
        <v>49</v>
      </c>
      <c r="C159" s="522"/>
      <c r="D159" s="522"/>
      <c r="E159" s="522"/>
      <c r="F159" s="522"/>
      <c r="G159" s="522"/>
      <c r="H159" s="522"/>
      <c r="I159" s="522"/>
      <c r="J159" s="522"/>
      <c r="K159" s="522"/>
      <c r="L159" s="522"/>
      <c r="M159" s="522"/>
      <c r="N159" s="522"/>
      <c r="O159" s="522"/>
      <c r="P159" s="522"/>
      <c r="Q159" s="522"/>
      <c r="R159" s="522"/>
      <c r="S159" s="522"/>
      <c r="T159" s="522"/>
      <c r="U159" s="522"/>
      <c r="V159" s="571" t="s">
        <v>123</v>
      </c>
      <c r="W159" s="524"/>
      <c r="X159" s="512"/>
    </row>
    <row r="160" spans="1:25" s="513" customFormat="1" x14ac:dyDescent="0.3">
      <c r="A160" s="521"/>
      <c r="B160" s="522" t="s">
        <v>50</v>
      </c>
      <c r="C160" s="522"/>
      <c r="D160" s="522"/>
      <c r="E160" s="522"/>
      <c r="F160" s="522"/>
      <c r="G160" s="522"/>
      <c r="H160" s="522"/>
      <c r="I160" s="522"/>
      <c r="J160" s="522"/>
      <c r="K160" s="522"/>
      <c r="L160" s="522"/>
      <c r="M160" s="522"/>
      <c r="N160" s="522"/>
      <c r="O160" s="522"/>
      <c r="P160" s="522"/>
      <c r="Q160" s="522"/>
      <c r="R160" s="522"/>
      <c r="S160" s="522"/>
      <c r="T160" s="522"/>
      <c r="U160" s="522"/>
      <c r="V160" s="571" t="s">
        <v>123</v>
      </c>
      <c r="W160" s="524"/>
      <c r="X160" s="512"/>
    </row>
    <row r="161" spans="1:24" s="513" customFormat="1" x14ac:dyDescent="0.3">
      <c r="A161" s="521"/>
      <c r="B161" s="522" t="s">
        <v>51</v>
      </c>
      <c r="C161" s="522"/>
      <c r="D161" s="522"/>
      <c r="E161" s="522"/>
      <c r="F161" s="522"/>
      <c r="G161" s="522"/>
      <c r="H161" s="522"/>
      <c r="I161" s="522"/>
      <c r="J161" s="522"/>
      <c r="K161" s="522"/>
      <c r="L161" s="522"/>
      <c r="M161" s="522"/>
      <c r="N161" s="522"/>
      <c r="O161" s="522"/>
      <c r="P161" s="522"/>
      <c r="Q161" s="522"/>
      <c r="R161" s="522"/>
      <c r="S161" s="522"/>
      <c r="T161" s="522"/>
      <c r="U161" s="522"/>
      <c r="V161" s="571" t="s">
        <v>123</v>
      </c>
      <c r="W161" s="524"/>
      <c r="X161" s="512"/>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52</v>
      </c>
      <c r="C163" s="409"/>
      <c r="D163" s="409"/>
      <c r="E163" s="409"/>
      <c r="F163" s="409"/>
      <c r="G163" s="409"/>
      <c r="H163" s="409"/>
      <c r="I163" s="409"/>
      <c r="J163" s="409"/>
      <c r="K163" s="409"/>
      <c r="L163" s="409"/>
      <c r="M163" s="409"/>
      <c r="N163" s="409"/>
      <c r="O163" s="409"/>
      <c r="P163" s="409"/>
      <c r="Q163" s="409"/>
      <c r="R163" s="409"/>
      <c r="S163" s="409"/>
      <c r="T163" s="409"/>
      <c r="U163" s="409"/>
      <c r="V163" s="450"/>
      <c r="W163" s="409"/>
      <c r="X163" s="405"/>
    </row>
    <row r="164" spans="1:24" s="513" customFormat="1" x14ac:dyDescent="0.3">
      <c r="A164" s="521"/>
      <c r="B164" s="522" t="s">
        <v>53</v>
      </c>
      <c r="C164" s="522"/>
      <c r="D164" s="522"/>
      <c r="E164" s="522"/>
      <c r="F164" s="522"/>
      <c r="G164" s="522"/>
      <c r="H164" s="522"/>
      <c r="I164" s="522"/>
      <c r="J164" s="522"/>
      <c r="K164" s="522"/>
      <c r="L164" s="522"/>
      <c r="M164" s="522"/>
      <c r="N164" s="522"/>
      <c r="O164" s="522"/>
      <c r="P164" s="522"/>
      <c r="Q164" s="522"/>
      <c r="R164" s="522"/>
      <c r="S164" s="522"/>
      <c r="T164" s="522"/>
      <c r="U164" s="522"/>
      <c r="V164" s="563">
        <v>0</v>
      </c>
      <c r="W164" s="524"/>
      <c r="X164" s="512"/>
    </row>
    <row r="165" spans="1:24" s="513" customFormat="1" x14ac:dyDescent="0.3">
      <c r="A165" s="521"/>
      <c r="B165" s="522" t="s">
        <v>54</v>
      </c>
      <c r="C165" s="522"/>
      <c r="D165" s="522"/>
      <c r="E165" s="522"/>
      <c r="F165" s="522"/>
      <c r="G165" s="522"/>
      <c r="H165" s="522"/>
      <c r="I165" s="522"/>
      <c r="J165" s="522"/>
      <c r="K165" s="522"/>
      <c r="L165" s="522"/>
      <c r="M165" s="522"/>
      <c r="N165" s="522"/>
      <c r="O165" s="522"/>
      <c r="P165" s="522"/>
      <c r="Q165" s="522"/>
      <c r="R165" s="522"/>
      <c r="S165" s="522"/>
      <c r="T165" s="522"/>
      <c r="U165" s="522"/>
      <c r="V165" s="563">
        <f>-V114</f>
        <v>80</v>
      </c>
      <c r="W165" s="524"/>
      <c r="X165" s="512"/>
    </row>
    <row r="166" spans="1:24" s="513" customFormat="1" x14ac:dyDescent="0.3">
      <c r="A166" s="521"/>
      <c r="B166" s="522" t="s">
        <v>55</v>
      </c>
      <c r="C166" s="522"/>
      <c r="D166" s="522"/>
      <c r="E166" s="522"/>
      <c r="F166" s="522"/>
      <c r="G166" s="522"/>
      <c r="H166" s="522"/>
      <c r="I166" s="522"/>
      <c r="J166" s="522"/>
      <c r="K166" s="522"/>
      <c r="L166" s="522"/>
      <c r="M166" s="522"/>
      <c r="N166" s="522"/>
      <c r="O166" s="522"/>
      <c r="P166" s="522"/>
      <c r="Q166" s="522"/>
      <c r="R166" s="522"/>
      <c r="S166" s="522"/>
      <c r="T166" s="522"/>
      <c r="U166" s="522"/>
      <c r="V166" s="563">
        <f>V165+V164</f>
        <v>80</v>
      </c>
      <c r="W166" s="524"/>
      <c r="X166" s="512"/>
    </row>
    <row r="167" spans="1:24" s="513" customFormat="1" x14ac:dyDescent="0.3">
      <c r="A167" s="521"/>
      <c r="B167" s="572" t="s">
        <v>310</v>
      </c>
      <c r="C167" s="522"/>
      <c r="D167" s="522"/>
      <c r="E167" s="522"/>
      <c r="F167" s="522"/>
      <c r="G167" s="522"/>
      <c r="H167" s="522"/>
      <c r="I167" s="522"/>
      <c r="J167" s="522"/>
      <c r="K167" s="522"/>
      <c r="L167" s="522"/>
      <c r="M167" s="522"/>
      <c r="N167" s="522"/>
      <c r="O167" s="522"/>
      <c r="P167" s="522"/>
      <c r="Q167" s="522"/>
      <c r="R167" s="522"/>
      <c r="S167" s="522"/>
      <c r="T167" s="522"/>
      <c r="U167" s="522"/>
      <c r="V167" s="563">
        <f>V114</f>
        <v>-80</v>
      </c>
      <c r="W167" s="524"/>
      <c r="X167" s="512"/>
    </row>
    <row r="168" spans="1:24" s="513" customFormat="1" x14ac:dyDescent="0.3">
      <c r="A168" s="521"/>
      <c r="B168" s="522" t="s">
        <v>56</v>
      </c>
      <c r="C168" s="522"/>
      <c r="D168" s="522"/>
      <c r="E168" s="522"/>
      <c r="F168" s="522"/>
      <c r="G168" s="522"/>
      <c r="H168" s="522"/>
      <c r="I168" s="522"/>
      <c r="J168" s="522"/>
      <c r="K168" s="522"/>
      <c r="L168" s="522"/>
      <c r="M168" s="522"/>
      <c r="N168" s="522"/>
      <c r="O168" s="522"/>
      <c r="P168" s="522"/>
      <c r="Q168" s="522"/>
      <c r="R168" s="522"/>
      <c r="S168" s="522"/>
      <c r="T168" s="522"/>
      <c r="U168" s="522"/>
      <c r="V168" s="563">
        <f>V166+V167</f>
        <v>0</v>
      </c>
      <c r="W168" s="524"/>
      <c r="X168" s="512"/>
    </row>
    <row r="169" spans="1:24" s="513" customFormat="1" x14ac:dyDescent="0.3">
      <c r="A169" s="521"/>
      <c r="B169" s="522" t="s">
        <v>282</v>
      </c>
      <c r="C169" s="522"/>
      <c r="D169" s="522"/>
      <c r="E169" s="522"/>
      <c r="F169" s="522"/>
      <c r="G169" s="522"/>
      <c r="H169" s="522"/>
      <c r="I169" s="522"/>
      <c r="J169" s="522"/>
      <c r="K169" s="522"/>
      <c r="L169" s="522"/>
      <c r="M169" s="522"/>
      <c r="N169" s="522"/>
      <c r="O169" s="522"/>
      <c r="P169" s="522"/>
      <c r="Q169" s="522"/>
      <c r="R169" s="522"/>
      <c r="S169" s="522"/>
      <c r="T169" s="522"/>
      <c r="U169" s="522"/>
      <c r="V169" s="563">
        <f>-V99</f>
        <v>89</v>
      </c>
      <c r="W169" s="524"/>
      <c r="X169" s="512"/>
    </row>
    <row r="170" spans="1:24" ht="16.2" thickBot="1" x14ac:dyDescent="0.35">
      <c r="A170" s="407"/>
      <c r="B170" s="429"/>
      <c r="C170" s="429"/>
      <c r="D170" s="429"/>
      <c r="E170" s="429"/>
      <c r="F170" s="429"/>
      <c r="G170" s="429"/>
      <c r="H170" s="429"/>
      <c r="I170" s="429"/>
      <c r="J170" s="429"/>
      <c r="K170" s="429"/>
      <c r="L170" s="429"/>
      <c r="M170" s="429"/>
      <c r="N170" s="429"/>
      <c r="O170" s="429"/>
      <c r="P170" s="429"/>
      <c r="Q170" s="429"/>
      <c r="R170" s="429"/>
      <c r="S170" s="429"/>
      <c r="T170" s="429"/>
      <c r="U170" s="429"/>
      <c r="V170" s="449"/>
      <c r="W170" s="429"/>
      <c r="X170" s="405"/>
    </row>
    <row r="171" spans="1:24" x14ac:dyDescent="0.3">
      <c r="A171" s="403"/>
      <c r="B171" s="404"/>
      <c r="C171" s="404"/>
      <c r="D171" s="404"/>
      <c r="E171" s="404"/>
      <c r="F171" s="404"/>
      <c r="G171" s="404"/>
      <c r="H171" s="404"/>
      <c r="I171" s="404"/>
      <c r="J171" s="404"/>
      <c r="K171" s="404"/>
      <c r="L171" s="404"/>
      <c r="M171" s="404"/>
      <c r="N171" s="404"/>
      <c r="O171" s="404"/>
      <c r="P171" s="404"/>
      <c r="Q171" s="404"/>
      <c r="R171" s="404"/>
      <c r="S171" s="404"/>
      <c r="T171" s="404"/>
      <c r="U171" s="404"/>
      <c r="V171" s="451"/>
      <c r="W171" s="404"/>
      <c r="X171" s="405"/>
    </row>
    <row r="172" spans="1:24" x14ac:dyDescent="0.3">
      <c r="A172" s="407"/>
      <c r="B172" s="502" t="s">
        <v>57</v>
      </c>
      <c r="C172" s="409"/>
      <c r="D172" s="409"/>
      <c r="E172" s="409"/>
      <c r="F172" s="409"/>
      <c r="G172" s="409"/>
      <c r="H172" s="409"/>
      <c r="I172" s="409"/>
      <c r="J172" s="409"/>
      <c r="K172" s="409"/>
      <c r="L172" s="409"/>
      <c r="M172" s="409"/>
      <c r="N172" s="409"/>
      <c r="O172" s="409"/>
      <c r="P172" s="409"/>
      <c r="Q172" s="409"/>
      <c r="R172" s="409"/>
      <c r="S172" s="409"/>
      <c r="T172" s="409"/>
      <c r="U172" s="409"/>
      <c r="V172" s="433"/>
      <c r="W172" s="409"/>
      <c r="X172" s="405"/>
    </row>
    <row r="173" spans="1:24" x14ac:dyDescent="0.3">
      <c r="A173" s="407"/>
      <c r="B173" s="448"/>
      <c r="C173" s="409"/>
      <c r="D173" s="409"/>
      <c r="E173" s="409"/>
      <c r="F173" s="409"/>
      <c r="G173" s="409"/>
      <c r="H173" s="409"/>
      <c r="I173" s="409"/>
      <c r="J173" s="409"/>
      <c r="K173" s="409"/>
      <c r="L173" s="409"/>
      <c r="M173" s="409"/>
      <c r="N173" s="409"/>
      <c r="O173" s="409"/>
      <c r="P173" s="409"/>
      <c r="Q173" s="409"/>
      <c r="R173" s="409"/>
      <c r="S173" s="409"/>
      <c r="T173" s="409"/>
      <c r="U173" s="409"/>
      <c r="V173" s="433"/>
      <c r="W173" s="409"/>
      <c r="X173" s="405"/>
    </row>
    <row r="174" spans="1:24" s="513" customFormat="1" x14ac:dyDescent="0.3">
      <c r="A174" s="521"/>
      <c r="B174" s="522" t="s">
        <v>58</v>
      </c>
      <c r="C174" s="522"/>
      <c r="D174" s="522"/>
      <c r="E174" s="522"/>
      <c r="F174" s="522"/>
      <c r="G174" s="522"/>
      <c r="H174" s="522"/>
      <c r="I174" s="522"/>
      <c r="J174" s="522"/>
      <c r="K174" s="522"/>
      <c r="L174" s="522"/>
      <c r="M174" s="522"/>
      <c r="N174" s="522"/>
      <c r="O174" s="522"/>
      <c r="P174" s="522"/>
      <c r="Q174" s="522"/>
      <c r="R174" s="522"/>
      <c r="S174" s="522"/>
      <c r="T174" s="522"/>
      <c r="U174" s="522"/>
      <c r="V174" s="563">
        <f>V71</f>
        <v>751989</v>
      </c>
      <c r="W174" s="524"/>
      <c r="X174" s="512"/>
    </row>
    <row r="175" spans="1:24" s="513" customFormat="1" x14ac:dyDescent="0.3">
      <c r="A175" s="521"/>
      <c r="B175" s="522" t="s">
        <v>59</v>
      </c>
      <c r="C175" s="522"/>
      <c r="D175" s="522"/>
      <c r="E175" s="522"/>
      <c r="F175" s="522"/>
      <c r="G175" s="522"/>
      <c r="H175" s="522"/>
      <c r="I175" s="522"/>
      <c r="J175" s="522"/>
      <c r="K175" s="522"/>
      <c r="L175" s="522"/>
      <c r="M175" s="522"/>
      <c r="N175" s="522"/>
      <c r="O175" s="522"/>
      <c r="P175" s="522"/>
      <c r="Q175" s="522"/>
      <c r="R175" s="522"/>
      <c r="S175" s="522"/>
      <c r="T175" s="522"/>
      <c r="U175" s="522"/>
      <c r="V175" s="563">
        <f>V84</f>
        <v>751989</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60</v>
      </c>
      <c r="C178" s="434"/>
      <c r="D178" s="434"/>
      <c r="E178" s="434"/>
      <c r="F178" s="434"/>
      <c r="G178" s="434"/>
      <c r="H178" s="452"/>
      <c r="I178" s="452"/>
      <c r="J178" s="452"/>
      <c r="K178" s="452"/>
      <c r="L178" s="452"/>
      <c r="M178" s="452"/>
      <c r="N178" s="452"/>
      <c r="O178" s="452"/>
      <c r="P178" s="452"/>
      <c r="Q178" s="452"/>
      <c r="R178" s="452"/>
      <c r="S178" s="503" t="s">
        <v>103</v>
      </c>
      <c r="T178" s="503" t="s">
        <v>182</v>
      </c>
      <c r="U178" s="411"/>
      <c r="V178" s="504" t="s">
        <v>119</v>
      </c>
      <c r="W178" s="453"/>
      <c r="X178" s="405"/>
    </row>
    <row r="179" spans="1:24" s="513" customFormat="1" x14ac:dyDescent="0.3">
      <c r="A179" s="521"/>
      <c r="B179" s="522" t="s">
        <v>61</v>
      </c>
      <c r="C179" s="522"/>
      <c r="D179" s="522"/>
      <c r="E179" s="522"/>
      <c r="F179" s="522"/>
      <c r="G179" s="522"/>
      <c r="H179" s="522"/>
      <c r="I179" s="522"/>
      <c r="J179" s="522"/>
      <c r="K179" s="522"/>
      <c r="L179" s="522"/>
      <c r="M179" s="522"/>
      <c r="N179" s="522"/>
      <c r="O179" s="522"/>
      <c r="P179" s="522"/>
      <c r="Q179" s="522"/>
      <c r="R179" s="522"/>
      <c r="S179" s="563">
        <f>+V34*0.16</f>
        <v>240032.80000000002</v>
      </c>
      <c r="T179" s="542"/>
      <c r="U179" s="522"/>
      <c r="V179" s="563"/>
      <c r="W179" s="524"/>
      <c r="X179" s="512"/>
    </row>
    <row r="180" spans="1:24" s="513" customFormat="1" x14ac:dyDescent="0.3">
      <c r="A180" s="521"/>
      <c r="B180" s="522" t="s">
        <v>62</v>
      </c>
      <c r="C180" s="522"/>
      <c r="D180" s="522"/>
      <c r="E180" s="522"/>
      <c r="F180" s="522"/>
      <c r="G180" s="522"/>
      <c r="H180" s="522"/>
      <c r="I180" s="522"/>
      <c r="J180" s="522"/>
      <c r="K180" s="522"/>
      <c r="L180" s="522"/>
      <c r="M180" s="522"/>
      <c r="N180" s="522"/>
      <c r="O180" s="522"/>
      <c r="P180" s="522"/>
      <c r="Q180" s="522"/>
      <c r="R180" s="522"/>
      <c r="S180" s="563">
        <f>+'Oct 17'!S182</f>
        <v>54918</v>
      </c>
      <c r="T180" s="563">
        <f>+'Oct 17'!T182</f>
        <v>6367</v>
      </c>
      <c r="U180" s="522"/>
      <c r="V180" s="563">
        <f>S180+T180</f>
        <v>61285</v>
      </c>
      <c r="W180" s="524"/>
      <c r="X180" s="512"/>
    </row>
    <row r="181" spans="1:24" s="513" customFormat="1" x14ac:dyDescent="0.3">
      <c r="A181" s="521"/>
      <c r="B181" s="522" t="s">
        <v>63</v>
      </c>
      <c r="C181" s="522"/>
      <c r="D181" s="522"/>
      <c r="E181" s="522"/>
      <c r="F181" s="522"/>
      <c r="G181" s="522"/>
      <c r="H181" s="522"/>
      <c r="I181" s="522"/>
      <c r="J181" s="522"/>
      <c r="K181" s="522"/>
      <c r="L181" s="522"/>
      <c r="M181" s="522"/>
      <c r="N181" s="522"/>
      <c r="O181" s="522"/>
      <c r="P181" s="522"/>
      <c r="Q181" s="522"/>
      <c r="R181" s="522"/>
      <c r="S181" s="562">
        <v>633</v>
      </c>
      <c r="T181" s="562">
        <v>0</v>
      </c>
      <c r="U181" s="522"/>
      <c r="V181" s="563">
        <f>S181+T181</f>
        <v>633</v>
      </c>
      <c r="W181" s="524"/>
      <c r="X181" s="512"/>
    </row>
    <row r="182" spans="1:24" s="513" customFormat="1" x14ac:dyDescent="0.3">
      <c r="A182" s="521"/>
      <c r="B182" s="522" t="s">
        <v>64</v>
      </c>
      <c r="C182" s="522"/>
      <c r="D182" s="522"/>
      <c r="E182" s="522"/>
      <c r="F182" s="522"/>
      <c r="G182" s="522"/>
      <c r="H182" s="522"/>
      <c r="I182" s="522"/>
      <c r="J182" s="522"/>
      <c r="K182" s="522"/>
      <c r="L182" s="522"/>
      <c r="M182" s="522"/>
      <c r="N182" s="522"/>
      <c r="O182" s="522"/>
      <c r="P182" s="522"/>
      <c r="Q182" s="522"/>
      <c r="R182" s="522"/>
      <c r="S182" s="563">
        <f>S180+S181</f>
        <v>55551</v>
      </c>
      <c r="T182" s="563">
        <f>T181+T180</f>
        <v>6367</v>
      </c>
      <c r="U182" s="522"/>
      <c r="V182" s="563">
        <f>S182+T182</f>
        <v>61918</v>
      </c>
      <c r="W182" s="524"/>
      <c r="X182" s="512"/>
    </row>
    <row r="183" spans="1:24" s="513" customFormat="1" x14ac:dyDescent="0.3">
      <c r="A183" s="521"/>
      <c r="B183" s="522" t="s">
        <v>65</v>
      </c>
      <c r="C183" s="522"/>
      <c r="D183" s="522"/>
      <c r="E183" s="522"/>
      <c r="F183" s="522"/>
      <c r="G183" s="522"/>
      <c r="H183" s="522"/>
      <c r="I183" s="522"/>
      <c r="J183" s="522"/>
      <c r="K183" s="522"/>
      <c r="L183" s="522"/>
      <c r="M183" s="522"/>
      <c r="N183" s="522"/>
      <c r="O183" s="522"/>
      <c r="P183" s="522"/>
      <c r="Q183" s="522"/>
      <c r="R183" s="522"/>
      <c r="S183" s="563">
        <f>S179-S182-T182</f>
        <v>178114.80000000002</v>
      </c>
      <c r="T183" s="542"/>
      <c r="U183" s="522"/>
      <c r="V183" s="563"/>
      <c r="W183" s="524"/>
      <c r="X183" s="512"/>
    </row>
    <row r="184" spans="1:24" ht="16.2" thickBot="1" x14ac:dyDescent="0.35">
      <c r="A184" s="407"/>
      <c r="B184" s="429"/>
      <c r="C184" s="429"/>
      <c r="D184" s="429"/>
      <c r="E184" s="429"/>
      <c r="F184" s="429"/>
      <c r="G184" s="429"/>
      <c r="H184" s="429"/>
      <c r="I184" s="429"/>
      <c r="J184" s="429"/>
      <c r="K184" s="429"/>
      <c r="L184" s="429"/>
      <c r="M184" s="429"/>
      <c r="N184" s="429"/>
      <c r="O184" s="429"/>
      <c r="P184" s="429"/>
      <c r="Q184" s="429"/>
      <c r="R184" s="429"/>
      <c r="S184" s="429"/>
      <c r="T184" s="429"/>
      <c r="U184" s="429"/>
      <c r="V184" s="449"/>
      <c r="W184" s="429"/>
      <c r="X184" s="405"/>
    </row>
    <row r="185" spans="1:24" x14ac:dyDescent="0.3">
      <c r="A185" s="403"/>
      <c r="B185" s="404"/>
      <c r="C185" s="404"/>
      <c r="D185" s="404"/>
      <c r="E185" s="404"/>
      <c r="F185" s="404"/>
      <c r="G185" s="404"/>
      <c r="H185" s="404"/>
      <c r="I185" s="404"/>
      <c r="J185" s="404"/>
      <c r="K185" s="404"/>
      <c r="L185" s="404"/>
      <c r="M185" s="404"/>
      <c r="N185" s="404"/>
      <c r="O185" s="404"/>
      <c r="P185" s="404"/>
      <c r="Q185" s="404"/>
      <c r="R185" s="404"/>
      <c r="S185" s="404"/>
      <c r="T185" s="404"/>
      <c r="U185" s="404"/>
      <c r="V185" s="451"/>
      <c r="W185" s="404"/>
      <c r="X185" s="405"/>
    </row>
    <row r="186" spans="1:24" x14ac:dyDescent="0.3">
      <c r="A186" s="407"/>
      <c r="B186" s="502" t="s">
        <v>66</v>
      </c>
      <c r="C186" s="409"/>
      <c r="D186" s="409"/>
      <c r="E186" s="409"/>
      <c r="F186" s="409"/>
      <c r="G186" s="409"/>
      <c r="H186" s="409"/>
      <c r="I186" s="409"/>
      <c r="J186" s="409"/>
      <c r="K186" s="409"/>
      <c r="L186" s="409"/>
      <c r="M186" s="409"/>
      <c r="N186" s="409"/>
      <c r="O186" s="409"/>
      <c r="P186" s="409"/>
      <c r="Q186" s="409"/>
      <c r="R186" s="409"/>
      <c r="S186" s="409"/>
      <c r="T186" s="409"/>
      <c r="U186" s="409"/>
      <c r="V186" s="454"/>
      <c r="W186" s="409"/>
      <c r="X186" s="405"/>
    </row>
    <row r="187" spans="1:24" s="513" customFormat="1" x14ac:dyDescent="0.3">
      <c r="A187" s="521"/>
      <c r="B187" s="522" t="s">
        <v>67</v>
      </c>
      <c r="C187" s="522"/>
      <c r="D187" s="522"/>
      <c r="E187" s="522"/>
      <c r="F187" s="522"/>
      <c r="G187" s="522"/>
      <c r="H187" s="522"/>
      <c r="I187" s="522"/>
      <c r="J187" s="522"/>
      <c r="K187" s="522"/>
      <c r="L187" s="522"/>
      <c r="M187" s="522"/>
      <c r="N187" s="522"/>
      <c r="O187" s="522"/>
      <c r="P187" s="522"/>
      <c r="Q187" s="522"/>
      <c r="R187" s="522"/>
      <c r="S187" s="522"/>
      <c r="T187" s="522"/>
      <c r="U187" s="522"/>
      <c r="V187" s="571">
        <f>(V100+V102+V103+V104+V105)/-(V106+V107)</f>
        <v>3.8228417266187051</v>
      </c>
      <c r="W187" s="524" t="s">
        <v>120</v>
      </c>
      <c r="X187" s="512"/>
    </row>
    <row r="188" spans="1:24" s="513" customFormat="1" x14ac:dyDescent="0.3">
      <c r="A188" s="521"/>
      <c r="B188" s="522" t="s">
        <v>68</v>
      </c>
      <c r="C188" s="522"/>
      <c r="D188" s="522"/>
      <c r="E188" s="522"/>
      <c r="F188" s="522"/>
      <c r="G188" s="522"/>
      <c r="H188" s="522"/>
      <c r="I188" s="522"/>
      <c r="J188" s="522"/>
      <c r="K188" s="522"/>
      <c r="L188" s="522"/>
      <c r="M188" s="522"/>
      <c r="N188" s="522"/>
      <c r="O188" s="522"/>
      <c r="P188" s="522"/>
      <c r="Q188" s="522"/>
      <c r="R188" s="522"/>
      <c r="S188" s="522"/>
      <c r="T188" s="522"/>
      <c r="U188" s="522"/>
      <c r="V188" s="573">
        <v>1.92</v>
      </c>
      <c r="W188" s="524" t="s">
        <v>120</v>
      </c>
      <c r="X188" s="512"/>
    </row>
    <row r="189" spans="1:24" s="513" customFormat="1" x14ac:dyDescent="0.3">
      <c r="A189" s="521"/>
      <c r="B189" s="522" t="s">
        <v>69</v>
      </c>
      <c r="C189" s="522"/>
      <c r="D189" s="522"/>
      <c r="E189" s="522"/>
      <c r="F189" s="522"/>
      <c r="G189" s="522"/>
      <c r="H189" s="522"/>
      <c r="I189" s="522"/>
      <c r="J189" s="522"/>
      <c r="K189" s="522"/>
      <c r="L189" s="522"/>
      <c r="M189" s="522"/>
      <c r="N189" s="522"/>
      <c r="O189" s="522"/>
      <c r="P189" s="522"/>
      <c r="Q189" s="522"/>
      <c r="R189" s="522"/>
      <c r="S189" s="522"/>
      <c r="T189" s="522"/>
      <c r="U189" s="522"/>
      <c r="V189" s="571">
        <f>(V100+V102+V103+V104+V105+V106+V107)/-(V108+V109)</f>
        <v>10.899305555555555</v>
      </c>
      <c r="W189" s="524" t="s">
        <v>120</v>
      </c>
      <c r="X189" s="512"/>
    </row>
    <row r="190" spans="1:24" s="513" customFormat="1" x14ac:dyDescent="0.3">
      <c r="A190" s="521"/>
      <c r="B190" s="522" t="s">
        <v>70</v>
      </c>
      <c r="C190" s="522"/>
      <c r="D190" s="522"/>
      <c r="E190" s="522"/>
      <c r="F190" s="522"/>
      <c r="G190" s="522"/>
      <c r="H190" s="522"/>
      <c r="I190" s="522"/>
      <c r="J190" s="522"/>
      <c r="K190" s="522"/>
      <c r="L190" s="522"/>
      <c r="M190" s="522"/>
      <c r="N190" s="522"/>
      <c r="O190" s="522"/>
      <c r="P190" s="522"/>
      <c r="Q190" s="522"/>
      <c r="R190" s="522"/>
      <c r="S190" s="522"/>
      <c r="T190" s="522"/>
      <c r="U190" s="522"/>
      <c r="V190" s="573">
        <v>7.49</v>
      </c>
      <c r="W190" s="524" t="s">
        <v>120</v>
      </c>
      <c r="X190" s="512"/>
    </row>
    <row r="191" spans="1:24" s="513" customFormat="1" x14ac:dyDescent="0.3">
      <c r="A191" s="521"/>
      <c r="B191" s="522" t="s">
        <v>204</v>
      </c>
      <c r="C191" s="522"/>
      <c r="D191" s="522"/>
      <c r="E191" s="522"/>
      <c r="F191" s="522"/>
      <c r="G191" s="522"/>
      <c r="H191" s="522"/>
      <c r="I191" s="522"/>
      <c r="J191" s="522"/>
      <c r="K191" s="522"/>
      <c r="L191" s="522"/>
      <c r="M191" s="522"/>
      <c r="N191" s="522"/>
      <c r="O191" s="522"/>
      <c r="P191" s="522"/>
      <c r="Q191" s="522"/>
      <c r="R191" s="522"/>
      <c r="S191" s="522"/>
      <c r="T191" s="522"/>
      <c r="U191" s="522"/>
      <c r="V191" s="571">
        <f>(V100+V102+V103+V104+V105+V106+V107+V108+V109)/-(V110+V111)</f>
        <v>8.4599406528189913</v>
      </c>
      <c r="W191" s="524" t="s">
        <v>120</v>
      </c>
      <c r="X191" s="512"/>
    </row>
    <row r="192" spans="1:24" s="513" customFormat="1" x14ac:dyDescent="0.3">
      <c r="A192" s="521"/>
      <c r="B192" s="522" t="s">
        <v>205</v>
      </c>
      <c r="C192" s="522"/>
      <c r="D192" s="522"/>
      <c r="E192" s="522"/>
      <c r="F192" s="522"/>
      <c r="G192" s="522"/>
      <c r="H192" s="522"/>
      <c r="I192" s="522"/>
      <c r="J192" s="522"/>
      <c r="K192" s="522"/>
      <c r="L192" s="522"/>
      <c r="M192" s="522"/>
      <c r="N192" s="522"/>
      <c r="O192" s="522"/>
      <c r="P192" s="522"/>
      <c r="Q192" s="522"/>
      <c r="R192" s="522"/>
      <c r="S192" s="522"/>
      <c r="T192" s="522"/>
      <c r="U192" s="522"/>
      <c r="V192" s="573">
        <v>6.9</v>
      </c>
      <c r="W192" s="524" t="s">
        <v>120</v>
      </c>
      <c r="X192" s="512"/>
    </row>
    <row r="193" spans="1:24" s="513" customFormat="1" x14ac:dyDescent="0.3">
      <c r="A193" s="521"/>
      <c r="B193" s="522"/>
      <c r="C193" s="522"/>
      <c r="D193" s="522"/>
      <c r="E193" s="522"/>
      <c r="F193" s="522"/>
      <c r="G193" s="522"/>
      <c r="H193" s="522"/>
      <c r="I193" s="522"/>
      <c r="J193" s="522"/>
      <c r="K193" s="522"/>
      <c r="L193" s="522"/>
      <c r="M193" s="522"/>
      <c r="N193" s="522"/>
      <c r="O193" s="522"/>
      <c r="P193" s="522"/>
      <c r="Q193" s="522"/>
      <c r="R193" s="522"/>
      <c r="S193" s="522"/>
      <c r="T193" s="522"/>
      <c r="U193" s="522"/>
      <c r="V193" s="522"/>
      <c r="W193" s="524"/>
      <c r="X193" s="512"/>
    </row>
    <row r="194" spans="1:24" s="513" customFormat="1" x14ac:dyDescent="0.3">
      <c r="A194" s="509"/>
      <c r="B194" s="552"/>
      <c r="C194" s="552"/>
      <c r="D194" s="552"/>
      <c r="E194" s="552"/>
      <c r="F194" s="552"/>
      <c r="G194" s="552"/>
      <c r="H194" s="552"/>
      <c r="I194" s="552"/>
      <c r="J194" s="552"/>
      <c r="K194" s="552"/>
      <c r="L194" s="552"/>
      <c r="M194" s="552"/>
      <c r="N194" s="552"/>
      <c r="O194" s="552"/>
      <c r="P194" s="552"/>
      <c r="Q194" s="552"/>
      <c r="R194" s="552"/>
      <c r="S194" s="552"/>
      <c r="T194" s="552"/>
      <c r="U194" s="552"/>
      <c r="V194" s="552"/>
      <c r="W194" s="552"/>
      <c r="X194" s="512"/>
    </row>
    <row r="195" spans="1:24" s="513" customFormat="1" x14ac:dyDescent="0.3">
      <c r="A195" s="509"/>
      <c r="B195" s="510"/>
      <c r="C195" s="510"/>
      <c r="D195" s="510"/>
      <c r="E195" s="510"/>
      <c r="F195" s="510"/>
      <c r="G195" s="510"/>
      <c r="H195" s="510"/>
      <c r="I195" s="510"/>
      <c r="J195" s="510"/>
      <c r="K195" s="510"/>
      <c r="L195" s="510"/>
      <c r="M195" s="510"/>
      <c r="N195" s="510"/>
      <c r="O195" s="510"/>
      <c r="P195" s="510"/>
      <c r="Q195" s="510"/>
      <c r="R195" s="510"/>
      <c r="S195" s="510"/>
      <c r="T195" s="510"/>
      <c r="U195" s="510"/>
      <c r="V195" s="510"/>
      <c r="W195" s="510"/>
      <c r="X195" s="512"/>
    </row>
    <row r="196" spans="1:24" s="513" customFormat="1" ht="18.600000000000001" thickBot="1" x14ac:dyDescent="0.4">
      <c r="A196" s="557"/>
      <c r="B196" s="558" t="str">
        <f>B136</f>
        <v>PM12 INVESTOR REPORT QUARTER ENDING JANUARY 2018</v>
      </c>
      <c r="C196" s="559"/>
      <c r="D196" s="559"/>
      <c r="E196" s="559"/>
      <c r="F196" s="559"/>
      <c r="G196" s="559"/>
      <c r="H196" s="559"/>
      <c r="I196" s="559"/>
      <c r="J196" s="559"/>
      <c r="K196" s="559"/>
      <c r="L196" s="559"/>
      <c r="M196" s="559"/>
      <c r="N196" s="559"/>
      <c r="O196" s="559"/>
      <c r="P196" s="559"/>
      <c r="Q196" s="559"/>
      <c r="R196" s="559"/>
      <c r="S196" s="559"/>
      <c r="T196" s="559"/>
      <c r="U196" s="559"/>
      <c r="V196" s="559"/>
      <c r="W196" s="561"/>
      <c r="X196" s="512"/>
    </row>
    <row r="197" spans="1:24" x14ac:dyDescent="0.3">
      <c r="A197" s="444"/>
      <c r="B197" s="445" t="s">
        <v>71</v>
      </c>
      <c r="C197" s="455"/>
      <c r="D197" s="455"/>
      <c r="E197" s="455"/>
      <c r="F197" s="455"/>
      <c r="G197" s="456"/>
      <c r="H197" s="456"/>
      <c r="I197" s="456"/>
      <c r="J197" s="456"/>
      <c r="K197" s="456"/>
      <c r="L197" s="456"/>
      <c r="M197" s="456"/>
      <c r="N197" s="456"/>
      <c r="O197" s="456"/>
      <c r="P197" s="456"/>
      <c r="Q197" s="456"/>
      <c r="R197" s="456"/>
      <c r="S197" s="456"/>
      <c r="T197" s="456">
        <v>43131</v>
      </c>
      <c r="U197" s="446"/>
      <c r="V197" s="446"/>
      <c r="W197" s="446"/>
      <c r="X197" s="405"/>
    </row>
    <row r="198" spans="1:24" x14ac:dyDescent="0.3">
      <c r="A198" s="457"/>
      <c r="B198" s="458"/>
      <c r="C198" s="459"/>
      <c r="D198" s="459"/>
      <c r="E198" s="459"/>
      <c r="F198" s="459"/>
      <c r="G198" s="460"/>
      <c r="H198" s="460"/>
      <c r="I198" s="460"/>
      <c r="J198" s="460"/>
      <c r="K198" s="460"/>
      <c r="L198" s="460"/>
      <c r="M198" s="460"/>
      <c r="N198" s="460"/>
      <c r="O198" s="460"/>
      <c r="P198" s="460"/>
      <c r="Q198" s="460"/>
      <c r="R198" s="460"/>
      <c r="S198" s="460"/>
      <c r="T198" s="460"/>
      <c r="U198" s="409"/>
      <c r="V198" s="409"/>
      <c r="W198" s="409"/>
      <c r="X198" s="405"/>
    </row>
    <row r="199" spans="1:24" s="513" customFormat="1" x14ac:dyDescent="0.3">
      <c r="A199" s="521"/>
      <c r="B199" s="522" t="s">
        <v>72</v>
      </c>
      <c r="C199" s="574"/>
      <c r="D199" s="574"/>
      <c r="E199" s="574"/>
      <c r="F199" s="574"/>
      <c r="G199" s="546"/>
      <c r="H199" s="546"/>
      <c r="I199" s="546"/>
      <c r="J199" s="546"/>
      <c r="K199" s="546"/>
      <c r="L199" s="546"/>
      <c r="M199" s="546"/>
      <c r="N199" s="546"/>
      <c r="O199" s="546"/>
      <c r="P199" s="546"/>
      <c r="Q199" s="546"/>
      <c r="R199" s="546"/>
      <c r="S199" s="546"/>
      <c r="T199" s="539">
        <v>5.2060000000000002E-2</v>
      </c>
      <c r="U199" s="522"/>
      <c r="V199" s="522"/>
      <c r="W199" s="524"/>
      <c r="X199" s="512"/>
    </row>
    <row r="200" spans="1:24" s="513" customFormat="1" x14ac:dyDescent="0.3">
      <c r="A200" s="521"/>
      <c r="B200" s="522" t="s">
        <v>156</v>
      </c>
      <c r="C200" s="574"/>
      <c r="D200" s="574"/>
      <c r="E200" s="574"/>
      <c r="F200" s="574"/>
      <c r="G200" s="546"/>
      <c r="H200" s="546"/>
      <c r="I200" s="546"/>
      <c r="J200" s="546"/>
      <c r="K200" s="546"/>
      <c r="L200" s="546"/>
      <c r="M200" s="546"/>
      <c r="N200" s="546"/>
      <c r="O200" s="546"/>
      <c r="P200" s="546"/>
      <c r="Q200" s="546"/>
      <c r="R200" s="546"/>
      <c r="S200" s="546"/>
      <c r="T200" s="539">
        <f>'Oct 06'!T197</f>
        <v>4.8538814772447772E-2</v>
      </c>
      <c r="U200" s="522"/>
      <c r="V200" s="522"/>
      <c r="W200" s="524"/>
      <c r="X200" s="512"/>
    </row>
    <row r="201" spans="1:24" s="513" customFormat="1" x14ac:dyDescent="0.3">
      <c r="A201" s="521"/>
      <c r="B201" s="522" t="s">
        <v>73</v>
      </c>
      <c r="C201" s="574"/>
      <c r="D201" s="574"/>
      <c r="E201" s="574"/>
      <c r="F201" s="574"/>
      <c r="G201" s="546"/>
      <c r="H201" s="546"/>
      <c r="I201" s="546"/>
      <c r="J201" s="546"/>
      <c r="K201" s="546"/>
      <c r="L201" s="546"/>
      <c r="M201" s="546"/>
      <c r="N201" s="546"/>
      <c r="O201" s="546"/>
      <c r="P201" s="546"/>
      <c r="Q201" s="546"/>
      <c r="R201" s="546"/>
      <c r="S201" s="546"/>
      <c r="T201" s="539">
        <f>T199-T200</f>
        <v>3.5211852275522301E-3</v>
      </c>
      <c r="U201" s="522"/>
      <c r="V201" s="522"/>
      <c r="W201" s="524"/>
      <c r="X201" s="512"/>
    </row>
    <row r="202" spans="1:24" s="513" customFormat="1" x14ac:dyDescent="0.3">
      <c r="A202" s="521"/>
      <c r="B202" s="522" t="s">
        <v>74</v>
      </c>
      <c r="C202" s="574"/>
      <c r="D202" s="574"/>
      <c r="E202" s="574"/>
      <c r="F202" s="574"/>
      <c r="G202" s="546"/>
      <c r="H202" s="546"/>
      <c r="I202" s="546"/>
      <c r="J202" s="546"/>
      <c r="K202" s="546"/>
      <c r="L202" s="546"/>
      <c r="M202" s="546"/>
      <c r="N202" s="546"/>
      <c r="O202" s="546"/>
      <c r="P202" s="546"/>
      <c r="Q202" s="546"/>
      <c r="R202" s="546"/>
      <c r="S202" s="546"/>
      <c r="T202" s="539">
        <v>2.2689999999999998E-2</v>
      </c>
      <c r="U202" s="522"/>
      <c r="V202" s="522"/>
      <c r="W202" s="524"/>
      <c r="X202" s="512"/>
    </row>
    <row r="203" spans="1:24" s="513" customFormat="1" x14ac:dyDescent="0.3">
      <c r="A203" s="521"/>
      <c r="B203" s="522" t="s">
        <v>225</v>
      </c>
      <c r="C203" s="574"/>
      <c r="D203" s="574"/>
      <c r="E203" s="574"/>
      <c r="F203" s="574"/>
      <c r="G203" s="546"/>
      <c r="H203" s="546"/>
      <c r="I203" s="546"/>
      <c r="J203" s="546"/>
      <c r="K203" s="546"/>
      <c r="L203" s="546"/>
      <c r="M203" s="546"/>
      <c r="N203" s="546"/>
      <c r="O203" s="546"/>
      <c r="P203" s="546"/>
      <c r="Q203" s="546"/>
      <c r="R203" s="546"/>
      <c r="S203" s="546"/>
      <c r="T203" s="539">
        <f>V43</f>
        <v>8.9866968442639285E-3</v>
      </c>
      <c r="U203" s="522"/>
      <c r="V203" s="522"/>
      <c r="W203" s="524"/>
      <c r="X203" s="512"/>
    </row>
    <row r="204" spans="1:24" s="513" customFormat="1" x14ac:dyDescent="0.3">
      <c r="A204" s="521"/>
      <c r="B204" s="522" t="s">
        <v>75</v>
      </c>
      <c r="C204" s="574"/>
      <c r="D204" s="574"/>
      <c r="E204" s="574"/>
      <c r="F204" s="574"/>
      <c r="G204" s="546"/>
      <c r="H204" s="546"/>
      <c r="I204" s="546"/>
      <c r="J204" s="546"/>
      <c r="K204" s="546"/>
      <c r="L204" s="546"/>
      <c r="M204" s="546"/>
      <c r="N204" s="546"/>
      <c r="O204" s="546"/>
      <c r="P204" s="546"/>
      <c r="Q204" s="546"/>
      <c r="R204" s="546"/>
      <c r="S204" s="546"/>
      <c r="T204" s="539">
        <f>T202-T203</f>
        <v>1.370330315573607E-2</v>
      </c>
      <c r="U204" s="522"/>
      <c r="V204" s="522"/>
      <c r="W204" s="524"/>
      <c r="X204" s="512"/>
    </row>
    <row r="205" spans="1:24" s="513" customFormat="1" x14ac:dyDescent="0.3">
      <c r="A205" s="521"/>
      <c r="B205" s="522" t="s">
        <v>271</v>
      </c>
      <c r="C205" s="574"/>
      <c r="D205" s="574"/>
      <c r="E205" s="574"/>
      <c r="F205" s="574"/>
      <c r="G205" s="546"/>
      <c r="H205" s="546"/>
      <c r="I205" s="546"/>
      <c r="J205" s="546"/>
      <c r="K205" s="546"/>
      <c r="L205" s="546"/>
      <c r="M205" s="546"/>
      <c r="N205" s="546"/>
      <c r="O205" s="546"/>
      <c r="P205" s="546"/>
      <c r="Q205" s="546"/>
      <c r="R205" s="546"/>
      <c r="S205" s="546"/>
      <c r="T205" s="539">
        <f>+V100/N71</f>
        <v>6.1016074084987047E-3</v>
      </c>
      <c r="U205" s="522"/>
      <c r="V205" s="522"/>
      <c r="W205" s="524"/>
      <c r="X205" s="512"/>
    </row>
    <row r="206" spans="1:24" s="513" customFormat="1" x14ac:dyDescent="0.3">
      <c r="A206" s="521"/>
      <c r="B206" s="522" t="s">
        <v>214</v>
      </c>
      <c r="C206" s="574"/>
      <c r="D206" s="574"/>
      <c r="E206" s="574"/>
      <c r="F206" s="574"/>
      <c r="G206" s="546"/>
      <c r="H206" s="546"/>
      <c r="I206" s="546"/>
      <c r="J206" s="546"/>
      <c r="K206" s="546"/>
      <c r="L206" s="546"/>
      <c r="M206" s="546"/>
      <c r="N206" s="546"/>
      <c r="O206" s="546"/>
      <c r="P206" s="546"/>
      <c r="Q206" s="546"/>
      <c r="R206" s="546"/>
      <c r="S206" s="546"/>
      <c r="T206" s="575">
        <v>50710</v>
      </c>
      <c r="U206" s="522"/>
      <c r="V206" s="522"/>
      <c r="W206" s="524"/>
      <c r="X206" s="512"/>
    </row>
    <row r="207" spans="1:24" s="513" customFormat="1" x14ac:dyDescent="0.3">
      <c r="A207" s="521"/>
      <c r="B207" s="522" t="s">
        <v>215</v>
      </c>
      <c r="C207" s="574"/>
      <c r="D207" s="574"/>
      <c r="E207" s="574"/>
      <c r="F207" s="574"/>
      <c r="G207" s="546"/>
      <c r="H207" s="546"/>
      <c r="I207" s="546"/>
      <c r="J207" s="546"/>
      <c r="K207" s="546"/>
      <c r="L207" s="546"/>
      <c r="M207" s="546"/>
      <c r="N207" s="546"/>
      <c r="O207" s="546"/>
      <c r="P207" s="546"/>
      <c r="Q207" s="546"/>
      <c r="R207" s="546"/>
      <c r="S207" s="546"/>
      <c r="T207" s="575">
        <v>50710</v>
      </c>
      <c r="U207" s="522"/>
      <c r="V207" s="522"/>
      <c r="W207" s="524"/>
      <c r="X207" s="512"/>
    </row>
    <row r="208" spans="1:24" s="513" customFormat="1" x14ac:dyDescent="0.3">
      <c r="A208" s="521"/>
      <c r="B208" s="522" t="s">
        <v>216</v>
      </c>
      <c r="C208" s="574"/>
      <c r="D208" s="574"/>
      <c r="E208" s="574"/>
      <c r="F208" s="574"/>
      <c r="G208" s="546"/>
      <c r="H208" s="546"/>
      <c r="I208" s="546"/>
      <c r="J208" s="546"/>
      <c r="K208" s="546"/>
      <c r="L208" s="546"/>
      <c r="M208" s="546"/>
      <c r="N208" s="546"/>
      <c r="O208" s="546"/>
      <c r="P208" s="546"/>
      <c r="Q208" s="546"/>
      <c r="R208" s="546"/>
      <c r="S208" s="546"/>
      <c r="T208" s="575">
        <v>50710</v>
      </c>
      <c r="U208" s="522"/>
      <c r="V208" s="522"/>
      <c r="W208" s="524"/>
      <c r="X208" s="512"/>
    </row>
    <row r="209" spans="1:24" s="513" customFormat="1" x14ac:dyDescent="0.3">
      <c r="A209" s="521"/>
      <c r="B209" s="522" t="s">
        <v>76</v>
      </c>
      <c r="C209" s="574"/>
      <c r="D209" s="574"/>
      <c r="E209" s="574"/>
      <c r="F209" s="574"/>
      <c r="G209" s="546"/>
      <c r="H209" s="546"/>
      <c r="I209" s="546"/>
      <c r="J209" s="546"/>
      <c r="K209" s="546"/>
      <c r="L209" s="546"/>
      <c r="M209" s="546"/>
      <c r="N209" s="546"/>
      <c r="O209" s="546"/>
      <c r="P209" s="546"/>
      <c r="Q209" s="546"/>
      <c r="R209" s="546"/>
      <c r="S209" s="546"/>
      <c r="T209" s="544">
        <v>21.06</v>
      </c>
      <c r="U209" s="522" t="s">
        <v>115</v>
      </c>
      <c r="V209" s="522"/>
      <c r="W209" s="524"/>
      <c r="X209" s="512"/>
    </row>
    <row r="210" spans="1:24" s="513" customFormat="1" x14ac:dyDescent="0.3">
      <c r="A210" s="521"/>
      <c r="B210" s="522" t="s">
        <v>77</v>
      </c>
      <c r="C210" s="574"/>
      <c r="D210" s="574"/>
      <c r="E210" s="574"/>
      <c r="F210" s="574"/>
      <c r="G210" s="546"/>
      <c r="H210" s="546"/>
      <c r="I210" s="546"/>
      <c r="J210" s="546"/>
      <c r="K210" s="546"/>
      <c r="L210" s="546"/>
      <c r="M210" s="546"/>
      <c r="N210" s="546"/>
      <c r="O210" s="546"/>
      <c r="P210" s="546"/>
      <c r="Q210" s="546"/>
      <c r="R210" s="546"/>
      <c r="S210" s="546"/>
      <c r="T210" s="544">
        <v>10.119999999999999</v>
      </c>
      <c r="U210" s="522" t="s">
        <v>115</v>
      </c>
      <c r="V210" s="522"/>
      <c r="W210" s="524"/>
      <c r="X210" s="512"/>
    </row>
    <row r="211" spans="1:24" s="513" customFormat="1" x14ac:dyDescent="0.3">
      <c r="A211" s="521"/>
      <c r="B211" s="522" t="s">
        <v>78</v>
      </c>
      <c r="C211" s="574"/>
      <c r="D211" s="574"/>
      <c r="E211" s="574"/>
      <c r="F211" s="574"/>
      <c r="G211" s="546"/>
      <c r="H211" s="546"/>
      <c r="I211" s="546"/>
      <c r="J211" s="546"/>
      <c r="K211" s="546"/>
      <c r="L211" s="546"/>
      <c r="M211" s="546"/>
      <c r="N211" s="546"/>
      <c r="O211" s="546"/>
      <c r="P211" s="546"/>
      <c r="Q211" s="546"/>
      <c r="R211" s="546"/>
      <c r="S211" s="546"/>
      <c r="T211" s="539">
        <f>P68/N68</f>
        <v>2.0410398286334876E-2</v>
      </c>
      <c r="U211" s="522"/>
      <c r="V211" s="522"/>
      <c r="W211" s="524"/>
      <c r="X211" s="512"/>
    </row>
    <row r="212" spans="1:24" s="513" customFormat="1" x14ac:dyDescent="0.3">
      <c r="A212" s="521"/>
      <c r="B212" s="522" t="s">
        <v>79</v>
      </c>
      <c r="C212" s="574"/>
      <c r="D212" s="574"/>
      <c r="E212" s="574"/>
      <c r="F212" s="574"/>
      <c r="G212" s="546"/>
      <c r="H212" s="546"/>
      <c r="I212" s="546"/>
      <c r="J212" s="546"/>
      <c r="K212" s="546"/>
      <c r="L212" s="546"/>
      <c r="M212" s="546"/>
      <c r="N212" s="546"/>
      <c r="O212" s="546"/>
      <c r="P212" s="546"/>
      <c r="Q212" s="546"/>
      <c r="R212" s="546"/>
      <c r="S212" s="546"/>
      <c r="T212" s="539">
        <v>6.2199999999999998E-2</v>
      </c>
      <c r="U212" s="522"/>
      <c r="V212" s="522"/>
      <c r="W212" s="524"/>
      <c r="X212" s="512"/>
    </row>
    <row r="213" spans="1:24" x14ac:dyDescent="0.3">
      <c r="A213" s="457"/>
      <c r="B213" s="461"/>
      <c r="C213" s="461"/>
      <c r="D213" s="461"/>
      <c r="E213" s="461"/>
      <c r="F213" s="461"/>
      <c r="G213" s="429"/>
      <c r="H213" s="429"/>
      <c r="I213" s="429"/>
      <c r="J213" s="429"/>
      <c r="K213" s="429"/>
      <c r="L213" s="429"/>
      <c r="M213" s="429"/>
      <c r="N213" s="429"/>
      <c r="O213" s="429"/>
      <c r="P213" s="429"/>
      <c r="Q213" s="429"/>
      <c r="R213" s="429"/>
      <c r="S213" s="429"/>
      <c r="T213" s="449"/>
      <c r="U213" s="429"/>
      <c r="V213" s="462"/>
      <c r="W213" s="429"/>
      <c r="X213" s="405"/>
    </row>
    <row r="214" spans="1:24" x14ac:dyDescent="0.3">
      <c r="A214" s="463"/>
      <c r="B214" s="464" t="s">
        <v>80</v>
      </c>
      <c r="C214" s="465"/>
      <c r="D214" s="465"/>
      <c r="E214" s="465"/>
      <c r="F214" s="466"/>
      <c r="G214" s="465"/>
      <c r="H214" s="465"/>
      <c r="I214" s="465"/>
      <c r="J214" s="465"/>
      <c r="K214" s="465"/>
      <c r="L214" s="465"/>
      <c r="M214" s="465"/>
      <c r="N214" s="465"/>
      <c r="O214" s="465"/>
      <c r="P214" s="465"/>
      <c r="Q214" s="465"/>
      <c r="R214" s="465"/>
      <c r="S214" s="465" t="s">
        <v>104</v>
      </c>
      <c r="T214" s="466" t="s">
        <v>111</v>
      </c>
      <c r="U214" s="467"/>
      <c r="V214" s="467"/>
      <c r="W214" s="468"/>
      <c r="X214" s="405"/>
    </row>
    <row r="215" spans="1:24" x14ac:dyDescent="0.3">
      <c r="A215" s="469"/>
      <c r="B215" s="552" t="s">
        <v>81</v>
      </c>
      <c r="C215" s="567"/>
      <c r="D215" s="567"/>
      <c r="E215" s="567"/>
      <c r="F215" s="552"/>
      <c r="G215" s="552"/>
      <c r="H215" s="576"/>
      <c r="I215" s="576"/>
      <c r="J215" s="576"/>
      <c r="K215" s="576"/>
      <c r="L215" s="576"/>
      <c r="M215" s="576"/>
      <c r="N215" s="576"/>
      <c r="O215" s="576"/>
      <c r="P215" s="576"/>
      <c r="Q215" s="576"/>
      <c r="R215" s="576"/>
      <c r="S215" s="576">
        <v>0</v>
      </c>
      <c r="T215" s="577">
        <v>0</v>
      </c>
      <c r="U215" s="429"/>
      <c r="V215" s="462"/>
      <c r="W215" s="470"/>
      <c r="X215" s="405"/>
    </row>
    <row r="216" spans="1:24" x14ac:dyDescent="0.3">
      <c r="A216" s="471"/>
      <c r="B216" s="522" t="s">
        <v>150</v>
      </c>
      <c r="C216" s="562"/>
      <c r="D216" s="562"/>
      <c r="E216" s="562"/>
      <c r="F216" s="522"/>
      <c r="G216" s="522"/>
      <c r="H216" s="528"/>
      <c r="I216" s="528"/>
      <c r="J216" s="528"/>
      <c r="K216" s="528"/>
      <c r="L216" s="528"/>
      <c r="M216" s="528"/>
      <c r="N216" s="528"/>
      <c r="O216" s="528"/>
      <c r="P216" s="528"/>
      <c r="Q216" s="528"/>
      <c r="R216" s="528"/>
      <c r="S216" s="578">
        <f>+R268</f>
        <v>78</v>
      </c>
      <c r="T216" s="579">
        <f>+T268</f>
        <v>13438</v>
      </c>
      <c r="U216" s="424"/>
      <c r="V216" s="474"/>
      <c r="W216" s="475"/>
      <c r="X216" s="405"/>
    </row>
    <row r="217" spans="1:24" x14ac:dyDescent="0.3">
      <c r="A217" s="471"/>
      <c r="B217" s="522" t="s">
        <v>82</v>
      </c>
      <c r="C217" s="562"/>
      <c r="D217" s="562"/>
      <c r="E217" s="562"/>
      <c r="F217" s="522"/>
      <c r="G217" s="522"/>
      <c r="H217" s="528"/>
      <c r="I217" s="528"/>
      <c r="J217" s="528"/>
      <c r="K217" s="528"/>
      <c r="L217" s="528"/>
      <c r="M217" s="528"/>
      <c r="N217" s="528"/>
      <c r="O217" s="528"/>
      <c r="P217" s="528"/>
      <c r="Q217" s="528"/>
      <c r="R217" s="528"/>
      <c r="S217" s="578">
        <f>+R280</f>
        <v>0</v>
      </c>
      <c r="T217" s="579">
        <f>+T280</f>
        <v>0</v>
      </c>
      <c r="U217" s="424"/>
      <c r="V217" s="474"/>
      <c r="W217" s="475"/>
      <c r="X217" s="405"/>
    </row>
    <row r="218" spans="1:24" x14ac:dyDescent="0.3">
      <c r="A218" s="471"/>
      <c r="B218" s="493" t="s">
        <v>83</v>
      </c>
      <c r="C218" s="472"/>
      <c r="D218" s="472"/>
      <c r="E218" s="472"/>
      <c r="F218" s="424"/>
      <c r="G218" s="424"/>
      <c r="H218" s="424"/>
      <c r="I218" s="424"/>
      <c r="J218" s="424"/>
      <c r="K218" s="424"/>
      <c r="L218" s="424"/>
      <c r="M218" s="424"/>
      <c r="N218" s="424"/>
      <c r="O218" s="424"/>
      <c r="P218" s="424"/>
      <c r="Q218" s="424"/>
      <c r="R218" s="424"/>
      <c r="S218" s="421"/>
      <c r="T218" s="579">
        <v>0</v>
      </c>
      <c r="U218" s="424"/>
      <c r="V218" s="474"/>
      <c r="W218" s="475"/>
      <c r="X218" s="405"/>
    </row>
    <row r="219" spans="1:24" x14ac:dyDescent="0.3">
      <c r="A219" s="471"/>
      <c r="B219" s="493" t="s">
        <v>84</v>
      </c>
      <c r="C219" s="472"/>
      <c r="D219" s="472"/>
      <c r="E219" s="472"/>
      <c r="F219" s="424"/>
      <c r="G219" s="424"/>
      <c r="H219" s="424"/>
      <c r="I219" s="424"/>
      <c r="J219" s="424"/>
      <c r="K219" s="424"/>
      <c r="L219" s="424"/>
      <c r="M219" s="424"/>
      <c r="N219" s="424"/>
      <c r="O219" s="424"/>
      <c r="P219" s="424"/>
      <c r="Q219" s="424"/>
      <c r="R219" s="424"/>
      <c r="S219" s="421"/>
      <c r="T219" s="580" t="s">
        <v>112</v>
      </c>
      <c r="U219" s="424"/>
      <c r="V219" s="474"/>
      <c r="W219" s="475"/>
      <c r="X219" s="405"/>
    </row>
    <row r="220" spans="1:24" x14ac:dyDescent="0.3">
      <c r="A220" s="476"/>
      <c r="B220" s="493" t="s">
        <v>85</v>
      </c>
      <c r="C220" s="477"/>
      <c r="D220" s="477"/>
      <c r="E220" s="477"/>
      <c r="F220" s="477"/>
      <c r="G220" s="424"/>
      <c r="H220" s="424"/>
      <c r="I220" s="424"/>
      <c r="J220" s="424"/>
      <c r="K220" s="424"/>
      <c r="L220" s="424"/>
      <c r="M220" s="424"/>
      <c r="N220" s="424"/>
      <c r="O220" s="424"/>
      <c r="P220" s="424"/>
      <c r="Q220" s="424"/>
      <c r="R220" s="424"/>
      <c r="S220" s="421"/>
      <c r="T220" s="473"/>
      <c r="U220" s="424"/>
      <c r="V220" s="474"/>
      <c r="W220" s="478"/>
      <c r="X220" s="405"/>
    </row>
    <row r="221" spans="1:24" s="513" customFormat="1" x14ac:dyDescent="0.3">
      <c r="A221" s="581"/>
      <c r="B221" s="522" t="s">
        <v>86</v>
      </c>
      <c r="C221" s="522"/>
      <c r="D221" s="522"/>
      <c r="E221" s="522"/>
      <c r="F221" s="522"/>
      <c r="G221" s="522"/>
      <c r="H221" s="522"/>
      <c r="I221" s="522"/>
      <c r="J221" s="522"/>
      <c r="K221" s="522"/>
      <c r="L221" s="522"/>
      <c r="M221" s="522"/>
      <c r="N221" s="522"/>
      <c r="O221" s="522"/>
      <c r="P221" s="522"/>
      <c r="Q221" s="522"/>
      <c r="R221" s="522"/>
      <c r="S221" s="528"/>
      <c r="T221" s="579">
        <f>+V165</f>
        <v>80</v>
      </c>
      <c r="U221" s="522"/>
      <c r="V221" s="582"/>
      <c r="W221" s="583"/>
      <c r="X221" s="512"/>
    </row>
    <row r="222" spans="1:24" s="513" customFormat="1" x14ac:dyDescent="0.3">
      <c r="A222" s="584"/>
      <c r="B222" s="522" t="s">
        <v>87</v>
      </c>
      <c r="C222" s="562"/>
      <c r="D222" s="562"/>
      <c r="E222" s="562"/>
      <c r="F222" s="562"/>
      <c r="G222" s="522"/>
      <c r="H222" s="522"/>
      <c r="I222" s="522"/>
      <c r="J222" s="522"/>
      <c r="K222" s="522"/>
      <c r="L222" s="522"/>
      <c r="M222" s="522"/>
      <c r="N222" s="522"/>
      <c r="O222" s="522"/>
      <c r="P222" s="522"/>
      <c r="Q222" s="522"/>
      <c r="R222" s="522"/>
      <c r="S222" s="528"/>
      <c r="T222" s="579">
        <f>'Oct 17'!T222+'Jan 18'!T221</f>
        <v>7180</v>
      </c>
      <c r="U222" s="522"/>
      <c r="V222" s="582"/>
      <c r="W222" s="583"/>
      <c r="X222" s="512"/>
    </row>
    <row r="223" spans="1:24" x14ac:dyDescent="0.3">
      <c r="A223" s="476"/>
      <c r="B223" s="493" t="s">
        <v>292</v>
      </c>
      <c r="C223" s="477"/>
      <c r="D223" s="477"/>
      <c r="E223" s="477"/>
      <c r="F223" s="477"/>
      <c r="G223" s="424"/>
      <c r="H223" s="424"/>
      <c r="I223" s="424"/>
      <c r="J223" s="424"/>
      <c r="K223" s="424"/>
      <c r="L223" s="424"/>
      <c r="M223" s="424"/>
      <c r="N223" s="424"/>
      <c r="O223" s="424"/>
      <c r="P223" s="424"/>
      <c r="Q223" s="424"/>
      <c r="R223" s="424"/>
      <c r="S223" s="423"/>
      <c r="T223" s="473"/>
      <c r="U223" s="424"/>
      <c r="V223" s="474"/>
      <c r="W223" s="478"/>
      <c r="X223" s="405"/>
    </row>
    <row r="224" spans="1:24" s="513" customFormat="1" x14ac:dyDescent="0.3">
      <c r="A224" s="581"/>
      <c r="B224" s="522" t="s">
        <v>290</v>
      </c>
      <c r="C224" s="522"/>
      <c r="D224" s="522"/>
      <c r="E224" s="522"/>
      <c r="F224" s="522"/>
      <c r="G224" s="522"/>
      <c r="H224" s="522"/>
      <c r="I224" s="522"/>
      <c r="J224" s="522"/>
      <c r="K224" s="522"/>
      <c r="L224" s="522"/>
      <c r="M224" s="522"/>
      <c r="N224" s="522"/>
      <c r="O224" s="522"/>
      <c r="P224" s="522"/>
      <c r="Q224" s="522"/>
      <c r="R224" s="522"/>
      <c r="S224" s="528">
        <v>0</v>
      </c>
      <c r="T224" s="579">
        <v>0</v>
      </c>
      <c r="U224" s="522"/>
      <c r="V224" s="582"/>
      <c r="W224" s="583"/>
      <c r="X224" s="512"/>
    </row>
    <row r="225" spans="1:25" s="513" customFormat="1" x14ac:dyDescent="0.3">
      <c r="A225" s="584"/>
      <c r="B225" s="522" t="s">
        <v>88</v>
      </c>
      <c r="C225" s="542"/>
      <c r="D225" s="542"/>
      <c r="E225" s="542"/>
      <c r="F225" s="585"/>
      <c r="G225" s="522"/>
      <c r="H225" s="522"/>
      <c r="I225" s="522"/>
      <c r="J225" s="522"/>
      <c r="K225" s="522"/>
      <c r="L225" s="522"/>
      <c r="M225" s="522"/>
      <c r="N225" s="522"/>
      <c r="O225" s="522"/>
      <c r="P225" s="522"/>
      <c r="Q225" s="522"/>
      <c r="R225" s="522"/>
      <c r="S225" s="522"/>
      <c r="T225" s="580">
        <v>0</v>
      </c>
      <c r="U225" s="522"/>
      <c r="V225" s="582"/>
      <c r="W225" s="583"/>
      <c r="X225" s="512"/>
    </row>
    <row r="226" spans="1:25" s="513" customFormat="1" x14ac:dyDescent="0.3">
      <c r="A226" s="584"/>
      <c r="B226" s="522" t="s">
        <v>89</v>
      </c>
      <c r="C226" s="542"/>
      <c r="D226" s="542"/>
      <c r="E226" s="542"/>
      <c r="F226" s="585"/>
      <c r="G226" s="522"/>
      <c r="H226" s="522"/>
      <c r="I226" s="522"/>
      <c r="J226" s="522"/>
      <c r="K226" s="522"/>
      <c r="L226" s="522"/>
      <c r="M226" s="522"/>
      <c r="N226" s="522"/>
      <c r="O226" s="522"/>
      <c r="P226" s="522"/>
      <c r="Q226" s="522"/>
      <c r="R226" s="522"/>
      <c r="S226" s="522"/>
      <c r="T226" s="580">
        <v>0</v>
      </c>
      <c r="U226" s="522"/>
      <c r="V226" s="582"/>
      <c r="W226" s="583"/>
      <c r="X226" s="512"/>
    </row>
    <row r="227" spans="1:25" x14ac:dyDescent="0.3">
      <c r="A227" s="471"/>
      <c r="B227" s="493" t="s">
        <v>223</v>
      </c>
      <c r="C227" s="479"/>
      <c r="D227" s="479"/>
      <c r="E227" s="479"/>
      <c r="F227" s="480"/>
      <c r="G227" s="424"/>
      <c r="H227" s="424"/>
      <c r="I227" s="424"/>
      <c r="J227" s="424"/>
      <c r="K227" s="424"/>
      <c r="L227" s="424"/>
      <c r="M227" s="424"/>
      <c r="N227" s="424"/>
      <c r="O227" s="424"/>
      <c r="P227" s="424"/>
      <c r="Q227" s="424"/>
      <c r="R227" s="424"/>
      <c r="S227" s="421"/>
      <c r="T227" s="481"/>
      <c r="U227" s="424"/>
      <c r="V227" s="474"/>
      <c r="W227" s="478"/>
      <c r="X227" s="405"/>
    </row>
    <row r="228" spans="1:25" s="513" customFormat="1" x14ac:dyDescent="0.3">
      <c r="A228" s="584"/>
      <c r="B228" s="522" t="s">
        <v>290</v>
      </c>
      <c r="C228" s="542"/>
      <c r="D228" s="542"/>
      <c r="E228" s="542"/>
      <c r="F228" s="585"/>
      <c r="G228" s="522"/>
      <c r="H228" s="522"/>
      <c r="I228" s="522"/>
      <c r="J228" s="522"/>
      <c r="K228" s="522"/>
      <c r="L228" s="522"/>
      <c r="M228" s="522"/>
      <c r="N228" s="522"/>
      <c r="O228" s="522"/>
      <c r="P228" s="522"/>
      <c r="Q228" s="522"/>
      <c r="R228" s="522"/>
      <c r="S228" s="528">
        <v>7</v>
      </c>
      <c r="T228" s="579">
        <v>775</v>
      </c>
      <c r="U228" s="522"/>
      <c r="V228" s="582"/>
      <c r="W228" s="583"/>
      <c r="X228" s="512"/>
    </row>
    <row r="229" spans="1:25" s="513" customFormat="1" x14ac:dyDescent="0.3">
      <c r="A229" s="584"/>
      <c r="B229" s="522" t="s">
        <v>224</v>
      </c>
      <c r="C229" s="542"/>
      <c r="D229" s="542"/>
      <c r="E229" s="542"/>
      <c r="F229" s="585"/>
      <c r="G229" s="522"/>
      <c r="H229" s="522"/>
      <c r="I229" s="522"/>
      <c r="J229" s="522"/>
      <c r="K229" s="522"/>
      <c r="L229" s="522"/>
      <c r="M229" s="522"/>
      <c r="N229" s="522"/>
      <c r="O229" s="522"/>
      <c r="P229" s="522"/>
      <c r="Q229" s="522"/>
      <c r="R229" s="522"/>
      <c r="S229" s="522"/>
      <c r="T229" s="580">
        <v>1.1299999999999999</v>
      </c>
      <c r="U229" s="522"/>
      <c r="V229" s="582"/>
      <c r="W229" s="583"/>
      <c r="X229" s="512"/>
    </row>
    <row r="230" spans="1:25" x14ac:dyDescent="0.3">
      <c r="A230" s="471"/>
      <c r="B230" s="477"/>
      <c r="C230" s="479"/>
      <c r="D230" s="479"/>
      <c r="E230" s="479"/>
      <c r="F230" s="480"/>
      <c r="G230" s="424"/>
      <c r="H230" s="424"/>
      <c r="I230" s="424"/>
      <c r="J230" s="424"/>
      <c r="K230" s="424"/>
      <c r="L230" s="424"/>
      <c r="M230" s="424"/>
      <c r="N230" s="424"/>
      <c r="O230" s="424"/>
      <c r="P230" s="424"/>
      <c r="Q230" s="424"/>
      <c r="R230" s="424"/>
      <c r="S230" s="421"/>
      <c r="T230" s="481"/>
      <c r="U230" s="424"/>
      <c r="V230" s="474"/>
      <c r="W230" s="478"/>
      <c r="X230" s="405"/>
    </row>
    <row r="231" spans="1:25" x14ac:dyDescent="0.3">
      <c r="A231" s="471"/>
      <c r="B231" s="477"/>
      <c r="C231" s="479"/>
      <c r="D231" s="479"/>
      <c r="E231" s="479"/>
      <c r="F231" s="480"/>
      <c r="G231" s="424"/>
      <c r="H231" s="424"/>
      <c r="I231" s="424"/>
      <c r="J231" s="424"/>
      <c r="K231" s="424"/>
      <c r="L231" s="424"/>
      <c r="M231" s="424"/>
      <c r="N231" s="424"/>
      <c r="O231" s="424"/>
      <c r="P231" s="424"/>
      <c r="Q231" s="424"/>
      <c r="R231" s="424"/>
      <c r="S231" s="424"/>
      <c r="T231" s="482"/>
      <c r="U231" s="424"/>
      <c r="V231" s="474"/>
      <c r="W231" s="478"/>
      <c r="X231" s="405"/>
    </row>
    <row r="232" spans="1:25" ht="18" x14ac:dyDescent="0.35">
      <c r="A232" s="471"/>
      <c r="B232" s="505" t="s">
        <v>174</v>
      </c>
      <c r="C232" s="479"/>
      <c r="D232" s="479"/>
      <c r="E232" s="479"/>
      <c r="F232" s="480"/>
      <c r="G232" s="424"/>
      <c r="H232" s="424"/>
      <c r="I232" s="424"/>
      <c r="J232" s="424"/>
      <c r="K232" s="424"/>
      <c r="L232" s="424"/>
      <c r="M232" s="424"/>
      <c r="N232" s="424"/>
      <c r="O232" s="424"/>
      <c r="P232" s="606" t="s">
        <v>349</v>
      </c>
      <c r="Q232" s="424"/>
      <c r="R232" s="424"/>
      <c r="S232" s="424"/>
      <c r="T232" s="482"/>
      <c r="U232" s="424"/>
      <c r="V232" s="474"/>
      <c r="W232" s="478"/>
      <c r="X232" s="405"/>
    </row>
    <row r="233" spans="1:25" x14ac:dyDescent="0.3">
      <c r="A233" s="469"/>
      <c r="B233" s="461"/>
      <c r="C233" s="483"/>
      <c r="D233" s="483"/>
      <c r="E233" s="483"/>
      <c r="F233" s="484"/>
      <c r="G233" s="429"/>
      <c r="H233" s="429"/>
      <c r="I233" s="429"/>
      <c r="J233" s="429"/>
      <c r="K233" s="429"/>
      <c r="L233" s="429"/>
      <c r="M233" s="429"/>
      <c r="N233" s="429"/>
      <c r="O233" s="429"/>
      <c r="P233" s="429"/>
      <c r="Q233" s="429"/>
      <c r="R233" s="429"/>
      <c r="S233" s="429"/>
      <c r="T233" s="485"/>
      <c r="U233" s="429"/>
      <c r="V233" s="462"/>
      <c r="W233" s="486"/>
      <c r="X233" s="405"/>
    </row>
    <row r="234" spans="1:25" x14ac:dyDescent="0.3">
      <c r="A234" s="418"/>
      <c r="B234" s="464" t="s">
        <v>304</v>
      </c>
      <c r="C234" s="465"/>
      <c r="D234" s="465"/>
      <c r="E234" s="465"/>
      <c r="F234" s="466"/>
      <c r="G234" s="465"/>
      <c r="H234" s="465"/>
      <c r="I234" s="465"/>
      <c r="J234" s="465"/>
      <c r="K234" s="465"/>
      <c r="L234" s="465"/>
      <c r="M234" s="465"/>
      <c r="N234" s="465"/>
      <c r="O234" s="465"/>
      <c r="P234" s="465"/>
      <c r="Q234" s="465"/>
      <c r="R234" s="466" t="s">
        <v>104</v>
      </c>
      <c r="S234" s="465" t="s">
        <v>105</v>
      </c>
      <c r="T234" s="466" t="s">
        <v>113</v>
      </c>
      <c r="U234" s="465" t="s">
        <v>105</v>
      </c>
      <c r="V234" s="467"/>
      <c r="W234" s="487"/>
      <c r="X234" s="405"/>
    </row>
    <row r="235" spans="1:25" s="513" customFormat="1" x14ac:dyDescent="0.3">
      <c r="A235" s="509"/>
      <c r="B235" s="567" t="s">
        <v>90</v>
      </c>
      <c r="C235" s="586"/>
      <c r="D235" s="586"/>
      <c r="E235" s="586"/>
      <c r="F235" s="552"/>
      <c r="G235" s="586"/>
      <c r="H235" s="586"/>
      <c r="I235" s="586"/>
      <c r="J235" s="586"/>
      <c r="K235" s="586"/>
      <c r="L235" s="586"/>
      <c r="M235" s="586"/>
      <c r="N235" s="586"/>
      <c r="O235" s="586"/>
      <c r="P235" s="586"/>
      <c r="Q235" s="586"/>
      <c r="R235" s="587">
        <f t="shared" ref="R235:R242" si="1">+R247+R259+R271</f>
        <v>5711</v>
      </c>
      <c r="S235" s="588">
        <f t="shared" ref="S235:S242" si="2">R235/$R$244</f>
        <v>0.99912526242127364</v>
      </c>
      <c r="T235" s="589">
        <f t="shared" ref="T235:T242" si="3">+T247+T259+T271</f>
        <v>750840</v>
      </c>
      <c r="U235" s="588">
        <f t="shared" ref="U235:U242" si="4">T235/$T$244</f>
        <v>0.99847205211778367</v>
      </c>
      <c r="V235" s="590"/>
      <c r="W235" s="591"/>
      <c r="X235" s="512"/>
    </row>
    <row r="236" spans="1:25" s="513" customFormat="1" x14ac:dyDescent="0.3">
      <c r="A236" s="521"/>
      <c r="B236" s="562" t="s">
        <v>91</v>
      </c>
      <c r="C236" s="592"/>
      <c r="D236" s="592"/>
      <c r="E236" s="592"/>
      <c r="F236" s="522"/>
      <c r="G236" s="593"/>
      <c r="H236" s="592"/>
      <c r="I236" s="592"/>
      <c r="J236" s="592"/>
      <c r="K236" s="592"/>
      <c r="L236" s="592"/>
      <c r="M236" s="592"/>
      <c r="N236" s="592"/>
      <c r="O236" s="592"/>
      <c r="P236" s="592"/>
      <c r="Q236" s="592"/>
      <c r="R236" s="562">
        <f t="shared" si="1"/>
        <v>1</v>
      </c>
      <c r="S236" s="593">
        <f t="shared" si="2"/>
        <v>1.7494751574527641E-4</v>
      </c>
      <c r="T236" s="563">
        <f t="shared" si="3"/>
        <v>299</v>
      </c>
      <c r="U236" s="593">
        <f t="shared" si="4"/>
        <v>3.976121991146147E-4</v>
      </c>
      <c r="V236" s="582"/>
      <c r="W236" s="583"/>
      <c r="X236" s="512"/>
      <c r="Y236" s="570"/>
    </row>
    <row r="237" spans="1:25" s="513" customFormat="1" x14ac:dyDescent="0.3">
      <c r="A237" s="521"/>
      <c r="B237" s="562" t="s">
        <v>92</v>
      </c>
      <c r="C237" s="592"/>
      <c r="D237" s="592"/>
      <c r="E237" s="592"/>
      <c r="F237" s="522"/>
      <c r="G237" s="593"/>
      <c r="H237" s="592"/>
      <c r="I237" s="592"/>
      <c r="J237" s="592"/>
      <c r="K237" s="592"/>
      <c r="L237" s="592"/>
      <c r="M237" s="592"/>
      <c r="N237" s="592"/>
      <c r="O237" s="592"/>
      <c r="P237" s="592"/>
      <c r="Q237" s="592"/>
      <c r="R237" s="562">
        <f t="shared" si="1"/>
        <v>2</v>
      </c>
      <c r="S237" s="593">
        <f t="shared" si="2"/>
        <v>3.4989503149055281E-4</v>
      </c>
      <c r="T237" s="563">
        <f t="shared" si="3"/>
        <v>540</v>
      </c>
      <c r="U237" s="593">
        <f t="shared" si="4"/>
        <v>7.1809561044111018E-4</v>
      </c>
      <c r="V237" s="582"/>
      <c r="W237" s="583"/>
      <c r="X237" s="512"/>
    </row>
    <row r="238" spans="1:25" s="513" customFormat="1" x14ac:dyDescent="0.3">
      <c r="A238" s="521"/>
      <c r="B238" s="562" t="s">
        <v>161</v>
      </c>
      <c r="C238" s="592"/>
      <c r="D238" s="592"/>
      <c r="E238" s="592"/>
      <c r="F238" s="522"/>
      <c r="G238" s="593"/>
      <c r="H238" s="592"/>
      <c r="I238" s="592"/>
      <c r="J238" s="592"/>
      <c r="K238" s="592"/>
      <c r="L238" s="592"/>
      <c r="M238" s="592"/>
      <c r="N238" s="592"/>
      <c r="O238" s="592"/>
      <c r="P238" s="592"/>
      <c r="Q238" s="592"/>
      <c r="R238" s="562">
        <f t="shared" si="1"/>
        <v>0</v>
      </c>
      <c r="S238" s="593">
        <f t="shared" si="2"/>
        <v>0</v>
      </c>
      <c r="T238" s="563">
        <f t="shared" si="3"/>
        <v>0</v>
      </c>
      <c r="U238" s="593">
        <f t="shared" si="4"/>
        <v>0</v>
      </c>
      <c r="V238" s="582"/>
      <c r="W238" s="583"/>
      <c r="X238" s="512"/>
      <c r="Y238" s="570"/>
    </row>
    <row r="239" spans="1:25" s="513" customFormat="1" x14ac:dyDescent="0.3">
      <c r="A239" s="521"/>
      <c r="B239" s="562" t="s">
        <v>162</v>
      </c>
      <c r="C239" s="592"/>
      <c r="D239" s="592"/>
      <c r="E239" s="592"/>
      <c r="F239" s="522"/>
      <c r="G239" s="593"/>
      <c r="H239" s="592"/>
      <c r="I239" s="592"/>
      <c r="J239" s="592"/>
      <c r="K239" s="592"/>
      <c r="L239" s="592"/>
      <c r="M239" s="592"/>
      <c r="N239" s="592"/>
      <c r="O239" s="592"/>
      <c r="P239" s="592"/>
      <c r="Q239" s="592"/>
      <c r="R239" s="562">
        <f t="shared" si="1"/>
        <v>1</v>
      </c>
      <c r="S239" s="593">
        <f t="shared" si="2"/>
        <v>1.7494751574527641E-4</v>
      </c>
      <c r="T239" s="563">
        <f t="shared" si="3"/>
        <v>209</v>
      </c>
      <c r="U239" s="593">
        <f t="shared" si="4"/>
        <v>2.7792959737442966E-4</v>
      </c>
      <c r="V239" s="582"/>
      <c r="W239" s="583"/>
      <c r="X239" s="512"/>
    </row>
    <row r="240" spans="1:25" s="513" customFormat="1" x14ac:dyDescent="0.3">
      <c r="A240" s="521"/>
      <c r="B240" s="562" t="s">
        <v>163</v>
      </c>
      <c r="C240" s="592"/>
      <c r="D240" s="592"/>
      <c r="E240" s="592"/>
      <c r="F240" s="522"/>
      <c r="G240" s="593"/>
      <c r="H240" s="592"/>
      <c r="I240" s="592"/>
      <c r="J240" s="592"/>
      <c r="K240" s="592"/>
      <c r="L240" s="592"/>
      <c r="M240" s="592"/>
      <c r="N240" s="592"/>
      <c r="O240" s="592"/>
      <c r="P240" s="592"/>
      <c r="Q240" s="592"/>
      <c r="R240" s="562">
        <f t="shared" si="1"/>
        <v>1</v>
      </c>
      <c r="S240" s="593">
        <f t="shared" si="2"/>
        <v>1.7494751574527641E-4</v>
      </c>
      <c r="T240" s="563">
        <f t="shared" si="3"/>
        <v>101</v>
      </c>
      <c r="U240" s="593">
        <f t="shared" si="4"/>
        <v>1.3431047528620764E-4</v>
      </c>
      <c r="V240" s="582"/>
      <c r="W240" s="583"/>
      <c r="X240" s="512"/>
      <c r="Y240" s="570"/>
    </row>
    <row r="241" spans="1:25" s="513" customFormat="1" x14ac:dyDescent="0.3">
      <c r="A241" s="521"/>
      <c r="B241" s="562" t="s">
        <v>164</v>
      </c>
      <c r="C241" s="592"/>
      <c r="D241" s="592"/>
      <c r="E241" s="592"/>
      <c r="F241" s="522"/>
      <c r="G241" s="593"/>
      <c r="H241" s="592"/>
      <c r="I241" s="592"/>
      <c r="J241" s="592"/>
      <c r="K241" s="592"/>
      <c r="L241" s="592"/>
      <c r="M241" s="592"/>
      <c r="N241" s="592"/>
      <c r="O241" s="592"/>
      <c r="P241" s="592"/>
      <c r="Q241" s="592"/>
      <c r="R241" s="562">
        <f t="shared" si="1"/>
        <v>0</v>
      </c>
      <c r="S241" s="593">
        <f t="shared" si="2"/>
        <v>0</v>
      </c>
      <c r="T241" s="563">
        <f t="shared" si="3"/>
        <v>0</v>
      </c>
      <c r="U241" s="593">
        <f t="shared" si="4"/>
        <v>0</v>
      </c>
      <c r="V241" s="582"/>
      <c r="W241" s="583"/>
      <c r="X241" s="512"/>
    </row>
    <row r="242" spans="1:25" s="513" customFormat="1" x14ac:dyDescent="0.3">
      <c r="A242" s="521"/>
      <c r="B242" s="562" t="s">
        <v>165</v>
      </c>
      <c r="C242" s="592"/>
      <c r="D242" s="592"/>
      <c r="E242" s="592"/>
      <c r="F242" s="522"/>
      <c r="G242" s="593"/>
      <c r="H242" s="592"/>
      <c r="I242" s="592"/>
      <c r="J242" s="592"/>
      <c r="K242" s="592"/>
      <c r="L242" s="592"/>
      <c r="M242" s="592"/>
      <c r="N242" s="592"/>
      <c r="O242" s="592"/>
      <c r="P242" s="592"/>
      <c r="Q242" s="592"/>
      <c r="R242" s="562">
        <f t="shared" si="1"/>
        <v>0</v>
      </c>
      <c r="S242" s="593">
        <f t="shared" si="2"/>
        <v>0</v>
      </c>
      <c r="T242" s="563">
        <f t="shared" si="3"/>
        <v>0</v>
      </c>
      <c r="U242" s="593">
        <f t="shared" si="4"/>
        <v>0</v>
      </c>
      <c r="V242" s="582"/>
      <c r="W242" s="583"/>
      <c r="X242" s="512"/>
      <c r="Y242" s="570"/>
    </row>
    <row r="243" spans="1:25" s="513" customFormat="1" x14ac:dyDescent="0.3">
      <c r="A243" s="521"/>
      <c r="B243" s="562"/>
      <c r="C243" s="592"/>
      <c r="D243" s="592"/>
      <c r="E243" s="592"/>
      <c r="F243" s="522"/>
      <c r="G243" s="593"/>
      <c r="H243" s="592"/>
      <c r="I243" s="592"/>
      <c r="J243" s="592"/>
      <c r="K243" s="592"/>
      <c r="L243" s="592"/>
      <c r="M243" s="592"/>
      <c r="N243" s="592"/>
      <c r="O243" s="592"/>
      <c r="P243" s="592"/>
      <c r="Q243" s="592"/>
      <c r="R243" s="562"/>
      <c r="S243" s="593"/>
      <c r="T243" s="563"/>
      <c r="U243" s="593"/>
      <c r="V243" s="582"/>
      <c r="W243" s="583"/>
      <c r="X243" s="512"/>
    </row>
    <row r="244" spans="1:25" s="513" customFormat="1" x14ac:dyDescent="0.3">
      <c r="A244" s="521"/>
      <c r="B244" s="522" t="s">
        <v>119</v>
      </c>
      <c r="C244" s="522"/>
      <c r="D244" s="522"/>
      <c r="E244" s="522"/>
      <c r="F244" s="522"/>
      <c r="G244" s="522"/>
      <c r="H244" s="594"/>
      <c r="I244" s="594"/>
      <c r="J244" s="594"/>
      <c r="K244" s="594"/>
      <c r="L244" s="594"/>
      <c r="M244" s="594"/>
      <c r="N244" s="594"/>
      <c r="O244" s="594"/>
      <c r="P244" s="594"/>
      <c r="Q244" s="594"/>
      <c r="R244" s="562">
        <f>SUM(R235:R243)</f>
        <v>5716</v>
      </c>
      <c r="S244" s="593">
        <f>SUM(S235:S243)</f>
        <v>1</v>
      </c>
      <c r="T244" s="563">
        <f>SUM(T235:T243)</f>
        <v>751989</v>
      </c>
      <c r="U244" s="593">
        <f>SUM(U235:U243)</f>
        <v>1</v>
      </c>
      <c r="V244" s="522"/>
      <c r="W244" s="524"/>
      <c r="X244" s="512"/>
    </row>
    <row r="245" spans="1:25" x14ac:dyDescent="0.3">
      <c r="A245" s="469"/>
      <c r="B245" s="461"/>
      <c r="C245" s="483"/>
      <c r="D245" s="483"/>
      <c r="E245" s="483"/>
      <c r="F245" s="484"/>
      <c r="G245" s="429"/>
      <c r="H245" s="429"/>
      <c r="I245" s="429"/>
      <c r="J245" s="429"/>
      <c r="K245" s="429"/>
      <c r="L245" s="429"/>
      <c r="M245" s="429"/>
      <c r="N245" s="429"/>
      <c r="O245" s="429"/>
      <c r="P245" s="429"/>
      <c r="Q245" s="429"/>
      <c r="R245" s="429"/>
      <c r="S245" s="429"/>
      <c r="T245" s="485"/>
      <c r="U245" s="429"/>
      <c r="V245" s="462"/>
      <c r="W245" s="486"/>
      <c r="X245" s="405"/>
    </row>
    <row r="246" spans="1:25" x14ac:dyDescent="0.3">
      <c r="A246" s="418"/>
      <c r="B246" s="464" t="s">
        <v>167</v>
      </c>
      <c r="C246" s="465"/>
      <c r="D246" s="465"/>
      <c r="E246" s="465"/>
      <c r="F246" s="466"/>
      <c r="G246" s="465"/>
      <c r="H246" s="465"/>
      <c r="I246" s="465"/>
      <c r="J246" s="465"/>
      <c r="K246" s="465"/>
      <c r="L246" s="465"/>
      <c r="M246" s="465"/>
      <c r="N246" s="465"/>
      <c r="O246" s="465"/>
      <c r="P246" s="465"/>
      <c r="Q246" s="465"/>
      <c r="R246" s="466" t="s">
        <v>104</v>
      </c>
      <c r="S246" s="465" t="s">
        <v>105</v>
      </c>
      <c r="T246" s="466" t="s">
        <v>113</v>
      </c>
      <c r="U246" s="465" t="s">
        <v>105</v>
      </c>
      <c r="V246" s="467"/>
      <c r="W246" s="487"/>
      <c r="X246" s="405"/>
    </row>
    <row r="247" spans="1:25" s="513" customFormat="1" x14ac:dyDescent="0.3">
      <c r="A247" s="509"/>
      <c r="B247" s="567" t="s">
        <v>90</v>
      </c>
      <c r="C247" s="586"/>
      <c r="D247" s="586"/>
      <c r="E247" s="586"/>
      <c r="F247" s="552"/>
      <c r="G247" s="586"/>
      <c r="H247" s="586"/>
      <c r="I247" s="586"/>
      <c r="J247" s="586"/>
      <c r="K247" s="586"/>
      <c r="L247" s="586"/>
      <c r="M247" s="586"/>
      <c r="N247" s="586"/>
      <c r="O247" s="586"/>
      <c r="P247" s="586"/>
      <c r="Q247" s="586"/>
      <c r="R247" s="567">
        <v>5635</v>
      </c>
      <c r="S247" s="595">
        <f t="shared" ref="S247:S254" si="5">R247/$R$256</f>
        <v>0.99946789641716915</v>
      </c>
      <c r="T247" s="596">
        <v>737712</v>
      </c>
      <c r="U247" s="595">
        <f t="shared" ref="U247:U254" si="6">T247/$T$256</f>
        <v>0.99886399178932805</v>
      </c>
      <c r="V247" s="590"/>
      <c r="W247" s="591"/>
      <c r="X247" s="512"/>
    </row>
    <row r="248" spans="1:25" s="513" customFormat="1" x14ac:dyDescent="0.3">
      <c r="A248" s="521"/>
      <c r="B248" s="562" t="s">
        <v>91</v>
      </c>
      <c r="C248" s="592"/>
      <c r="D248" s="592"/>
      <c r="E248" s="592"/>
      <c r="F248" s="522"/>
      <c r="G248" s="593"/>
      <c r="H248" s="592"/>
      <c r="I248" s="592"/>
      <c r="J248" s="592"/>
      <c r="K248" s="592"/>
      <c r="L248" s="592"/>
      <c r="M248" s="592"/>
      <c r="N248" s="592"/>
      <c r="O248" s="592"/>
      <c r="P248" s="592"/>
      <c r="Q248" s="592"/>
      <c r="R248" s="562">
        <v>1</v>
      </c>
      <c r="S248" s="593">
        <f t="shared" si="5"/>
        <v>1.7736786094359701E-4</v>
      </c>
      <c r="T248" s="563">
        <v>299</v>
      </c>
      <c r="U248" s="593">
        <f t="shared" si="6"/>
        <v>4.0484678783184912E-4</v>
      </c>
      <c r="V248" s="582"/>
      <c r="W248" s="583"/>
      <c r="X248" s="512"/>
      <c r="Y248" s="570"/>
    </row>
    <row r="249" spans="1:25" s="513" customFormat="1" x14ac:dyDescent="0.3">
      <c r="A249" s="521"/>
      <c r="B249" s="562" t="s">
        <v>92</v>
      </c>
      <c r="C249" s="592"/>
      <c r="D249" s="592"/>
      <c r="E249" s="592"/>
      <c r="F249" s="522"/>
      <c r="G249" s="593"/>
      <c r="H249" s="592"/>
      <c r="I249" s="592"/>
      <c r="J249" s="592"/>
      <c r="K249" s="592"/>
      <c r="L249" s="592"/>
      <c r="M249" s="592"/>
      <c r="N249" s="592"/>
      <c r="O249" s="592"/>
      <c r="P249" s="592"/>
      <c r="Q249" s="592"/>
      <c r="R249" s="562">
        <v>2</v>
      </c>
      <c r="S249" s="593">
        <f t="shared" si="5"/>
        <v>3.5473572188719402E-4</v>
      </c>
      <c r="T249" s="563">
        <v>540</v>
      </c>
      <c r="U249" s="593">
        <f t="shared" si="6"/>
        <v>7.3116142284012883E-4</v>
      </c>
      <c r="V249" s="582"/>
      <c r="W249" s="583"/>
      <c r="X249" s="512"/>
    </row>
    <row r="250" spans="1:25" s="513" customFormat="1" x14ac:dyDescent="0.3">
      <c r="A250" s="521"/>
      <c r="B250" s="562" t="s">
        <v>161</v>
      </c>
      <c r="C250" s="592"/>
      <c r="D250" s="592"/>
      <c r="E250" s="592"/>
      <c r="F250" s="522"/>
      <c r="G250" s="593"/>
      <c r="H250" s="592"/>
      <c r="I250" s="592"/>
      <c r="J250" s="592"/>
      <c r="K250" s="592"/>
      <c r="L250" s="592"/>
      <c r="M250" s="592"/>
      <c r="N250" s="592"/>
      <c r="O250" s="592"/>
      <c r="P250" s="592"/>
      <c r="Q250" s="592"/>
      <c r="R250" s="562">
        <v>0</v>
      </c>
      <c r="S250" s="593">
        <f t="shared" si="5"/>
        <v>0</v>
      </c>
      <c r="T250" s="563">
        <v>0</v>
      </c>
      <c r="U250" s="593">
        <f t="shared" si="6"/>
        <v>0</v>
      </c>
      <c r="V250" s="582"/>
      <c r="W250" s="583"/>
      <c r="X250" s="512"/>
      <c r="Y250" s="570"/>
    </row>
    <row r="251" spans="1:25" s="513" customFormat="1" x14ac:dyDescent="0.3">
      <c r="A251" s="521"/>
      <c r="B251" s="562" t="s">
        <v>162</v>
      </c>
      <c r="C251" s="592"/>
      <c r="D251" s="592"/>
      <c r="E251" s="592"/>
      <c r="F251" s="522"/>
      <c r="G251" s="593"/>
      <c r="H251" s="592"/>
      <c r="I251" s="592"/>
      <c r="J251" s="592"/>
      <c r="K251" s="592"/>
      <c r="L251" s="592"/>
      <c r="M251" s="592"/>
      <c r="N251" s="592"/>
      <c r="O251" s="592"/>
      <c r="P251" s="592"/>
      <c r="Q251" s="592"/>
      <c r="R251" s="562">
        <v>0</v>
      </c>
      <c r="S251" s="593">
        <f t="shared" si="5"/>
        <v>0</v>
      </c>
      <c r="T251" s="563">
        <v>0</v>
      </c>
      <c r="U251" s="593">
        <f t="shared" si="6"/>
        <v>0</v>
      </c>
      <c r="V251" s="582"/>
      <c r="W251" s="583"/>
      <c r="X251" s="512"/>
    </row>
    <row r="252" spans="1:25" s="513" customFormat="1" x14ac:dyDescent="0.3">
      <c r="A252" s="521"/>
      <c r="B252" s="562" t="s">
        <v>163</v>
      </c>
      <c r="C252" s="592"/>
      <c r="D252" s="592"/>
      <c r="E252" s="592"/>
      <c r="F252" s="522"/>
      <c r="G252" s="593"/>
      <c r="H252" s="592"/>
      <c r="I252" s="592"/>
      <c r="J252" s="592"/>
      <c r="K252" s="592"/>
      <c r="L252" s="592"/>
      <c r="M252" s="592"/>
      <c r="N252" s="592"/>
      <c r="O252" s="592"/>
      <c r="P252" s="592"/>
      <c r="Q252" s="592"/>
      <c r="R252" s="562">
        <v>0</v>
      </c>
      <c r="S252" s="593">
        <f t="shared" si="5"/>
        <v>0</v>
      </c>
      <c r="T252" s="563">
        <v>0</v>
      </c>
      <c r="U252" s="593">
        <f t="shared" si="6"/>
        <v>0</v>
      </c>
      <c r="V252" s="582"/>
      <c r="W252" s="583"/>
      <c r="X252" s="512"/>
      <c r="Y252" s="570"/>
    </row>
    <row r="253" spans="1:25" s="513" customFormat="1" x14ac:dyDescent="0.3">
      <c r="A253" s="521"/>
      <c r="B253" s="562" t="s">
        <v>164</v>
      </c>
      <c r="C253" s="592"/>
      <c r="D253" s="592"/>
      <c r="E253" s="592"/>
      <c r="F253" s="522"/>
      <c r="G253" s="593"/>
      <c r="H253" s="592"/>
      <c r="I253" s="592"/>
      <c r="J253" s="592"/>
      <c r="K253" s="592"/>
      <c r="L253" s="592"/>
      <c r="M253" s="592"/>
      <c r="N253" s="592"/>
      <c r="O253" s="592"/>
      <c r="P253" s="592"/>
      <c r="Q253" s="592"/>
      <c r="R253" s="562">
        <v>0</v>
      </c>
      <c r="S253" s="593">
        <f t="shared" si="5"/>
        <v>0</v>
      </c>
      <c r="T253" s="563">
        <v>0</v>
      </c>
      <c r="U253" s="593">
        <f t="shared" si="6"/>
        <v>0</v>
      </c>
      <c r="V253" s="582"/>
      <c r="W253" s="583"/>
      <c r="X253" s="512"/>
    </row>
    <row r="254" spans="1:25" s="513" customFormat="1" x14ac:dyDescent="0.3">
      <c r="A254" s="521"/>
      <c r="B254" s="562" t="s">
        <v>165</v>
      </c>
      <c r="C254" s="592"/>
      <c r="D254" s="592"/>
      <c r="E254" s="592"/>
      <c r="F254" s="522"/>
      <c r="G254" s="593"/>
      <c r="H254" s="592"/>
      <c r="I254" s="592"/>
      <c r="J254" s="592"/>
      <c r="K254" s="592"/>
      <c r="L254" s="592"/>
      <c r="M254" s="592"/>
      <c r="N254" s="592"/>
      <c r="O254" s="592"/>
      <c r="P254" s="592"/>
      <c r="Q254" s="592"/>
      <c r="R254" s="562">
        <v>0</v>
      </c>
      <c r="S254" s="593">
        <f t="shared" si="5"/>
        <v>0</v>
      </c>
      <c r="T254" s="563">
        <v>0</v>
      </c>
      <c r="U254" s="593">
        <f t="shared" si="6"/>
        <v>0</v>
      </c>
      <c r="V254" s="582"/>
      <c r="W254" s="583"/>
      <c r="X254" s="512"/>
      <c r="Y254" s="570"/>
    </row>
    <row r="255" spans="1:25" s="513" customFormat="1" x14ac:dyDescent="0.3">
      <c r="A255" s="521"/>
      <c r="B255" s="562"/>
      <c r="C255" s="592"/>
      <c r="D255" s="592"/>
      <c r="E255" s="592"/>
      <c r="F255" s="522"/>
      <c r="G255" s="593"/>
      <c r="H255" s="592"/>
      <c r="I255" s="592"/>
      <c r="J255" s="592"/>
      <c r="K255" s="592"/>
      <c r="L255" s="592"/>
      <c r="M255" s="592"/>
      <c r="N255" s="592"/>
      <c r="O255" s="592"/>
      <c r="P255" s="592"/>
      <c r="Q255" s="592"/>
      <c r="R255" s="562"/>
      <c r="S255" s="593"/>
      <c r="T255" s="563"/>
      <c r="U255" s="593"/>
      <c r="V255" s="582"/>
      <c r="W255" s="583"/>
      <c r="X255" s="512"/>
    </row>
    <row r="256" spans="1:25" s="513" customFormat="1" x14ac:dyDescent="0.3">
      <c r="A256" s="521"/>
      <c r="B256" s="522" t="s">
        <v>119</v>
      </c>
      <c r="C256" s="522"/>
      <c r="D256" s="522"/>
      <c r="E256" s="522"/>
      <c r="F256" s="522"/>
      <c r="G256" s="522"/>
      <c r="H256" s="594"/>
      <c r="I256" s="594"/>
      <c r="J256" s="594"/>
      <c r="K256" s="594"/>
      <c r="L256" s="594"/>
      <c r="M256" s="594"/>
      <c r="N256" s="594"/>
      <c r="O256" s="594"/>
      <c r="P256" s="594"/>
      <c r="Q256" s="594"/>
      <c r="R256" s="562">
        <f>SUM(R247:R255)</f>
        <v>5638</v>
      </c>
      <c r="S256" s="593">
        <f>SUM(S247:S255)</f>
        <v>0.99999999999999989</v>
      </c>
      <c r="T256" s="563">
        <f>SUM(T247:T255)</f>
        <v>738551</v>
      </c>
      <c r="U256" s="593">
        <f>SUM(U247:U255)</f>
        <v>1</v>
      </c>
      <c r="V256" s="522"/>
      <c r="W256" s="524"/>
      <c r="X256" s="512"/>
    </row>
    <row r="257" spans="1:24" x14ac:dyDescent="0.3">
      <c r="A257" s="407"/>
      <c r="B257" s="429"/>
      <c r="C257" s="429"/>
      <c r="D257" s="429"/>
      <c r="E257" s="429"/>
      <c r="F257" s="429"/>
      <c r="G257" s="429"/>
      <c r="H257" s="488"/>
      <c r="I257" s="488"/>
      <c r="J257" s="488"/>
      <c r="K257" s="488"/>
      <c r="L257" s="488"/>
      <c r="M257" s="488"/>
      <c r="N257" s="488"/>
      <c r="O257" s="488"/>
      <c r="P257" s="488"/>
      <c r="Q257" s="488"/>
      <c r="R257" s="435"/>
      <c r="S257" s="489"/>
      <c r="T257" s="490"/>
      <c r="U257" s="489"/>
      <c r="V257" s="429"/>
      <c r="W257" s="429"/>
      <c r="X257" s="405"/>
    </row>
    <row r="258" spans="1:24" x14ac:dyDescent="0.3">
      <c r="A258" s="418"/>
      <c r="B258" s="464" t="s">
        <v>283</v>
      </c>
      <c r="C258" s="465"/>
      <c r="D258" s="465"/>
      <c r="E258" s="465"/>
      <c r="F258" s="466"/>
      <c r="G258" s="465"/>
      <c r="H258" s="465"/>
      <c r="I258" s="465"/>
      <c r="J258" s="465"/>
      <c r="K258" s="465"/>
      <c r="L258" s="465"/>
      <c r="M258" s="465"/>
      <c r="N258" s="465"/>
      <c r="O258" s="465"/>
      <c r="P258" s="465"/>
      <c r="Q258" s="465"/>
      <c r="R258" s="466" t="s">
        <v>104</v>
      </c>
      <c r="S258" s="465" t="s">
        <v>105</v>
      </c>
      <c r="T258" s="466" t="s">
        <v>113</v>
      </c>
      <c r="U258" s="465" t="s">
        <v>105</v>
      </c>
      <c r="V258" s="467"/>
      <c r="W258" s="468"/>
      <c r="X258" s="405"/>
    </row>
    <row r="259" spans="1:24" s="513" customFormat="1" x14ac:dyDescent="0.3">
      <c r="A259" s="509"/>
      <c r="B259" s="567" t="s">
        <v>90</v>
      </c>
      <c r="C259" s="586"/>
      <c r="D259" s="586"/>
      <c r="E259" s="586"/>
      <c r="F259" s="552"/>
      <c r="G259" s="586"/>
      <c r="H259" s="586"/>
      <c r="I259" s="586"/>
      <c r="J259" s="586"/>
      <c r="K259" s="586"/>
      <c r="L259" s="586"/>
      <c r="M259" s="586"/>
      <c r="N259" s="586"/>
      <c r="O259" s="586"/>
      <c r="P259" s="586"/>
      <c r="Q259" s="586"/>
      <c r="R259" s="567">
        <v>76</v>
      </c>
      <c r="S259" s="595">
        <f t="shared" ref="S259:S266" si="7">R259/$R$268</f>
        <v>0.97435897435897434</v>
      </c>
      <c r="T259" s="596">
        <v>13128</v>
      </c>
      <c r="U259" s="595">
        <f t="shared" ref="U259:U266" si="8">T259/$T$268</f>
        <v>0.97693109093615116</v>
      </c>
      <c r="V259" s="552"/>
      <c r="W259" s="552"/>
      <c r="X259" s="512"/>
    </row>
    <row r="260" spans="1:24" s="513" customFormat="1" x14ac:dyDescent="0.3">
      <c r="A260" s="521"/>
      <c r="B260" s="562" t="s">
        <v>91</v>
      </c>
      <c r="C260" s="592"/>
      <c r="D260" s="592"/>
      <c r="E260" s="592"/>
      <c r="F260" s="522"/>
      <c r="G260" s="593"/>
      <c r="H260" s="592"/>
      <c r="I260" s="592"/>
      <c r="J260" s="592"/>
      <c r="K260" s="592"/>
      <c r="L260" s="592"/>
      <c r="M260" s="592"/>
      <c r="N260" s="592"/>
      <c r="O260" s="592"/>
      <c r="P260" s="592"/>
      <c r="Q260" s="592"/>
      <c r="R260" s="562">
        <v>0</v>
      </c>
      <c r="S260" s="593">
        <f t="shared" si="7"/>
        <v>0</v>
      </c>
      <c r="T260" s="563">
        <v>0</v>
      </c>
      <c r="U260" s="593">
        <f t="shared" si="8"/>
        <v>0</v>
      </c>
      <c r="V260" s="522"/>
      <c r="W260" s="524"/>
      <c r="X260" s="512"/>
    </row>
    <row r="261" spans="1:24" s="513" customFormat="1" x14ac:dyDescent="0.3">
      <c r="A261" s="521"/>
      <c r="B261" s="562" t="s">
        <v>92</v>
      </c>
      <c r="C261" s="592"/>
      <c r="D261" s="592"/>
      <c r="E261" s="592"/>
      <c r="F261" s="522"/>
      <c r="G261" s="593"/>
      <c r="H261" s="592"/>
      <c r="I261" s="592"/>
      <c r="J261" s="592"/>
      <c r="K261" s="592"/>
      <c r="L261" s="592"/>
      <c r="M261" s="592"/>
      <c r="N261" s="592"/>
      <c r="O261" s="592"/>
      <c r="P261" s="592"/>
      <c r="Q261" s="592"/>
      <c r="R261" s="562">
        <v>0</v>
      </c>
      <c r="S261" s="593">
        <f t="shared" si="7"/>
        <v>0</v>
      </c>
      <c r="T261" s="563">
        <v>0</v>
      </c>
      <c r="U261" s="593">
        <f t="shared" si="8"/>
        <v>0</v>
      </c>
      <c r="V261" s="522"/>
      <c r="W261" s="524"/>
      <c r="X261" s="512"/>
    </row>
    <row r="262" spans="1:24" s="513" customFormat="1" x14ac:dyDescent="0.3">
      <c r="A262" s="521"/>
      <c r="B262" s="562" t="s">
        <v>161</v>
      </c>
      <c r="C262" s="592"/>
      <c r="D262" s="592"/>
      <c r="E262" s="592"/>
      <c r="F262" s="522"/>
      <c r="G262" s="593"/>
      <c r="H262" s="592"/>
      <c r="I262" s="592"/>
      <c r="J262" s="592"/>
      <c r="K262" s="592"/>
      <c r="L262" s="592"/>
      <c r="M262" s="592"/>
      <c r="N262" s="592"/>
      <c r="O262" s="592"/>
      <c r="P262" s="592"/>
      <c r="Q262" s="592"/>
      <c r="R262" s="562">
        <v>0</v>
      </c>
      <c r="S262" s="593">
        <f t="shared" si="7"/>
        <v>0</v>
      </c>
      <c r="T262" s="563">
        <v>0</v>
      </c>
      <c r="U262" s="593">
        <f t="shared" si="8"/>
        <v>0</v>
      </c>
      <c r="V262" s="522"/>
      <c r="W262" s="524"/>
      <c r="X262" s="512"/>
    </row>
    <row r="263" spans="1:24" s="513" customFormat="1" x14ac:dyDescent="0.3">
      <c r="A263" s="521"/>
      <c r="B263" s="562" t="s">
        <v>162</v>
      </c>
      <c r="C263" s="592"/>
      <c r="D263" s="592"/>
      <c r="E263" s="592"/>
      <c r="F263" s="522"/>
      <c r="G263" s="593"/>
      <c r="H263" s="592"/>
      <c r="I263" s="592"/>
      <c r="J263" s="592"/>
      <c r="K263" s="592"/>
      <c r="L263" s="592"/>
      <c r="M263" s="592"/>
      <c r="N263" s="592"/>
      <c r="O263" s="592"/>
      <c r="P263" s="592"/>
      <c r="Q263" s="592"/>
      <c r="R263" s="562">
        <v>1</v>
      </c>
      <c r="S263" s="593">
        <f t="shared" si="7"/>
        <v>1.282051282051282E-2</v>
      </c>
      <c r="T263" s="563">
        <v>209</v>
      </c>
      <c r="U263" s="593">
        <f t="shared" si="8"/>
        <v>1.5552909659175473E-2</v>
      </c>
      <c r="V263" s="522"/>
      <c r="W263" s="524"/>
      <c r="X263" s="512"/>
    </row>
    <row r="264" spans="1:24" s="513" customFormat="1" x14ac:dyDescent="0.3">
      <c r="A264" s="521"/>
      <c r="B264" s="562" t="s">
        <v>163</v>
      </c>
      <c r="C264" s="592"/>
      <c r="D264" s="592"/>
      <c r="E264" s="592"/>
      <c r="F264" s="522"/>
      <c r="G264" s="593"/>
      <c r="H264" s="592"/>
      <c r="I264" s="592"/>
      <c r="J264" s="592"/>
      <c r="K264" s="592"/>
      <c r="L264" s="592"/>
      <c r="M264" s="592"/>
      <c r="N264" s="592"/>
      <c r="O264" s="592"/>
      <c r="P264" s="592"/>
      <c r="Q264" s="592"/>
      <c r="R264" s="562">
        <v>1</v>
      </c>
      <c r="S264" s="593">
        <f t="shared" si="7"/>
        <v>1.282051282051282E-2</v>
      </c>
      <c r="T264" s="563">
        <v>101</v>
      </c>
      <c r="U264" s="593">
        <f t="shared" si="8"/>
        <v>7.5159994046733146E-3</v>
      </c>
      <c r="V264" s="522"/>
      <c r="W264" s="524"/>
      <c r="X264" s="512"/>
    </row>
    <row r="265" spans="1:24" s="513" customFormat="1" x14ac:dyDescent="0.3">
      <c r="A265" s="521"/>
      <c r="B265" s="562" t="s">
        <v>164</v>
      </c>
      <c r="C265" s="592"/>
      <c r="D265" s="592"/>
      <c r="E265" s="592"/>
      <c r="F265" s="522"/>
      <c r="G265" s="593"/>
      <c r="H265" s="592"/>
      <c r="I265" s="592"/>
      <c r="J265" s="592"/>
      <c r="K265" s="592"/>
      <c r="L265" s="592"/>
      <c r="M265" s="592"/>
      <c r="N265" s="592"/>
      <c r="O265" s="592"/>
      <c r="P265" s="592"/>
      <c r="Q265" s="592"/>
      <c r="R265" s="562">
        <v>0</v>
      </c>
      <c r="S265" s="593">
        <f t="shared" si="7"/>
        <v>0</v>
      </c>
      <c r="T265" s="563">
        <v>0</v>
      </c>
      <c r="U265" s="593">
        <f t="shared" si="8"/>
        <v>0</v>
      </c>
      <c r="V265" s="522"/>
      <c r="W265" s="524"/>
      <c r="X265" s="512"/>
    </row>
    <row r="266" spans="1:24" s="513" customFormat="1" x14ac:dyDescent="0.3">
      <c r="A266" s="521"/>
      <c r="B266" s="562" t="s">
        <v>165</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4" s="513" customFormat="1" x14ac:dyDescent="0.3">
      <c r="A267" s="521"/>
      <c r="B267" s="562"/>
      <c r="C267" s="592"/>
      <c r="D267" s="592"/>
      <c r="E267" s="592"/>
      <c r="F267" s="522"/>
      <c r="G267" s="593"/>
      <c r="H267" s="592"/>
      <c r="I267" s="592"/>
      <c r="J267" s="592"/>
      <c r="K267" s="592"/>
      <c r="L267" s="592"/>
      <c r="M267" s="592"/>
      <c r="N267" s="592"/>
      <c r="O267" s="592"/>
      <c r="P267" s="592"/>
      <c r="Q267" s="592"/>
      <c r="R267" s="562"/>
      <c r="S267" s="593"/>
      <c r="T267" s="563"/>
      <c r="U267" s="593"/>
      <c r="V267" s="522"/>
      <c r="W267" s="524"/>
      <c r="X267" s="512"/>
    </row>
    <row r="268" spans="1:24" s="513" customFormat="1" x14ac:dyDescent="0.3">
      <c r="A268" s="521"/>
      <c r="B268" s="522" t="s">
        <v>119</v>
      </c>
      <c r="C268" s="522"/>
      <c r="D268" s="522"/>
      <c r="E268" s="522"/>
      <c r="F268" s="522"/>
      <c r="G268" s="522"/>
      <c r="H268" s="594"/>
      <c r="I268" s="594"/>
      <c r="J268" s="594"/>
      <c r="K268" s="594"/>
      <c r="L268" s="594"/>
      <c r="M268" s="594"/>
      <c r="N268" s="594"/>
      <c r="O268" s="594"/>
      <c r="P268" s="594"/>
      <c r="Q268" s="594"/>
      <c r="R268" s="562">
        <f>SUM(R259:R267)</f>
        <v>78</v>
      </c>
      <c r="S268" s="593">
        <f>SUM(S259:S267)</f>
        <v>0.99999999999999989</v>
      </c>
      <c r="T268" s="563">
        <f>SUM(T259:T267)</f>
        <v>13438</v>
      </c>
      <c r="U268" s="593">
        <f>SUM(U259:U267)</f>
        <v>0.99999999999999989</v>
      </c>
      <c r="V268" s="522"/>
      <c r="W268" s="524"/>
      <c r="X268" s="512"/>
    </row>
    <row r="269" spans="1:24" x14ac:dyDescent="0.3">
      <c r="A269" s="407"/>
      <c r="B269" s="429"/>
      <c r="C269" s="429"/>
      <c r="D269" s="429"/>
      <c r="E269" s="429"/>
      <c r="F269" s="429"/>
      <c r="G269" s="429"/>
      <c r="H269" s="488"/>
      <c r="I269" s="488"/>
      <c r="J269" s="488"/>
      <c r="K269" s="488"/>
      <c r="L269" s="488"/>
      <c r="M269" s="488"/>
      <c r="N269" s="488"/>
      <c r="O269" s="488"/>
      <c r="P269" s="488"/>
      <c r="Q269" s="488"/>
      <c r="R269" s="435"/>
      <c r="S269" s="489"/>
      <c r="T269" s="490"/>
      <c r="U269" s="489"/>
      <c r="V269" s="429"/>
      <c r="W269" s="429"/>
      <c r="X269" s="405"/>
    </row>
    <row r="270" spans="1:24" x14ac:dyDescent="0.3">
      <c r="A270" s="418"/>
      <c r="B270" s="464" t="s">
        <v>169</v>
      </c>
      <c r="C270" s="467"/>
      <c r="D270" s="467"/>
      <c r="E270" s="467"/>
      <c r="F270" s="467"/>
      <c r="G270" s="467"/>
      <c r="H270" s="491"/>
      <c r="I270" s="491"/>
      <c r="J270" s="491"/>
      <c r="K270" s="491"/>
      <c r="L270" s="491"/>
      <c r="M270" s="491"/>
      <c r="N270" s="491"/>
      <c r="O270" s="491"/>
      <c r="P270" s="491"/>
      <c r="Q270" s="491"/>
      <c r="R270" s="466" t="s">
        <v>104</v>
      </c>
      <c r="S270" s="465" t="s">
        <v>105</v>
      </c>
      <c r="T270" s="466" t="s">
        <v>113</v>
      </c>
      <c r="U270" s="465" t="s">
        <v>105</v>
      </c>
      <c r="V270" s="467"/>
      <c r="W270" s="468"/>
      <c r="X270" s="405"/>
    </row>
    <row r="271" spans="1:24" s="513" customFormat="1" x14ac:dyDescent="0.3">
      <c r="A271" s="509"/>
      <c r="B271" s="567" t="s">
        <v>90</v>
      </c>
      <c r="C271" s="552"/>
      <c r="D271" s="552"/>
      <c r="E271" s="552"/>
      <c r="F271" s="552"/>
      <c r="G271" s="552"/>
      <c r="H271" s="597"/>
      <c r="I271" s="597"/>
      <c r="J271" s="597"/>
      <c r="K271" s="597"/>
      <c r="L271" s="597"/>
      <c r="M271" s="597"/>
      <c r="N271" s="597"/>
      <c r="O271" s="597"/>
      <c r="P271" s="597"/>
      <c r="Q271" s="597"/>
      <c r="R271" s="567">
        <v>0</v>
      </c>
      <c r="S271" s="595">
        <v>0</v>
      </c>
      <c r="T271" s="596">
        <v>0</v>
      </c>
      <c r="U271" s="595">
        <v>0</v>
      </c>
      <c r="V271" s="552"/>
      <c r="W271" s="552"/>
      <c r="X271" s="512"/>
    </row>
    <row r="272" spans="1:24" s="513" customFormat="1" x14ac:dyDescent="0.3">
      <c r="A272" s="521"/>
      <c r="B272" s="562" t="s">
        <v>91</v>
      </c>
      <c r="C272" s="522"/>
      <c r="D272" s="522"/>
      <c r="E272" s="522"/>
      <c r="F272" s="522"/>
      <c r="G272" s="522"/>
      <c r="H272" s="594"/>
      <c r="I272" s="594"/>
      <c r="J272" s="594"/>
      <c r="K272" s="594"/>
      <c r="L272" s="594"/>
      <c r="M272" s="594"/>
      <c r="N272" s="594"/>
      <c r="O272" s="594"/>
      <c r="P272" s="594"/>
      <c r="Q272" s="594"/>
      <c r="R272" s="562">
        <v>0</v>
      </c>
      <c r="S272" s="593">
        <v>0</v>
      </c>
      <c r="T272" s="563">
        <v>0</v>
      </c>
      <c r="U272" s="593">
        <v>0</v>
      </c>
      <c r="V272" s="522"/>
      <c r="W272" s="524"/>
      <c r="X272" s="512"/>
    </row>
    <row r="273" spans="1:24" s="513" customFormat="1" x14ac:dyDescent="0.3">
      <c r="A273" s="521"/>
      <c r="B273" s="562" t="s">
        <v>92</v>
      </c>
      <c r="C273" s="522"/>
      <c r="D273" s="522"/>
      <c r="E273" s="522"/>
      <c r="F273" s="522"/>
      <c r="G273" s="522"/>
      <c r="H273" s="594"/>
      <c r="I273" s="594"/>
      <c r="J273" s="594"/>
      <c r="K273" s="594"/>
      <c r="L273" s="594"/>
      <c r="M273" s="594"/>
      <c r="N273" s="594"/>
      <c r="O273" s="594"/>
      <c r="P273" s="594"/>
      <c r="Q273" s="594"/>
      <c r="R273" s="562">
        <v>0</v>
      </c>
      <c r="S273" s="593">
        <v>0</v>
      </c>
      <c r="T273" s="563">
        <v>0</v>
      </c>
      <c r="U273" s="593">
        <v>0</v>
      </c>
      <c r="V273" s="522"/>
      <c r="W273" s="524"/>
      <c r="X273" s="512"/>
    </row>
    <row r="274" spans="1:24" s="513" customFormat="1" x14ac:dyDescent="0.3">
      <c r="A274" s="521"/>
      <c r="B274" s="562" t="s">
        <v>161</v>
      </c>
      <c r="C274" s="522"/>
      <c r="D274" s="522"/>
      <c r="E274" s="522"/>
      <c r="F274" s="522"/>
      <c r="G274" s="522"/>
      <c r="H274" s="594"/>
      <c r="I274" s="594"/>
      <c r="J274" s="594"/>
      <c r="K274" s="594"/>
      <c r="L274" s="594"/>
      <c r="M274" s="594"/>
      <c r="N274" s="594"/>
      <c r="O274" s="594"/>
      <c r="P274" s="594"/>
      <c r="Q274" s="594"/>
      <c r="R274" s="562">
        <v>0</v>
      </c>
      <c r="S274" s="593">
        <v>0</v>
      </c>
      <c r="T274" s="563">
        <v>0</v>
      </c>
      <c r="U274" s="593">
        <v>0</v>
      </c>
      <c r="V274" s="522"/>
      <c r="W274" s="524"/>
      <c r="X274" s="512"/>
    </row>
    <row r="275" spans="1:24" s="513" customFormat="1" x14ac:dyDescent="0.3">
      <c r="A275" s="521"/>
      <c r="B275" s="562" t="s">
        <v>162</v>
      </c>
      <c r="C275" s="522"/>
      <c r="D275" s="522"/>
      <c r="E275" s="522"/>
      <c r="F275" s="522"/>
      <c r="G275" s="522"/>
      <c r="H275" s="594"/>
      <c r="I275" s="594"/>
      <c r="J275" s="594"/>
      <c r="K275" s="594"/>
      <c r="L275" s="594"/>
      <c r="M275" s="594"/>
      <c r="N275" s="594"/>
      <c r="O275" s="594"/>
      <c r="P275" s="594"/>
      <c r="Q275" s="594"/>
      <c r="R275" s="562">
        <v>0</v>
      </c>
      <c r="S275" s="593">
        <v>0</v>
      </c>
      <c r="T275" s="563">
        <v>0</v>
      </c>
      <c r="U275" s="593">
        <v>0</v>
      </c>
      <c r="V275" s="522"/>
      <c r="W275" s="524"/>
      <c r="X275" s="512"/>
    </row>
    <row r="276" spans="1:24" s="513" customFormat="1" x14ac:dyDescent="0.3">
      <c r="A276" s="521"/>
      <c r="B276" s="562" t="s">
        <v>163</v>
      </c>
      <c r="C276" s="522"/>
      <c r="D276" s="522"/>
      <c r="E276" s="522"/>
      <c r="F276" s="522"/>
      <c r="G276" s="522"/>
      <c r="H276" s="594"/>
      <c r="I276" s="594"/>
      <c r="J276" s="594"/>
      <c r="K276" s="594"/>
      <c r="L276" s="594"/>
      <c r="M276" s="594"/>
      <c r="N276" s="594"/>
      <c r="O276" s="594"/>
      <c r="P276" s="594"/>
      <c r="Q276" s="594"/>
      <c r="R276" s="562">
        <v>0</v>
      </c>
      <c r="S276" s="593">
        <v>0</v>
      </c>
      <c r="T276" s="563">
        <v>0</v>
      </c>
      <c r="U276" s="593">
        <v>0</v>
      </c>
      <c r="V276" s="522"/>
      <c r="W276" s="524"/>
      <c r="X276" s="512"/>
    </row>
    <row r="277" spans="1:24" s="513" customFormat="1" x14ac:dyDescent="0.3">
      <c r="A277" s="521"/>
      <c r="B277" s="562" t="s">
        <v>164</v>
      </c>
      <c r="C277" s="522"/>
      <c r="D277" s="522"/>
      <c r="E277" s="522"/>
      <c r="F277" s="522"/>
      <c r="G277" s="522"/>
      <c r="H277" s="594"/>
      <c r="I277" s="594"/>
      <c r="J277" s="594"/>
      <c r="K277" s="594"/>
      <c r="L277" s="594"/>
      <c r="M277" s="594"/>
      <c r="N277" s="594"/>
      <c r="O277" s="594"/>
      <c r="P277" s="594"/>
      <c r="Q277" s="594"/>
      <c r="R277" s="562">
        <v>0</v>
      </c>
      <c r="S277" s="593">
        <v>0</v>
      </c>
      <c r="T277" s="563">
        <v>0</v>
      </c>
      <c r="U277" s="593">
        <v>0</v>
      </c>
      <c r="V277" s="522"/>
      <c r="W277" s="524"/>
      <c r="X277" s="512"/>
    </row>
    <row r="278" spans="1:24" s="513" customFormat="1" x14ac:dyDescent="0.3">
      <c r="A278" s="521"/>
      <c r="B278" s="562" t="s">
        <v>165</v>
      </c>
      <c r="C278" s="522"/>
      <c r="D278" s="522"/>
      <c r="E278" s="522"/>
      <c r="F278" s="522"/>
      <c r="G278" s="522"/>
      <c r="H278" s="594"/>
      <c r="I278" s="594"/>
      <c r="J278" s="594"/>
      <c r="K278" s="594"/>
      <c r="L278" s="594"/>
      <c r="M278" s="594"/>
      <c r="N278" s="594"/>
      <c r="O278" s="594"/>
      <c r="P278" s="594"/>
      <c r="Q278" s="594"/>
      <c r="R278" s="562">
        <v>0</v>
      </c>
      <c r="S278" s="593">
        <v>0</v>
      </c>
      <c r="T278" s="563">
        <v>0</v>
      </c>
      <c r="U278" s="593">
        <v>0</v>
      </c>
      <c r="V278" s="522"/>
      <c r="W278" s="524"/>
      <c r="X278" s="512"/>
    </row>
    <row r="279" spans="1:24" s="513" customFormat="1" x14ac:dyDescent="0.3">
      <c r="A279" s="521"/>
      <c r="B279" s="562"/>
      <c r="C279" s="522"/>
      <c r="D279" s="522"/>
      <c r="E279" s="522"/>
      <c r="F279" s="522"/>
      <c r="G279" s="522"/>
      <c r="H279" s="594"/>
      <c r="I279" s="594"/>
      <c r="J279" s="594"/>
      <c r="K279" s="594"/>
      <c r="L279" s="594"/>
      <c r="M279" s="594"/>
      <c r="N279" s="594"/>
      <c r="O279" s="594"/>
      <c r="P279" s="594"/>
      <c r="Q279" s="594"/>
      <c r="R279" s="562"/>
      <c r="S279" s="593"/>
      <c r="T279" s="563"/>
      <c r="U279" s="593"/>
      <c r="V279" s="522"/>
      <c r="W279" s="524"/>
      <c r="X279" s="512"/>
    </row>
    <row r="280" spans="1:24" s="513" customFormat="1" x14ac:dyDescent="0.3">
      <c r="A280" s="521"/>
      <c r="B280" s="522" t="s">
        <v>119</v>
      </c>
      <c r="C280" s="522"/>
      <c r="D280" s="522"/>
      <c r="E280" s="522"/>
      <c r="F280" s="522"/>
      <c r="G280" s="522"/>
      <c r="H280" s="594"/>
      <c r="I280" s="594"/>
      <c r="J280" s="594"/>
      <c r="K280" s="594"/>
      <c r="L280" s="594"/>
      <c r="M280" s="594"/>
      <c r="N280" s="594"/>
      <c r="O280" s="594"/>
      <c r="P280" s="594"/>
      <c r="Q280" s="594"/>
      <c r="R280" s="562">
        <f>SUM(R271:R278)</f>
        <v>0</v>
      </c>
      <c r="S280" s="593">
        <f>SUM(S271:S279)</f>
        <v>0</v>
      </c>
      <c r="T280" s="563">
        <f>SUM(T271:T278)</f>
        <v>0</v>
      </c>
      <c r="U280" s="593">
        <f>SUM(U271:U279)</f>
        <v>0</v>
      </c>
      <c r="V280" s="522"/>
      <c r="W280" s="524"/>
      <c r="X280" s="512"/>
    </row>
    <row r="281" spans="1:24" s="513" customFormat="1" x14ac:dyDescent="0.3">
      <c r="A281" s="521"/>
      <c r="B281" s="522"/>
      <c r="C281" s="522"/>
      <c r="D281" s="522"/>
      <c r="E281" s="522"/>
      <c r="F281" s="522"/>
      <c r="G281" s="522"/>
      <c r="H281" s="594"/>
      <c r="I281" s="594"/>
      <c r="J281" s="594"/>
      <c r="K281" s="594"/>
      <c r="L281" s="594"/>
      <c r="M281" s="594"/>
      <c r="N281" s="594"/>
      <c r="O281" s="594"/>
      <c r="P281" s="594"/>
      <c r="Q281" s="594"/>
      <c r="R281" s="562"/>
      <c r="S281" s="593"/>
      <c r="T281" s="563"/>
      <c r="U281" s="593"/>
      <c r="V281" s="522"/>
      <c r="W281" s="524"/>
      <c r="X281" s="512"/>
    </row>
    <row r="282" spans="1:24" s="513" customFormat="1" x14ac:dyDescent="0.3">
      <c r="A282" s="521"/>
      <c r="B282" s="527" t="s">
        <v>170</v>
      </c>
      <c r="C282" s="522"/>
      <c r="D282" s="522"/>
      <c r="E282" s="522"/>
      <c r="F282" s="522"/>
      <c r="G282" s="522"/>
      <c r="H282" s="594"/>
      <c r="I282" s="594"/>
      <c r="J282" s="594"/>
      <c r="K282" s="594"/>
      <c r="L282" s="594"/>
      <c r="M282" s="594"/>
      <c r="N282" s="594"/>
      <c r="O282" s="594"/>
      <c r="P282" s="594"/>
      <c r="Q282" s="594"/>
      <c r="R282" s="598">
        <f>R280+R268+R256</f>
        <v>5716</v>
      </c>
      <c r="S282" s="593"/>
      <c r="T282" s="599">
        <f>+T280+T268+T256</f>
        <v>751989</v>
      </c>
      <c r="U282" s="593"/>
      <c r="V282" s="522"/>
      <c r="W282" s="524"/>
      <c r="X282" s="512"/>
    </row>
    <row r="283" spans="1:24" s="513" customFormat="1" x14ac:dyDescent="0.3">
      <c r="A283" s="509"/>
      <c r="B283" s="552"/>
      <c r="C283" s="552"/>
      <c r="D283" s="552"/>
      <c r="E283" s="552"/>
      <c r="F283" s="552"/>
      <c r="G283" s="552"/>
      <c r="H283" s="597"/>
      <c r="I283" s="597"/>
      <c r="J283" s="597"/>
      <c r="K283" s="597"/>
      <c r="L283" s="597"/>
      <c r="M283" s="597"/>
      <c r="N283" s="597"/>
      <c r="O283" s="597"/>
      <c r="P283" s="597"/>
      <c r="Q283" s="597"/>
      <c r="R283" s="597"/>
      <c r="S283" s="597"/>
      <c r="T283" s="596"/>
      <c r="U283" s="597"/>
      <c r="V283" s="552"/>
      <c r="W283" s="552"/>
      <c r="X283" s="512"/>
    </row>
    <row r="284" spans="1:24" s="513" customFormat="1" x14ac:dyDescent="0.3">
      <c r="A284" s="509"/>
      <c r="B284" s="510"/>
      <c r="C284" s="510"/>
      <c r="D284" s="510"/>
      <c r="E284" s="510"/>
      <c r="F284" s="510"/>
      <c r="G284" s="510"/>
      <c r="H284" s="600"/>
      <c r="I284" s="600"/>
      <c r="J284" s="600"/>
      <c r="K284" s="600"/>
      <c r="L284" s="600"/>
      <c r="M284" s="600"/>
      <c r="N284" s="600"/>
      <c r="O284" s="600"/>
      <c r="P284" s="600"/>
      <c r="Q284" s="600"/>
      <c r="R284" s="600"/>
      <c r="S284" s="600"/>
      <c r="T284" s="601"/>
      <c r="U284" s="600"/>
      <c r="V284" s="510"/>
      <c r="W284" s="510"/>
      <c r="X284" s="512"/>
    </row>
    <row r="285" spans="1:24" s="513" customFormat="1" x14ac:dyDescent="0.3">
      <c r="A285" s="509"/>
      <c r="B285" s="508" t="s">
        <v>93</v>
      </c>
      <c r="C285" s="510"/>
      <c r="D285" s="510"/>
      <c r="E285" s="510"/>
      <c r="F285" s="516" t="s">
        <v>99</v>
      </c>
      <c r="G285" s="510"/>
      <c r="H285" s="508" t="s">
        <v>101</v>
      </c>
      <c r="I285" s="510"/>
      <c r="J285" s="510"/>
      <c r="K285" s="510"/>
      <c r="L285" s="510"/>
      <c r="M285" s="510"/>
      <c r="N285" s="510"/>
      <c r="O285" s="510"/>
      <c r="P285" s="510"/>
      <c r="Q285" s="510"/>
      <c r="R285" s="510"/>
      <c r="S285" s="510"/>
      <c r="T285" s="510"/>
      <c r="U285" s="510"/>
      <c r="V285" s="510"/>
      <c r="W285" s="510"/>
      <c r="X285" s="512"/>
    </row>
    <row r="286" spans="1:24" s="513" customFormat="1" x14ac:dyDescent="0.3">
      <c r="A286" s="509"/>
      <c r="B286" s="510"/>
      <c r="C286" s="510"/>
      <c r="D286" s="510"/>
      <c r="E286" s="510"/>
      <c r="F286" s="510"/>
      <c r="G286" s="510"/>
      <c r="H286" s="510"/>
      <c r="I286" s="510"/>
      <c r="J286" s="510"/>
      <c r="K286" s="510"/>
      <c r="L286" s="510"/>
      <c r="M286" s="510"/>
      <c r="N286" s="510"/>
      <c r="O286" s="510"/>
      <c r="P286" s="510"/>
      <c r="Q286" s="510"/>
      <c r="R286" s="510"/>
      <c r="S286" s="510"/>
      <c r="T286" s="510"/>
      <c r="U286" s="510"/>
      <c r="V286" s="510"/>
      <c r="W286" s="510"/>
      <c r="X286" s="512"/>
    </row>
    <row r="287" spans="1:24" s="513" customFormat="1" x14ac:dyDescent="0.3">
      <c r="A287" s="509"/>
      <c r="B287" s="508" t="s">
        <v>327</v>
      </c>
      <c r="C287" s="508"/>
      <c r="D287" s="508"/>
      <c r="E287" s="508"/>
      <c r="F287" s="602" t="s">
        <v>278</v>
      </c>
      <c r="G287" s="508"/>
      <c r="H287" s="402" t="s">
        <v>350</v>
      </c>
      <c r="I287" s="510"/>
      <c r="J287" s="510"/>
      <c r="K287" s="510"/>
      <c r="L287" s="510"/>
      <c r="M287" s="510"/>
      <c r="N287" s="510"/>
      <c r="O287" s="510"/>
      <c r="P287" s="510"/>
      <c r="Q287" s="510"/>
      <c r="R287" s="510"/>
      <c r="S287" s="510"/>
      <c r="T287" s="510"/>
      <c r="U287" s="510"/>
      <c r="V287" s="510"/>
      <c r="W287" s="510"/>
      <c r="X287" s="512"/>
    </row>
    <row r="288" spans="1:24" s="513" customFormat="1" x14ac:dyDescent="0.3">
      <c r="A288" s="509"/>
      <c r="B288" s="508" t="s">
        <v>328</v>
      </c>
      <c r="C288" s="508"/>
      <c r="D288" s="508"/>
      <c r="E288" s="508"/>
      <c r="F288" s="602" t="s">
        <v>152</v>
      </c>
      <c r="G288" s="508"/>
      <c r="H288" s="402" t="s">
        <v>351</v>
      </c>
      <c r="I288" s="510"/>
      <c r="J288" s="510"/>
      <c r="K288" s="510"/>
      <c r="L288" s="510"/>
      <c r="M288" s="510"/>
      <c r="N288" s="510"/>
      <c r="O288" s="510"/>
      <c r="P288" s="510"/>
      <c r="Q288" s="510"/>
      <c r="R288" s="510"/>
      <c r="S288" s="510"/>
      <c r="T288" s="510"/>
      <c r="U288" s="510"/>
      <c r="V288" s="510"/>
      <c r="W288" s="510"/>
      <c r="X288" s="512"/>
    </row>
    <row r="289" spans="1:24" s="513" customFormat="1" x14ac:dyDescent="0.3">
      <c r="A289" s="509"/>
      <c r="B289" s="508"/>
      <c r="C289" s="508"/>
      <c r="D289" s="508"/>
      <c r="E289" s="508"/>
      <c r="F289" s="508"/>
      <c r="G289" s="508"/>
      <c r="H289" s="510"/>
      <c r="I289" s="510"/>
      <c r="J289" s="510"/>
      <c r="K289" s="510"/>
      <c r="L289" s="510"/>
      <c r="M289" s="510"/>
      <c r="N289" s="510"/>
      <c r="O289" s="510"/>
      <c r="P289" s="510"/>
      <c r="Q289" s="510"/>
      <c r="R289" s="510"/>
      <c r="S289" s="510"/>
      <c r="T289" s="510"/>
      <c r="U289" s="510"/>
      <c r="V289" s="510"/>
      <c r="W289" s="510"/>
      <c r="X289" s="512"/>
    </row>
    <row r="290" spans="1:24" s="513" customFormat="1" ht="18.600000000000001" thickBot="1" x14ac:dyDescent="0.4">
      <c r="A290" s="509"/>
      <c r="B290" s="603" t="str">
        <f>B196</f>
        <v>PM12 INVESTOR REPORT QUARTER ENDING JANUARY 2018</v>
      </c>
      <c r="C290" s="508"/>
      <c r="D290" s="508"/>
      <c r="E290" s="508"/>
      <c r="F290" s="508"/>
      <c r="G290" s="508"/>
      <c r="H290" s="510"/>
      <c r="I290" s="510"/>
      <c r="J290" s="510"/>
      <c r="K290" s="510"/>
      <c r="L290" s="510"/>
      <c r="M290" s="510"/>
      <c r="N290" s="510"/>
      <c r="O290" s="510"/>
      <c r="P290" s="510"/>
      <c r="Q290" s="510"/>
      <c r="R290" s="510"/>
      <c r="S290" s="510"/>
      <c r="T290" s="510"/>
      <c r="U290" s="510"/>
      <c r="V290" s="510"/>
      <c r="W290" s="510"/>
      <c r="X290" s="512"/>
    </row>
    <row r="291" spans="1:24" x14ac:dyDescent="0.3">
      <c r="A291" s="492"/>
      <c r="B291" s="492"/>
      <c r="C291" s="492"/>
      <c r="D291" s="492"/>
      <c r="E291" s="492"/>
      <c r="F291" s="492"/>
      <c r="G291" s="492"/>
      <c r="H291" s="492"/>
      <c r="I291" s="492"/>
      <c r="J291" s="492"/>
      <c r="K291" s="492"/>
      <c r="L291" s="492"/>
      <c r="M291" s="492"/>
      <c r="N291" s="492"/>
      <c r="O291" s="492"/>
      <c r="P291" s="492"/>
      <c r="Q291" s="492"/>
      <c r="R291" s="492"/>
      <c r="S291" s="492"/>
      <c r="T291" s="492"/>
      <c r="U291" s="492"/>
      <c r="V291" s="492"/>
      <c r="W291" s="492"/>
    </row>
  </sheetData>
  <hyperlinks>
    <hyperlink ref="I9" r:id="rId1" xr:uid="{00000000-0004-0000-2D00-000000000000}"/>
    <hyperlink ref="P232" r:id="rId2" xr:uid="{00000000-0004-0000-2D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89CB31"/>
  </sheetPr>
  <dimension ref="A1:Y291"/>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0.66820000000000002</v>
      </c>
      <c r="T16" s="516" t="s">
        <v>145</v>
      </c>
      <c r="U16" s="515">
        <v>0.33179999999999998</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43238</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219</v>
      </c>
      <c r="E26" s="526"/>
      <c r="F26" s="526" t="s">
        <v>146</v>
      </c>
      <c r="G26" s="526"/>
      <c r="H26" s="526" t="s">
        <v>146</v>
      </c>
      <c r="I26" s="526"/>
      <c r="J26" s="526" t="s">
        <v>146</v>
      </c>
      <c r="K26" s="526"/>
      <c r="L26" s="613" t="s">
        <v>189</v>
      </c>
      <c r="M26" s="613"/>
      <c r="N26" s="613" t="s">
        <v>189</v>
      </c>
      <c r="O26" s="526"/>
      <c r="P26" s="526" t="s">
        <v>147</v>
      </c>
      <c r="Q26" s="526"/>
      <c r="R26" s="526" t="s">
        <v>147</v>
      </c>
      <c r="S26" s="526"/>
      <c r="T26" s="523"/>
      <c r="U26" s="522"/>
      <c r="V26" s="522"/>
      <c r="W26" s="524"/>
      <c r="X26" s="512"/>
    </row>
    <row r="27" spans="1:25" s="513" customFormat="1" x14ac:dyDescent="0.3">
      <c r="A27" s="521"/>
      <c r="B27" s="527" t="s">
        <v>197</v>
      </c>
      <c r="C27" s="523"/>
      <c r="D27" s="526" t="s">
        <v>314</v>
      </c>
      <c r="E27" s="526"/>
      <c r="F27" s="526" t="s">
        <v>148</v>
      </c>
      <c r="G27" s="526"/>
      <c r="H27" s="526" t="s">
        <v>148</v>
      </c>
      <c r="I27" s="526"/>
      <c r="J27" s="526" t="s">
        <v>148</v>
      </c>
      <c r="K27" s="526"/>
      <c r="L27" s="526" t="s">
        <v>149</v>
      </c>
      <c r="M27" s="526"/>
      <c r="N27" s="526" t="s">
        <v>149</v>
      </c>
      <c r="O27" s="526"/>
      <c r="P27" s="526" t="s">
        <v>337</v>
      </c>
      <c r="Q27" s="526"/>
      <c r="R27" s="526" t="s">
        <v>337</v>
      </c>
      <c r="S27" s="523"/>
      <c r="T27" s="528"/>
      <c r="U27" s="522"/>
      <c r="V27" s="522"/>
      <c r="W27" s="524"/>
      <c r="X27" s="512"/>
    </row>
    <row r="28" spans="1:25" s="513" customFormat="1" x14ac:dyDescent="0.3">
      <c r="A28" s="521"/>
      <c r="B28" s="527" t="s">
        <v>198</v>
      </c>
      <c r="C28" s="523"/>
      <c r="D28" s="526" t="s">
        <v>312</v>
      </c>
      <c r="E28" s="526"/>
      <c r="F28" s="526" t="s">
        <v>148</v>
      </c>
      <c r="G28" s="526"/>
      <c r="H28" s="526" t="s">
        <v>148</v>
      </c>
      <c r="I28" s="526"/>
      <c r="J28" s="526" t="s">
        <v>148</v>
      </c>
      <c r="K28" s="526"/>
      <c r="L28" s="526" t="s">
        <v>148</v>
      </c>
      <c r="M28" s="526"/>
      <c r="N28" s="526" t="s">
        <v>148</v>
      </c>
      <c r="O28" s="526"/>
      <c r="P28" s="526" t="s">
        <v>149</v>
      </c>
      <c r="Q28" s="526"/>
      <c r="R28" s="526" t="s">
        <v>149</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533">
        <f>D31*D38</f>
        <v>635479.95000000007</v>
      </c>
      <c r="E32" s="529"/>
      <c r="F32" s="530">
        <f>F31*F38</f>
        <v>61430.033000000003</v>
      </c>
      <c r="G32" s="530"/>
      <c r="H32" s="534">
        <f>H31*H38</f>
        <v>103795.573</v>
      </c>
      <c r="I32" s="534"/>
      <c r="J32" s="533">
        <f>J31*J38</f>
        <v>131756.17629999999</v>
      </c>
      <c r="K32" s="530"/>
      <c r="L32" s="530">
        <f>+L31</f>
        <v>25000</v>
      </c>
      <c r="M32" s="530"/>
      <c r="N32" s="534">
        <f>+N31</f>
        <v>126000</v>
      </c>
      <c r="O32" s="530"/>
      <c r="P32" s="530">
        <f>+P31</f>
        <v>17000</v>
      </c>
      <c r="Q32" s="530"/>
      <c r="R32" s="534">
        <f>+R31</f>
        <v>106000</v>
      </c>
      <c r="S32" s="530"/>
      <c r="T32" s="530"/>
      <c r="U32" s="529"/>
      <c r="V32" s="530"/>
      <c r="W32" s="531"/>
      <c r="X32" s="512"/>
    </row>
    <row r="33" spans="1:24" s="513" customFormat="1" x14ac:dyDescent="0.3">
      <c r="A33" s="521"/>
      <c r="B33" s="527" t="s">
        <v>139</v>
      </c>
      <c r="C33" s="529"/>
      <c r="D33" s="536">
        <f>D37*D31</f>
        <v>621801.75</v>
      </c>
      <c r="E33" s="532"/>
      <c r="F33" s="535">
        <f>F37*F31</f>
        <v>60107.806999999993</v>
      </c>
      <c r="G33" s="535"/>
      <c r="H33" s="537">
        <f>H31*H37</f>
        <v>101561.46699999999</v>
      </c>
      <c r="I33" s="537"/>
      <c r="J33" s="536">
        <f>J37*J31</f>
        <v>128920.22949999999</v>
      </c>
      <c r="K33" s="535"/>
      <c r="L33" s="535">
        <f>L31*L37</f>
        <v>25000</v>
      </c>
      <c r="M33" s="535"/>
      <c r="N33" s="537">
        <f>N31*N37</f>
        <v>126000</v>
      </c>
      <c r="O33" s="535"/>
      <c r="P33" s="535">
        <f>P31*P37</f>
        <v>17000</v>
      </c>
      <c r="Q33" s="535"/>
      <c r="R33" s="537">
        <f>R31*R37</f>
        <v>106000</v>
      </c>
      <c r="S33" s="530"/>
      <c r="T33" s="530"/>
      <c r="U33" s="529"/>
      <c r="V33" s="530"/>
      <c r="W33" s="531"/>
      <c r="X33" s="512"/>
    </row>
    <row r="34" spans="1:24"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4" s="513" customFormat="1" x14ac:dyDescent="0.3">
      <c r="A35" s="525"/>
      <c r="B35" s="522" t="s">
        <v>294</v>
      </c>
      <c r="C35" s="532"/>
      <c r="D35" s="530">
        <f>D34*D38</f>
        <v>345369.37226610002</v>
      </c>
      <c r="E35" s="529"/>
      <c r="F35" s="530">
        <f>F34*F38</f>
        <v>61430.033000000003</v>
      </c>
      <c r="G35" s="530"/>
      <c r="H35" s="530">
        <f>H34*H38</f>
        <v>71583.358316400001</v>
      </c>
      <c r="I35" s="530"/>
      <c r="J35" s="530">
        <f>J34*J38</f>
        <v>71606.728072600003</v>
      </c>
      <c r="K35" s="530"/>
      <c r="L35" s="530">
        <f>+L34</f>
        <v>25000</v>
      </c>
      <c r="M35" s="530"/>
      <c r="N35" s="530">
        <f>+N34</f>
        <v>86897</v>
      </c>
      <c r="O35" s="530"/>
      <c r="P35" s="530">
        <f>+P34</f>
        <v>17000</v>
      </c>
      <c r="Q35" s="530"/>
      <c r="R35" s="530">
        <f>+R34</f>
        <v>73103</v>
      </c>
      <c r="S35" s="530"/>
      <c r="T35" s="530"/>
      <c r="U35" s="529"/>
      <c r="V35" s="530">
        <f>SUM(C35:R35)</f>
        <v>751989.49165510002</v>
      </c>
      <c r="W35" s="531"/>
      <c r="X35" s="512"/>
    </row>
    <row r="36" spans="1:24" s="513" customFormat="1" x14ac:dyDescent="0.3">
      <c r="A36" s="525"/>
      <c r="B36" s="527" t="s">
        <v>295</v>
      </c>
      <c r="C36" s="532"/>
      <c r="D36" s="535">
        <f>D34*D37</f>
        <v>337935.57148649998</v>
      </c>
      <c r="E36" s="532"/>
      <c r="F36" s="535">
        <f>F34*F37</f>
        <v>60107.806999999993</v>
      </c>
      <c r="G36" s="535"/>
      <c r="H36" s="535">
        <f>H34*H37</f>
        <v>70042.591155599992</v>
      </c>
      <c r="I36" s="535"/>
      <c r="J36" s="535">
        <f>J34*J37</f>
        <v>70065.45025899999</v>
      </c>
      <c r="K36" s="535"/>
      <c r="L36" s="535">
        <f>+L34</f>
        <v>25000</v>
      </c>
      <c r="M36" s="535"/>
      <c r="N36" s="535">
        <f>+N34</f>
        <v>86897</v>
      </c>
      <c r="O36" s="535"/>
      <c r="P36" s="535">
        <f>+P34</f>
        <v>17000</v>
      </c>
      <c r="Q36" s="535"/>
      <c r="R36" s="535">
        <f>+R34</f>
        <v>73103</v>
      </c>
      <c r="S36" s="538"/>
      <c r="T36" s="538"/>
      <c r="U36" s="529"/>
      <c r="V36" s="535">
        <f>SUM(C36:R36)</f>
        <v>740151.41990109987</v>
      </c>
      <c r="W36" s="531"/>
      <c r="X36" s="512"/>
    </row>
    <row r="37" spans="1:24" x14ac:dyDescent="0.3">
      <c r="A37" s="420"/>
      <c r="B37" s="493" t="s">
        <v>135</v>
      </c>
      <c r="C37" s="494"/>
      <c r="D37" s="495">
        <v>0.41453449999999997</v>
      </c>
      <c r="E37" s="496"/>
      <c r="F37" s="495">
        <v>0.41453659999999998</v>
      </c>
      <c r="G37" s="495"/>
      <c r="H37" s="495">
        <v>0.41453659999999998</v>
      </c>
      <c r="I37" s="495"/>
      <c r="J37" s="495">
        <v>0.41453449999999997</v>
      </c>
      <c r="K37" s="495"/>
      <c r="L37" s="495">
        <v>1</v>
      </c>
      <c r="M37" s="495"/>
      <c r="N37" s="495">
        <v>1</v>
      </c>
      <c r="O37" s="495"/>
      <c r="P37" s="495">
        <v>1</v>
      </c>
      <c r="Q37" s="495"/>
      <c r="R37" s="495">
        <v>1</v>
      </c>
      <c r="S37" s="425"/>
      <c r="T37" s="425"/>
      <c r="U37" s="424"/>
      <c r="V37" s="424"/>
      <c r="W37" s="426"/>
      <c r="X37" s="405"/>
    </row>
    <row r="38" spans="1:24" x14ac:dyDescent="0.3">
      <c r="A38" s="420"/>
      <c r="B38" s="493" t="s">
        <v>136</v>
      </c>
      <c r="C38" s="494"/>
      <c r="D38" s="495">
        <v>0.42365330000000001</v>
      </c>
      <c r="E38" s="496"/>
      <c r="F38" s="495">
        <v>0.42365540000000002</v>
      </c>
      <c r="G38" s="495"/>
      <c r="H38" s="495">
        <v>0.42365540000000002</v>
      </c>
      <c r="I38" s="495"/>
      <c r="J38" s="495">
        <v>0.42365330000000001</v>
      </c>
      <c r="K38" s="495"/>
      <c r="L38" s="495">
        <v>1</v>
      </c>
      <c r="M38" s="495"/>
      <c r="N38" s="495">
        <v>1</v>
      </c>
      <c r="O38" s="495"/>
      <c r="P38" s="495">
        <v>1</v>
      </c>
      <c r="Q38" s="495"/>
      <c r="R38" s="495">
        <v>1</v>
      </c>
      <c r="S38" s="427"/>
      <c r="T38" s="428"/>
      <c r="U38" s="424"/>
      <c r="V38" s="427"/>
      <c r="W38" s="426"/>
      <c r="X38" s="405"/>
    </row>
    <row r="39" spans="1:24"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4" s="513" customFormat="1" x14ac:dyDescent="0.3">
      <c r="A40" s="521"/>
      <c r="B40" s="522" t="s">
        <v>12</v>
      </c>
      <c r="C40" s="522"/>
      <c r="D40" s="540">
        <v>2.13688E-2</v>
      </c>
      <c r="E40" s="522"/>
      <c r="F40" s="540">
        <v>7.8662999999999997E-3</v>
      </c>
      <c r="G40" s="539"/>
      <c r="H40" s="540">
        <v>0</v>
      </c>
      <c r="I40" s="540"/>
      <c r="J40" s="540">
        <v>2.0587500000000002E-2</v>
      </c>
      <c r="K40" s="539"/>
      <c r="L40" s="540">
        <v>1.0266300000000001E-2</v>
      </c>
      <c r="M40" s="539"/>
      <c r="N40" s="540">
        <v>1.5100000000000001E-3</v>
      </c>
      <c r="O40" s="539"/>
      <c r="P40" s="540">
        <v>1.46663E-2</v>
      </c>
      <c r="Q40" s="539"/>
      <c r="R40" s="540">
        <v>5.9100000000000003E-3</v>
      </c>
      <c r="S40" s="539"/>
      <c r="T40" s="540"/>
      <c r="U40" s="522"/>
      <c r="V40" s="528"/>
      <c r="W40" s="524"/>
      <c r="X40" s="512"/>
    </row>
    <row r="41" spans="1:24" s="513" customFormat="1" x14ac:dyDescent="0.3">
      <c r="A41" s="521"/>
      <c r="B41" s="522" t="s">
        <v>13</v>
      </c>
      <c r="C41" s="522"/>
      <c r="D41" s="540">
        <v>1.7994699999999999E-2</v>
      </c>
      <c r="E41" s="522"/>
      <c r="F41" s="540">
        <v>7.6625E-3</v>
      </c>
      <c r="G41" s="539"/>
      <c r="H41" s="540">
        <v>0</v>
      </c>
      <c r="I41" s="540"/>
      <c r="J41" s="540">
        <v>1.6358600000000001E-2</v>
      </c>
      <c r="K41" s="539"/>
      <c r="L41" s="540">
        <v>1.00625E-2</v>
      </c>
      <c r="M41" s="539"/>
      <c r="N41" s="540">
        <v>1.5100000000000001E-3</v>
      </c>
      <c r="O41" s="539"/>
      <c r="P41" s="540">
        <v>1.44625E-2</v>
      </c>
      <c r="Q41" s="539"/>
      <c r="R41" s="540">
        <v>5.9100000000000003E-3</v>
      </c>
      <c r="S41" s="539"/>
      <c r="T41" s="540"/>
      <c r="U41" s="522"/>
      <c r="V41" s="539" t="s">
        <v>199</v>
      </c>
      <c r="W41" s="524"/>
      <c r="X41" s="512"/>
    </row>
    <row r="42" spans="1:24" s="513" customFormat="1" x14ac:dyDescent="0.3">
      <c r="A42" s="521"/>
      <c r="B42" s="522" t="s">
        <v>296</v>
      </c>
      <c r="C42" s="522"/>
      <c r="D42" s="528" t="s">
        <v>243</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4" s="513" customFormat="1" x14ac:dyDescent="0.3">
      <c r="A43" s="521"/>
      <c r="B43" s="522" t="s">
        <v>297</v>
      </c>
      <c r="C43" s="541"/>
      <c r="D43" s="540">
        <v>8.0806000000000003E-3</v>
      </c>
      <c r="E43" s="540"/>
      <c r="F43" s="540">
        <f>+F40</f>
        <v>7.8662999999999997E-3</v>
      </c>
      <c r="G43" s="540"/>
      <c r="H43" s="540">
        <v>7.7882999999999997E-3</v>
      </c>
      <c r="I43" s="540"/>
      <c r="J43" s="540">
        <v>8.0303000000000006E-3</v>
      </c>
      <c r="K43" s="540"/>
      <c r="L43" s="540">
        <f>+L40</f>
        <v>1.0266300000000001E-2</v>
      </c>
      <c r="M43" s="540"/>
      <c r="N43" s="540">
        <v>1.04683E-2</v>
      </c>
      <c r="O43" s="540"/>
      <c r="P43" s="540">
        <f>+P40</f>
        <v>1.46663E-2</v>
      </c>
      <c r="Q43" s="539"/>
      <c r="R43" s="540">
        <v>1.51383E-2</v>
      </c>
      <c r="S43" s="528"/>
      <c r="T43" s="528"/>
      <c r="U43" s="522"/>
      <c r="V43" s="539">
        <f>SUMPRODUCT(D43:R43,D35:R35)/V35</f>
        <v>9.2140364766111482E-3</v>
      </c>
      <c r="W43" s="524"/>
      <c r="X43" s="512"/>
    </row>
    <row r="44" spans="1:24" s="513" customFormat="1" x14ac:dyDescent="0.3">
      <c r="A44" s="521"/>
      <c r="B44" s="522" t="s">
        <v>298</v>
      </c>
      <c r="C44" s="541"/>
      <c r="D44" s="540">
        <v>7.8767999999999998E-3</v>
      </c>
      <c r="E44" s="540"/>
      <c r="F44" s="540">
        <f>+F41</f>
        <v>7.6625E-3</v>
      </c>
      <c r="G44" s="540"/>
      <c r="H44" s="540">
        <v>7.5845000000000001E-3</v>
      </c>
      <c r="I44" s="540"/>
      <c r="J44" s="540">
        <v>7.8265000000000001E-3</v>
      </c>
      <c r="K44" s="540"/>
      <c r="L44" s="540">
        <f>+L41</f>
        <v>1.00625E-2</v>
      </c>
      <c r="M44" s="540"/>
      <c r="N44" s="540">
        <v>1.0264499999999999E-2</v>
      </c>
      <c r="O44" s="540"/>
      <c r="P44" s="540">
        <f>+P41</f>
        <v>1.44625E-2</v>
      </c>
      <c r="Q44" s="539"/>
      <c r="R44" s="540">
        <v>1.49345E-2</v>
      </c>
      <c r="S44" s="528"/>
      <c r="T44" s="528"/>
      <c r="U44" s="522"/>
      <c r="V44" s="522"/>
      <c r="W44" s="524"/>
      <c r="X44" s="512"/>
    </row>
    <row r="45" spans="1:24"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4"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4"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4" s="513" customFormat="1" x14ac:dyDescent="0.3">
      <c r="A48" s="521"/>
      <c r="B48" s="522" t="s">
        <v>299</v>
      </c>
      <c r="C48" s="522"/>
      <c r="D48" s="528" t="s">
        <v>243</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0.37535903935201559</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209</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43235</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43054</v>
      </c>
      <c r="U57" s="550"/>
      <c r="V57" s="549">
        <v>43145</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89</v>
      </c>
      <c r="S58" s="522"/>
      <c r="T58" s="549">
        <v>43146</v>
      </c>
      <c r="U58" s="550"/>
      <c r="V58" s="549">
        <v>43234</v>
      </c>
      <c r="W58" s="524"/>
      <c r="X58" s="512"/>
    </row>
    <row r="59" spans="1:25" s="513" customFormat="1" x14ac:dyDescent="0.3">
      <c r="A59" s="521"/>
      <c r="B59" s="522" t="s">
        <v>263</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262</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43221</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354</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751989</v>
      </c>
      <c r="O68" s="562"/>
      <c r="P68" s="562">
        <f>11838+713+115</f>
        <v>12666</v>
      </c>
      <c r="Q68" s="562"/>
      <c r="R68" s="562">
        <f>713+115</f>
        <v>828</v>
      </c>
      <c r="S68" s="562"/>
      <c r="T68" s="562">
        <v>0</v>
      </c>
      <c r="U68" s="562"/>
      <c r="V68" s="563">
        <f>+N68-P68+R68-T68</f>
        <v>740151</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751989</v>
      </c>
      <c r="O71" s="562"/>
      <c r="P71" s="562">
        <f>SUM(P68:P70)</f>
        <v>12666</v>
      </c>
      <c r="Q71" s="562"/>
      <c r="R71" s="562">
        <f>SUM(R68:R70)</f>
        <v>828</v>
      </c>
      <c r="S71" s="562"/>
      <c r="T71" s="562">
        <f>SUM(T68:T70)</f>
        <v>0</v>
      </c>
      <c r="U71" s="562"/>
      <c r="V71" s="562">
        <f>SUM(V68:V70)</f>
        <v>740151</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751989</v>
      </c>
      <c r="O84" s="562"/>
      <c r="P84" s="562"/>
      <c r="Q84" s="562"/>
      <c r="R84" s="562"/>
      <c r="S84" s="562"/>
      <c r="T84" s="562"/>
      <c r="U84" s="562"/>
      <c r="V84" s="562">
        <f>SUM(V71:V83)</f>
        <v>740151</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+T197</f>
        <v>43220</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12666-62</f>
        <v>12604</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4320+1854-1564-355</f>
        <v>4255</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60+56</f>
        <v>116</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41</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254</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12604</v>
      </c>
      <c r="U96" s="522"/>
      <c r="V96" s="562">
        <f>SUM(V88:V95)</f>
        <v>4666</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-24</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12604</v>
      </c>
      <c r="U100" s="522"/>
      <c r="V100" s="562">
        <f>V96+V98+V97+V99</f>
        <v>4642</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-278-111-9</f>
        <v>-398</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256</v>
      </c>
      <c r="C106" s="522"/>
      <c r="D106" s="522"/>
      <c r="E106" s="522"/>
      <c r="F106" s="522"/>
      <c r="G106" s="522"/>
      <c r="H106" s="522"/>
      <c r="I106" s="522"/>
      <c r="J106" s="522"/>
      <c r="K106" s="522"/>
      <c r="L106" s="522"/>
      <c r="M106" s="522"/>
      <c r="N106" s="522"/>
      <c r="O106" s="522"/>
      <c r="P106" s="522"/>
      <c r="Q106" s="522"/>
      <c r="R106" s="522"/>
      <c r="S106" s="522"/>
      <c r="T106" s="522"/>
      <c r="U106" s="522"/>
      <c r="V106" s="563">
        <f>-1075+118</f>
        <v>-957</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-118</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-222</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-62</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-270</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-61</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-28</v>
      </c>
      <c r="W113" s="422"/>
      <c r="X113" s="405"/>
    </row>
    <row r="114" spans="1:24" x14ac:dyDescent="0.3">
      <c r="A114" s="521">
        <f t="shared" ref="A114:A119"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62</v>
      </c>
      <c r="U114" s="522"/>
      <c r="V114" s="563">
        <v>-62</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-278</v>
      </c>
      <c r="W118" s="422"/>
      <c r="X118" s="405"/>
    </row>
    <row r="119" spans="1:24" x14ac:dyDescent="0.3">
      <c r="A119" s="521">
        <f t="shared" si="0"/>
        <v>14</v>
      </c>
      <c r="B119" s="522" t="s">
        <v>131</v>
      </c>
      <c r="C119" s="522"/>
      <c r="D119" s="522"/>
      <c r="E119" s="522"/>
      <c r="F119" s="522"/>
      <c r="G119" s="522"/>
      <c r="H119" s="522"/>
      <c r="I119" s="522"/>
      <c r="J119" s="522"/>
      <c r="K119" s="522"/>
      <c r="L119" s="522"/>
      <c r="M119" s="522"/>
      <c r="N119" s="522"/>
      <c r="O119" s="522"/>
      <c r="P119" s="522"/>
      <c r="Q119" s="522"/>
      <c r="R119" s="522"/>
      <c r="S119" s="522"/>
      <c r="T119" s="522"/>
      <c r="U119" s="522"/>
      <c r="V119" s="563">
        <f>-V100-SUM(V102:V118)</f>
        <v>-2184</v>
      </c>
      <c r="W119" s="422"/>
      <c r="X119" s="405"/>
    </row>
    <row r="120" spans="1:24" x14ac:dyDescent="0.3">
      <c r="A120" s="420"/>
      <c r="B120" s="501" t="s">
        <v>38</v>
      </c>
      <c r="C120" s="424"/>
      <c r="D120" s="424"/>
      <c r="E120" s="424"/>
      <c r="F120" s="424"/>
      <c r="G120" s="424"/>
      <c r="H120" s="424"/>
      <c r="I120" s="424"/>
      <c r="J120" s="424"/>
      <c r="K120" s="424"/>
      <c r="L120" s="424"/>
      <c r="M120" s="424"/>
      <c r="N120" s="424"/>
      <c r="O120" s="424"/>
      <c r="P120" s="424"/>
      <c r="Q120" s="424"/>
      <c r="R120" s="424"/>
      <c r="S120" s="424"/>
      <c r="T120" s="424"/>
      <c r="U120" s="424"/>
      <c r="V120" s="443"/>
      <c r="W120" s="426"/>
      <c r="X120" s="405"/>
    </row>
    <row r="121" spans="1:24" x14ac:dyDescent="0.3">
      <c r="A121" s="420"/>
      <c r="B121" s="522" t="s">
        <v>179</v>
      </c>
      <c r="C121" s="522"/>
      <c r="D121" s="522"/>
      <c r="E121" s="522"/>
      <c r="F121" s="522"/>
      <c r="G121" s="522"/>
      <c r="H121" s="522"/>
      <c r="I121" s="522"/>
      <c r="J121" s="522"/>
      <c r="K121" s="522"/>
      <c r="L121" s="522"/>
      <c r="M121" s="522"/>
      <c r="N121" s="522"/>
      <c r="O121" s="522"/>
      <c r="P121" s="522"/>
      <c r="Q121" s="522"/>
      <c r="R121" s="522"/>
      <c r="S121" s="522"/>
      <c r="T121" s="562">
        <f>-T181</f>
        <v>-3</v>
      </c>
      <c r="U121" s="562"/>
      <c r="V121" s="563"/>
      <c r="W121" s="524"/>
      <c r="X121" s="405"/>
    </row>
    <row r="122" spans="1:24" x14ac:dyDescent="0.3">
      <c r="A122" s="420"/>
      <c r="B122" s="522" t="s">
        <v>180</v>
      </c>
      <c r="C122" s="522"/>
      <c r="D122" s="522"/>
      <c r="E122" s="522"/>
      <c r="F122" s="522"/>
      <c r="G122" s="522"/>
      <c r="H122" s="522"/>
      <c r="I122" s="522"/>
      <c r="J122" s="522"/>
      <c r="K122" s="522"/>
      <c r="L122" s="522"/>
      <c r="M122" s="522"/>
      <c r="N122" s="522"/>
      <c r="O122" s="522"/>
      <c r="P122" s="522"/>
      <c r="Q122" s="522"/>
      <c r="R122" s="522"/>
      <c r="S122" s="522"/>
      <c r="T122" s="562">
        <v>0</v>
      </c>
      <c r="U122" s="562"/>
      <c r="V122" s="563"/>
      <c r="W122" s="524"/>
      <c r="X122" s="405"/>
    </row>
    <row r="123" spans="1:24" x14ac:dyDescent="0.3">
      <c r="A123" s="420"/>
      <c r="B123" s="522" t="s">
        <v>39</v>
      </c>
      <c r="C123" s="522"/>
      <c r="D123" s="522"/>
      <c r="E123" s="522"/>
      <c r="F123" s="522"/>
      <c r="G123" s="522"/>
      <c r="H123" s="522"/>
      <c r="I123" s="522"/>
      <c r="J123" s="522"/>
      <c r="K123" s="522"/>
      <c r="L123" s="522"/>
      <c r="M123" s="522"/>
      <c r="N123" s="522"/>
      <c r="O123" s="522"/>
      <c r="P123" s="522"/>
      <c r="Q123" s="522"/>
      <c r="R123" s="522"/>
      <c r="S123" s="522"/>
      <c r="T123" s="562">
        <f>-S181</f>
        <v>-825</v>
      </c>
      <c r="U123" s="562"/>
      <c r="V123" s="563"/>
      <c r="W123" s="524"/>
      <c r="X123" s="405"/>
    </row>
    <row r="124" spans="1:24" x14ac:dyDescent="0.3">
      <c r="A124" s="420"/>
      <c r="B124" s="522" t="s">
        <v>203</v>
      </c>
      <c r="C124" s="522"/>
      <c r="D124" s="522"/>
      <c r="E124" s="522"/>
      <c r="F124" s="522"/>
      <c r="G124" s="522"/>
      <c r="H124" s="522"/>
      <c r="I124" s="522"/>
      <c r="J124" s="522"/>
      <c r="K124" s="522"/>
      <c r="L124" s="522"/>
      <c r="M124" s="522"/>
      <c r="N124" s="522"/>
      <c r="O124" s="522"/>
      <c r="P124" s="522"/>
      <c r="Q124" s="522"/>
      <c r="R124" s="522"/>
      <c r="S124" s="522"/>
      <c r="T124" s="562">
        <v>-7434</v>
      </c>
      <c r="U124" s="562"/>
      <c r="V124" s="563"/>
      <c r="W124" s="524"/>
      <c r="X124" s="405"/>
    </row>
    <row r="125" spans="1:24" x14ac:dyDescent="0.3">
      <c r="A125" s="420"/>
      <c r="B125" s="522" t="s">
        <v>201</v>
      </c>
      <c r="C125" s="522"/>
      <c r="D125" s="522"/>
      <c r="E125" s="522"/>
      <c r="F125" s="522"/>
      <c r="G125" s="522"/>
      <c r="H125" s="522"/>
      <c r="I125" s="522"/>
      <c r="J125" s="522"/>
      <c r="K125" s="522"/>
      <c r="L125" s="522"/>
      <c r="M125" s="522"/>
      <c r="N125" s="522"/>
      <c r="O125" s="522"/>
      <c r="P125" s="522"/>
      <c r="Q125" s="522"/>
      <c r="R125" s="522"/>
      <c r="S125" s="522"/>
      <c r="T125" s="562">
        <v>-1322</v>
      </c>
      <c r="U125" s="562"/>
      <c r="V125" s="563"/>
      <c r="W125" s="524"/>
      <c r="X125" s="405"/>
    </row>
    <row r="126" spans="1:24" x14ac:dyDescent="0.3">
      <c r="A126" s="420"/>
      <c r="B126" s="522" t="s">
        <v>200</v>
      </c>
      <c r="C126" s="522"/>
      <c r="D126" s="522"/>
      <c r="E126" s="522"/>
      <c r="F126" s="522"/>
      <c r="G126" s="522"/>
      <c r="H126" s="522"/>
      <c r="I126" s="522"/>
      <c r="J126" s="522"/>
      <c r="K126" s="522"/>
      <c r="L126" s="522"/>
      <c r="M126" s="522"/>
      <c r="N126" s="522"/>
      <c r="O126" s="522"/>
      <c r="P126" s="522"/>
      <c r="Q126" s="522"/>
      <c r="R126" s="522"/>
      <c r="S126" s="522"/>
      <c r="T126" s="562">
        <v>-1541</v>
      </c>
      <c r="U126" s="562"/>
      <c r="V126" s="563"/>
      <c r="W126" s="524"/>
      <c r="X126" s="405"/>
    </row>
    <row r="127" spans="1:24" x14ac:dyDescent="0.3">
      <c r="A127" s="420"/>
      <c r="B127" s="522" t="s">
        <v>260</v>
      </c>
      <c r="C127" s="522"/>
      <c r="D127" s="522"/>
      <c r="E127" s="522"/>
      <c r="F127" s="522"/>
      <c r="G127" s="522"/>
      <c r="H127" s="522"/>
      <c r="I127" s="522"/>
      <c r="J127" s="522"/>
      <c r="K127" s="522"/>
      <c r="L127" s="522"/>
      <c r="M127" s="522"/>
      <c r="N127" s="522"/>
      <c r="O127" s="522"/>
      <c r="P127" s="522"/>
      <c r="Q127" s="522"/>
      <c r="R127" s="522"/>
      <c r="S127" s="522"/>
      <c r="T127" s="562">
        <v>-1541</v>
      </c>
      <c r="U127" s="562"/>
      <c r="V127" s="563"/>
      <c r="W127" s="524"/>
      <c r="X127" s="405"/>
    </row>
    <row r="128" spans="1:24" x14ac:dyDescent="0.3">
      <c r="A128" s="420"/>
      <c r="B128" s="522" t="s">
        <v>195</v>
      </c>
      <c r="C128" s="522"/>
      <c r="D128" s="522"/>
      <c r="E128" s="522"/>
      <c r="F128" s="522"/>
      <c r="G128" s="522"/>
      <c r="H128" s="522"/>
      <c r="I128" s="522"/>
      <c r="J128" s="522"/>
      <c r="K128" s="522"/>
      <c r="L128" s="522"/>
      <c r="M128" s="522"/>
      <c r="N128" s="522"/>
      <c r="O128" s="522"/>
      <c r="P128" s="522"/>
      <c r="Q128" s="522"/>
      <c r="R128" s="522"/>
      <c r="S128" s="522"/>
      <c r="T128" s="562">
        <v>0</v>
      </c>
      <c r="U128" s="562"/>
      <c r="V128" s="563"/>
      <c r="W128" s="524"/>
      <c r="X128" s="405"/>
    </row>
    <row r="129" spans="1:24" x14ac:dyDescent="0.3">
      <c r="A129" s="420"/>
      <c r="B129" s="522" t="s">
        <v>194</v>
      </c>
      <c r="C129" s="522"/>
      <c r="D129" s="522"/>
      <c r="E129" s="522"/>
      <c r="F129" s="522"/>
      <c r="G129" s="522"/>
      <c r="H129" s="522"/>
      <c r="I129" s="522"/>
      <c r="J129" s="522"/>
      <c r="K129" s="522"/>
      <c r="L129" s="522"/>
      <c r="M129" s="522"/>
      <c r="N129" s="522"/>
      <c r="O129" s="522"/>
      <c r="P129" s="522"/>
      <c r="Q129" s="522"/>
      <c r="R129" s="522"/>
      <c r="S129" s="522"/>
      <c r="T129" s="562">
        <v>0</v>
      </c>
      <c r="U129" s="562"/>
      <c r="V129" s="563"/>
      <c r="W129" s="524"/>
      <c r="X129" s="405"/>
    </row>
    <row r="130" spans="1:24" x14ac:dyDescent="0.3">
      <c r="A130" s="420"/>
      <c r="B130" s="522" t="s">
        <v>261</v>
      </c>
      <c r="C130" s="522"/>
      <c r="D130" s="522"/>
      <c r="E130" s="522"/>
      <c r="F130" s="522"/>
      <c r="G130" s="522"/>
      <c r="H130" s="522"/>
      <c r="I130" s="522"/>
      <c r="J130" s="522"/>
      <c r="K130" s="522"/>
      <c r="L130" s="522"/>
      <c r="M130" s="522"/>
      <c r="N130" s="522"/>
      <c r="O130" s="522"/>
      <c r="P130" s="522"/>
      <c r="Q130" s="522"/>
      <c r="R130" s="522"/>
      <c r="S130" s="522"/>
      <c r="T130" s="562">
        <v>0</v>
      </c>
      <c r="U130" s="562"/>
      <c r="V130" s="563"/>
      <c r="W130" s="524"/>
      <c r="X130" s="405"/>
    </row>
    <row r="131" spans="1:24" x14ac:dyDescent="0.3">
      <c r="A131" s="420"/>
      <c r="B131" s="522" t="s">
        <v>193</v>
      </c>
      <c r="C131" s="522"/>
      <c r="D131" s="522"/>
      <c r="E131" s="522"/>
      <c r="F131" s="522"/>
      <c r="G131" s="522"/>
      <c r="H131" s="522"/>
      <c r="I131" s="522"/>
      <c r="J131" s="522"/>
      <c r="K131" s="522"/>
      <c r="L131" s="522"/>
      <c r="M131" s="522"/>
      <c r="N131" s="522"/>
      <c r="O131" s="522"/>
      <c r="P131" s="522"/>
      <c r="Q131" s="522"/>
      <c r="R131" s="522"/>
      <c r="S131" s="522"/>
      <c r="T131" s="562">
        <v>0</v>
      </c>
      <c r="U131" s="562"/>
      <c r="V131" s="563"/>
      <c r="W131" s="524"/>
      <c r="X131" s="405"/>
    </row>
    <row r="132" spans="1:24" x14ac:dyDescent="0.3">
      <c r="A132" s="420"/>
      <c r="B132" s="522" t="s">
        <v>40</v>
      </c>
      <c r="C132" s="522"/>
      <c r="D132" s="522"/>
      <c r="E132" s="522"/>
      <c r="F132" s="522"/>
      <c r="G132" s="522"/>
      <c r="H132" s="522"/>
      <c r="I132" s="522"/>
      <c r="J132" s="522"/>
      <c r="K132" s="522"/>
      <c r="L132" s="522"/>
      <c r="M132" s="522"/>
      <c r="N132" s="522"/>
      <c r="O132" s="522"/>
      <c r="P132" s="522"/>
      <c r="Q132" s="522"/>
      <c r="R132" s="522"/>
      <c r="S132" s="522"/>
      <c r="T132" s="562">
        <f>SUM(T121:T131)</f>
        <v>-12666</v>
      </c>
      <c r="U132" s="562"/>
      <c r="V132" s="562">
        <f>SUM(V101:V129)</f>
        <v>-4642</v>
      </c>
      <c r="W132" s="524"/>
      <c r="X132" s="405"/>
    </row>
    <row r="133" spans="1:24" x14ac:dyDescent="0.3">
      <c r="A133" s="420"/>
      <c r="B133" s="522" t="s">
        <v>41</v>
      </c>
      <c r="C133" s="522"/>
      <c r="D133" s="522"/>
      <c r="E133" s="522"/>
      <c r="F133" s="522"/>
      <c r="G133" s="522"/>
      <c r="H133" s="522"/>
      <c r="I133" s="522"/>
      <c r="J133" s="522"/>
      <c r="K133" s="522"/>
      <c r="L133" s="522"/>
      <c r="M133" s="522"/>
      <c r="N133" s="522"/>
      <c r="O133" s="522"/>
      <c r="P133" s="522"/>
      <c r="Q133" s="522"/>
      <c r="R133" s="522"/>
      <c r="S133" s="522"/>
      <c r="T133" s="562">
        <f>T100+T132+T114</f>
        <v>0</v>
      </c>
      <c r="U133" s="562"/>
      <c r="V133" s="562">
        <f>V100+V132</f>
        <v>0</v>
      </c>
      <c r="W133" s="524"/>
      <c r="X133" s="405"/>
    </row>
    <row r="134" spans="1:24" x14ac:dyDescent="0.3">
      <c r="A134" s="407"/>
      <c r="B134" s="552"/>
      <c r="C134" s="552"/>
      <c r="D134" s="552"/>
      <c r="E134" s="552"/>
      <c r="F134" s="552"/>
      <c r="G134" s="552"/>
      <c r="H134" s="552"/>
      <c r="I134" s="552"/>
      <c r="J134" s="552"/>
      <c r="K134" s="552"/>
      <c r="L134" s="552"/>
      <c r="M134" s="552"/>
      <c r="N134" s="552"/>
      <c r="O134" s="552"/>
      <c r="P134" s="552"/>
      <c r="Q134" s="552"/>
      <c r="R134" s="552"/>
      <c r="S134" s="552"/>
      <c r="T134" s="567"/>
      <c r="U134" s="567"/>
      <c r="V134" s="567"/>
      <c r="W134" s="552"/>
      <c r="X134" s="405"/>
    </row>
    <row r="135" spans="1:24" x14ac:dyDescent="0.3">
      <c r="A135" s="407"/>
      <c r="B135" s="510"/>
      <c r="C135" s="510"/>
      <c r="D135" s="510"/>
      <c r="E135" s="510"/>
      <c r="F135" s="510"/>
      <c r="G135" s="510"/>
      <c r="H135" s="510"/>
      <c r="I135" s="510"/>
      <c r="J135" s="510"/>
      <c r="K135" s="510"/>
      <c r="L135" s="510"/>
      <c r="M135" s="510"/>
      <c r="N135" s="510"/>
      <c r="O135" s="510"/>
      <c r="P135" s="510"/>
      <c r="Q135" s="510"/>
      <c r="R135" s="510"/>
      <c r="S135" s="510"/>
      <c r="T135" s="510"/>
      <c r="U135" s="510"/>
      <c r="V135" s="568"/>
      <c r="W135" s="510"/>
      <c r="X135" s="405"/>
    </row>
    <row r="136" spans="1:24" ht="18.600000000000001" thickBot="1" x14ac:dyDescent="0.4">
      <c r="A136" s="430"/>
      <c r="B136" s="558" t="str">
        <f>B64</f>
        <v>PM12 INVESTOR REPORT QUARTER ENDING APRIL 2018</v>
      </c>
      <c r="C136" s="559"/>
      <c r="D136" s="559"/>
      <c r="E136" s="559"/>
      <c r="F136" s="559"/>
      <c r="G136" s="559"/>
      <c r="H136" s="559"/>
      <c r="I136" s="559"/>
      <c r="J136" s="559"/>
      <c r="K136" s="559"/>
      <c r="L136" s="559"/>
      <c r="M136" s="559"/>
      <c r="N136" s="559"/>
      <c r="O136" s="559"/>
      <c r="P136" s="559"/>
      <c r="Q136" s="559"/>
      <c r="R136" s="559"/>
      <c r="S136" s="559"/>
      <c r="T136" s="559"/>
      <c r="U136" s="559"/>
      <c r="V136" s="569"/>
      <c r="W136" s="561"/>
      <c r="X136" s="405"/>
    </row>
    <row r="137" spans="1:24" x14ac:dyDescent="0.3">
      <c r="A137" s="444"/>
      <c r="B137" s="445" t="s">
        <v>42</v>
      </c>
      <c r="C137" s="446"/>
      <c r="D137" s="446"/>
      <c r="E137" s="446"/>
      <c r="F137" s="446"/>
      <c r="G137" s="446"/>
      <c r="H137" s="446"/>
      <c r="I137" s="446"/>
      <c r="J137" s="446"/>
      <c r="K137" s="446"/>
      <c r="L137" s="446"/>
      <c r="M137" s="446"/>
      <c r="N137" s="446"/>
      <c r="O137" s="446"/>
      <c r="P137" s="446"/>
      <c r="Q137" s="446"/>
      <c r="R137" s="446"/>
      <c r="S137" s="446"/>
      <c r="T137" s="446"/>
      <c r="U137" s="446"/>
      <c r="V137" s="447"/>
      <c r="W137" s="446"/>
      <c r="X137" s="405"/>
    </row>
    <row r="138" spans="1:24" x14ac:dyDescent="0.3">
      <c r="A138" s="407"/>
      <c r="B138" s="448"/>
      <c r="C138" s="409"/>
      <c r="D138" s="409"/>
      <c r="E138" s="409"/>
      <c r="F138" s="409"/>
      <c r="G138" s="409"/>
      <c r="H138" s="409"/>
      <c r="I138" s="409"/>
      <c r="J138" s="409"/>
      <c r="K138" s="409"/>
      <c r="L138" s="409"/>
      <c r="M138" s="409"/>
      <c r="N138" s="409"/>
      <c r="O138" s="409"/>
      <c r="P138" s="409"/>
      <c r="Q138" s="409"/>
      <c r="R138" s="409"/>
      <c r="S138" s="409"/>
      <c r="T138" s="409"/>
      <c r="U138" s="409"/>
      <c r="V138" s="433"/>
      <c r="W138" s="409"/>
      <c r="X138" s="405"/>
    </row>
    <row r="139" spans="1:24" x14ac:dyDescent="0.3">
      <c r="A139" s="407"/>
      <c r="B139" s="502" t="s">
        <v>43</v>
      </c>
      <c r="C139" s="409"/>
      <c r="D139" s="409"/>
      <c r="E139" s="409"/>
      <c r="F139" s="409"/>
      <c r="G139" s="409"/>
      <c r="H139" s="409"/>
      <c r="I139" s="409"/>
      <c r="J139" s="409"/>
      <c r="K139" s="409"/>
      <c r="L139" s="409"/>
      <c r="M139" s="409"/>
      <c r="N139" s="409"/>
      <c r="O139" s="409"/>
      <c r="P139" s="409"/>
      <c r="Q139" s="409"/>
      <c r="R139" s="409"/>
      <c r="S139" s="409"/>
      <c r="T139" s="409"/>
      <c r="U139" s="409"/>
      <c r="V139" s="433"/>
      <c r="W139" s="409"/>
      <c r="X139" s="405"/>
    </row>
    <row r="140" spans="1:24" s="513" customFormat="1" x14ac:dyDescent="0.3">
      <c r="A140" s="521"/>
      <c r="B140" s="522" t="s">
        <v>44</v>
      </c>
      <c r="C140" s="522"/>
      <c r="D140" s="522"/>
      <c r="E140" s="522"/>
      <c r="F140" s="522"/>
      <c r="G140" s="522"/>
      <c r="H140" s="522"/>
      <c r="I140" s="522"/>
      <c r="J140" s="522"/>
      <c r="K140" s="522"/>
      <c r="L140" s="522"/>
      <c r="M140" s="522"/>
      <c r="N140" s="522"/>
      <c r="O140" s="522"/>
      <c r="P140" s="522"/>
      <c r="Q140" s="522"/>
      <c r="R140" s="522"/>
      <c r="S140" s="522"/>
      <c r="T140" s="522"/>
      <c r="U140" s="522"/>
      <c r="V140" s="563">
        <f>+V34*0.019</f>
        <v>28503.895</v>
      </c>
      <c r="W140" s="524"/>
      <c r="X140" s="512"/>
    </row>
    <row r="141" spans="1:24" s="513" customFormat="1" x14ac:dyDescent="0.3">
      <c r="A141" s="521"/>
      <c r="B141" s="522" t="s">
        <v>45</v>
      </c>
      <c r="C141" s="522"/>
      <c r="D141" s="522"/>
      <c r="E141" s="522"/>
      <c r="F141" s="522"/>
      <c r="G141" s="522"/>
      <c r="H141" s="522"/>
      <c r="I141" s="522"/>
      <c r="J141" s="522"/>
      <c r="K141" s="522"/>
      <c r="L141" s="522"/>
      <c r="M141" s="522"/>
      <c r="N141" s="522"/>
      <c r="O141" s="522"/>
      <c r="P141" s="522"/>
      <c r="Q141" s="522"/>
      <c r="R141" s="522"/>
      <c r="S141" s="522"/>
      <c r="T141" s="522"/>
      <c r="U141" s="522"/>
      <c r="V141" s="563">
        <v>28504</v>
      </c>
      <c r="W141" s="524"/>
      <c r="X141" s="512"/>
    </row>
    <row r="142" spans="1:24" s="513" customFormat="1" x14ac:dyDescent="0.3">
      <c r="A142" s="521"/>
      <c r="B142" s="522" t="s">
        <v>141</v>
      </c>
      <c r="C142" s="522"/>
      <c r="D142" s="522"/>
      <c r="E142" s="522"/>
      <c r="F142" s="522"/>
      <c r="G142" s="522"/>
      <c r="H142" s="522"/>
      <c r="I142" s="522"/>
      <c r="J142" s="522"/>
      <c r="K142" s="522"/>
      <c r="L142" s="522"/>
      <c r="M142" s="522"/>
      <c r="N142" s="522"/>
      <c r="O142" s="522"/>
      <c r="P142" s="522"/>
      <c r="Q142" s="522"/>
      <c r="R142" s="522"/>
      <c r="S142" s="522"/>
      <c r="T142" s="522"/>
      <c r="U142" s="522"/>
      <c r="V142" s="563">
        <v>0</v>
      </c>
      <c r="W142" s="524"/>
      <c r="X142" s="512"/>
    </row>
    <row r="143" spans="1:24" s="513" customFormat="1" x14ac:dyDescent="0.3">
      <c r="A143" s="521"/>
      <c r="B143" s="522" t="s">
        <v>128</v>
      </c>
      <c r="C143" s="522"/>
      <c r="D143" s="522"/>
      <c r="E143" s="522"/>
      <c r="F143" s="522"/>
      <c r="G143" s="522"/>
      <c r="H143" s="522"/>
      <c r="I143" s="522"/>
      <c r="J143" s="522"/>
      <c r="K143" s="522"/>
      <c r="L143" s="522"/>
      <c r="M143" s="522"/>
      <c r="N143" s="522"/>
      <c r="O143" s="522"/>
      <c r="P143" s="522"/>
      <c r="Q143" s="522"/>
      <c r="R143" s="522"/>
      <c r="S143" s="522"/>
      <c r="T143" s="522"/>
      <c r="U143" s="522"/>
      <c r="V143" s="563">
        <v>0</v>
      </c>
      <c r="W143" s="524"/>
      <c r="X143" s="512"/>
    </row>
    <row r="144" spans="1:24" s="513" customFormat="1" x14ac:dyDescent="0.3">
      <c r="A144" s="521"/>
      <c r="B144" s="522" t="s">
        <v>129</v>
      </c>
      <c r="C144" s="522"/>
      <c r="D144" s="522"/>
      <c r="E144" s="522"/>
      <c r="F144" s="522"/>
      <c r="G144" s="522"/>
      <c r="H144" s="522"/>
      <c r="I144" s="522"/>
      <c r="J144" s="522"/>
      <c r="K144" s="522"/>
      <c r="L144" s="522"/>
      <c r="M144" s="522"/>
      <c r="N144" s="522"/>
      <c r="O144" s="522"/>
      <c r="P144" s="522"/>
      <c r="Q144" s="522"/>
      <c r="R144" s="522"/>
      <c r="S144" s="522"/>
      <c r="T144" s="522"/>
      <c r="U144" s="522"/>
      <c r="V144" s="563">
        <v>0</v>
      </c>
      <c r="W144" s="524"/>
      <c r="X144" s="512"/>
    </row>
    <row r="145" spans="1:25" s="513" customFormat="1" x14ac:dyDescent="0.3">
      <c r="A145" s="521"/>
      <c r="B145" s="522" t="s">
        <v>181</v>
      </c>
      <c r="C145" s="522"/>
      <c r="D145" s="522"/>
      <c r="E145" s="522"/>
      <c r="F145" s="522"/>
      <c r="G145" s="522"/>
      <c r="H145" s="522"/>
      <c r="I145" s="522"/>
      <c r="J145" s="522"/>
      <c r="K145" s="522"/>
      <c r="L145" s="522"/>
      <c r="M145" s="522"/>
      <c r="N145" s="522"/>
      <c r="O145" s="522"/>
      <c r="P145" s="522"/>
      <c r="Q145" s="522"/>
      <c r="R145" s="522"/>
      <c r="S145" s="522"/>
      <c r="T145" s="522"/>
      <c r="U145" s="522"/>
      <c r="V145" s="563">
        <v>0</v>
      </c>
      <c r="W145" s="524"/>
      <c r="X145" s="512"/>
    </row>
    <row r="146" spans="1:25" s="513" customFormat="1" x14ac:dyDescent="0.3">
      <c r="A146" s="521"/>
      <c r="B146" s="522" t="s">
        <v>46</v>
      </c>
      <c r="C146" s="522"/>
      <c r="D146" s="522"/>
      <c r="E146" s="522"/>
      <c r="F146" s="522"/>
      <c r="G146" s="522"/>
      <c r="H146" s="522"/>
      <c r="I146" s="522"/>
      <c r="J146" s="522"/>
      <c r="K146" s="522"/>
      <c r="L146" s="522"/>
      <c r="M146" s="522"/>
      <c r="N146" s="522"/>
      <c r="O146" s="522"/>
      <c r="P146" s="522"/>
      <c r="Q146" s="522"/>
      <c r="R146" s="522"/>
      <c r="S146" s="522"/>
      <c r="T146" s="522"/>
      <c r="U146" s="522"/>
      <c r="V146" s="563">
        <v>0</v>
      </c>
      <c r="W146" s="524"/>
      <c r="X146" s="512"/>
    </row>
    <row r="147" spans="1:25" s="513" customFormat="1" x14ac:dyDescent="0.3">
      <c r="A147" s="521"/>
      <c r="B147" s="522" t="s">
        <v>134</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5" s="513" customFormat="1" x14ac:dyDescent="0.3">
      <c r="A148" s="521"/>
      <c r="B148" s="522" t="s">
        <v>230</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c r="Y148" s="570"/>
    </row>
    <row r="149" spans="1:25" s="513" customFormat="1" x14ac:dyDescent="0.3">
      <c r="A149" s="521"/>
      <c r="B149" s="522" t="s">
        <v>47</v>
      </c>
      <c r="C149" s="522"/>
      <c r="D149" s="522"/>
      <c r="E149" s="522"/>
      <c r="F149" s="522"/>
      <c r="G149" s="522"/>
      <c r="H149" s="522"/>
      <c r="I149" s="522"/>
      <c r="J149" s="522"/>
      <c r="K149" s="522"/>
      <c r="L149" s="522"/>
      <c r="M149" s="522"/>
      <c r="N149" s="522"/>
      <c r="O149" s="522"/>
      <c r="P149" s="522"/>
      <c r="Q149" s="522"/>
      <c r="R149" s="522"/>
      <c r="S149" s="522"/>
      <c r="T149" s="522"/>
      <c r="U149" s="522"/>
      <c r="V149" s="563">
        <f>SUM(V141:V148)</f>
        <v>28504</v>
      </c>
      <c r="W149" s="524"/>
      <c r="X149" s="512"/>
    </row>
    <row r="150" spans="1:25" x14ac:dyDescent="0.3">
      <c r="A150" s="420"/>
      <c r="B150" s="424"/>
      <c r="C150" s="424"/>
      <c r="D150" s="424"/>
      <c r="E150" s="424"/>
      <c r="F150" s="424"/>
      <c r="G150" s="424"/>
      <c r="H150" s="424"/>
      <c r="I150" s="424"/>
      <c r="J150" s="424"/>
      <c r="K150" s="424"/>
      <c r="L150" s="424"/>
      <c r="M150" s="424"/>
      <c r="N150" s="424"/>
      <c r="O150" s="424"/>
      <c r="P150" s="424"/>
      <c r="Q150" s="424"/>
      <c r="R150" s="424"/>
      <c r="S150" s="424"/>
      <c r="T150" s="424"/>
      <c r="U150" s="424"/>
      <c r="V150" s="440"/>
      <c r="W150" s="426"/>
      <c r="X150" s="405"/>
    </row>
    <row r="151" spans="1:25" x14ac:dyDescent="0.3">
      <c r="A151" s="420"/>
      <c r="B151" s="501" t="s">
        <v>269</v>
      </c>
      <c r="C151" s="424"/>
      <c r="D151" s="424"/>
      <c r="E151" s="424"/>
      <c r="F151" s="424"/>
      <c r="G151" s="424"/>
      <c r="H151" s="424"/>
      <c r="I151" s="424"/>
      <c r="J151" s="424"/>
      <c r="K151" s="424"/>
      <c r="L151" s="424"/>
      <c r="M151" s="424"/>
      <c r="N151" s="424"/>
      <c r="O151" s="424"/>
      <c r="P151" s="424"/>
      <c r="Q151" s="424"/>
      <c r="R151" s="424"/>
      <c r="S151" s="424"/>
      <c r="T151" s="424"/>
      <c r="U151" s="424"/>
      <c r="V151" s="440"/>
      <c r="W151" s="426"/>
      <c r="X151" s="405"/>
    </row>
    <row r="152" spans="1:25" s="513" customFormat="1" x14ac:dyDescent="0.3">
      <c r="A152" s="521"/>
      <c r="B152" s="522" t="s">
        <v>160</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5" s="513" customFormat="1" x14ac:dyDescent="0.3">
      <c r="A153" s="521"/>
      <c r="B153" s="522" t="s">
        <v>178</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row>
    <row r="154" spans="1:25" s="513" customFormat="1" x14ac:dyDescent="0.3">
      <c r="A154" s="521"/>
      <c r="B154" s="522" t="s">
        <v>270</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row>
    <row r="155" spans="1:25" x14ac:dyDescent="0.3">
      <c r="A155" s="420"/>
      <c r="B155" s="424"/>
      <c r="C155" s="424"/>
      <c r="D155" s="424"/>
      <c r="E155" s="424"/>
      <c r="F155" s="424"/>
      <c r="G155" s="424"/>
      <c r="H155" s="424"/>
      <c r="I155" s="424"/>
      <c r="J155" s="424"/>
      <c r="K155" s="424"/>
      <c r="L155" s="424"/>
      <c r="M155" s="424"/>
      <c r="N155" s="424"/>
      <c r="O155" s="424"/>
      <c r="P155" s="424"/>
      <c r="Q155" s="424"/>
      <c r="R155" s="424"/>
      <c r="S155" s="424"/>
      <c r="T155" s="424"/>
      <c r="U155" s="424"/>
      <c r="V155" s="440"/>
      <c r="W155" s="426"/>
      <c r="X155" s="405"/>
    </row>
    <row r="156" spans="1:25" x14ac:dyDescent="0.3">
      <c r="A156" s="407"/>
      <c r="B156" s="429"/>
      <c r="C156" s="429"/>
      <c r="D156" s="429"/>
      <c r="E156" s="429"/>
      <c r="F156" s="429"/>
      <c r="G156" s="429"/>
      <c r="H156" s="429"/>
      <c r="I156" s="429"/>
      <c r="J156" s="429"/>
      <c r="K156" s="429"/>
      <c r="L156" s="429"/>
      <c r="M156" s="429"/>
      <c r="N156" s="429"/>
      <c r="O156" s="429"/>
      <c r="P156" s="429"/>
      <c r="Q156" s="429"/>
      <c r="R156" s="429"/>
      <c r="S156" s="429"/>
      <c r="T156" s="429"/>
      <c r="U156" s="429"/>
      <c r="V156" s="449"/>
      <c r="W156" s="429"/>
      <c r="X156" s="405"/>
    </row>
    <row r="157" spans="1:25" x14ac:dyDescent="0.3">
      <c r="A157" s="407"/>
      <c r="B157" s="502" t="s">
        <v>24</v>
      </c>
      <c r="C157" s="409"/>
      <c r="D157" s="409"/>
      <c r="E157" s="409"/>
      <c r="F157" s="409"/>
      <c r="G157" s="409"/>
      <c r="H157" s="409"/>
      <c r="I157" s="409"/>
      <c r="J157" s="409"/>
      <c r="K157" s="409"/>
      <c r="L157" s="409"/>
      <c r="M157" s="409"/>
      <c r="N157" s="409"/>
      <c r="O157" s="409"/>
      <c r="P157" s="409"/>
      <c r="Q157" s="409"/>
      <c r="R157" s="409"/>
      <c r="S157" s="409"/>
      <c r="T157" s="409"/>
      <c r="U157" s="409"/>
      <c r="V157" s="433"/>
      <c r="W157" s="409"/>
      <c r="X157" s="405"/>
    </row>
    <row r="158" spans="1:25" s="513" customFormat="1" x14ac:dyDescent="0.3">
      <c r="A158" s="521"/>
      <c r="B158" s="522" t="s">
        <v>48</v>
      </c>
      <c r="C158" s="522"/>
      <c r="D158" s="522"/>
      <c r="E158" s="522"/>
      <c r="F158" s="522"/>
      <c r="G158" s="522"/>
      <c r="H158" s="522"/>
      <c r="I158" s="522"/>
      <c r="J158" s="522"/>
      <c r="K158" s="522"/>
      <c r="L158" s="522"/>
      <c r="M158" s="522"/>
      <c r="N158" s="522"/>
      <c r="O158" s="522"/>
      <c r="P158" s="522"/>
      <c r="Q158" s="522"/>
      <c r="R158" s="522"/>
      <c r="S158" s="522"/>
      <c r="T158" s="522"/>
      <c r="U158" s="522"/>
      <c r="V158" s="571" t="s">
        <v>123</v>
      </c>
      <c r="W158" s="524"/>
      <c r="X158" s="512"/>
    </row>
    <row r="159" spans="1:25" s="513" customFormat="1" x14ac:dyDescent="0.3">
      <c r="A159" s="521"/>
      <c r="B159" s="522" t="s">
        <v>49</v>
      </c>
      <c r="C159" s="522"/>
      <c r="D159" s="522"/>
      <c r="E159" s="522"/>
      <c r="F159" s="522"/>
      <c r="G159" s="522"/>
      <c r="H159" s="522"/>
      <c r="I159" s="522"/>
      <c r="J159" s="522"/>
      <c r="K159" s="522"/>
      <c r="L159" s="522"/>
      <c r="M159" s="522"/>
      <c r="N159" s="522"/>
      <c r="O159" s="522"/>
      <c r="P159" s="522"/>
      <c r="Q159" s="522"/>
      <c r="R159" s="522"/>
      <c r="S159" s="522"/>
      <c r="T159" s="522"/>
      <c r="U159" s="522"/>
      <c r="V159" s="571" t="s">
        <v>123</v>
      </c>
      <c r="W159" s="524"/>
      <c r="X159" s="512"/>
    </row>
    <row r="160" spans="1:25" s="513" customFormat="1" x14ac:dyDescent="0.3">
      <c r="A160" s="521"/>
      <c r="B160" s="522" t="s">
        <v>50</v>
      </c>
      <c r="C160" s="522"/>
      <c r="D160" s="522"/>
      <c r="E160" s="522"/>
      <c r="F160" s="522"/>
      <c r="G160" s="522"/>
      <c r="H160" s="522"/>
      <c r="I160" s="522"/>
      <c r="J160" s="522"/>
      <c r="K160" s="522"/>
      <c r="L160" s="522"/>
      <c r="M160" s="522"/>
      <c r="N160" s="522"/>
      <c r="O160" s="522"/>
      <c r="P160" s="522"/>
      <c r="Q160" s="522"/>
      <c r="R160" s="522"/>
      <c r="S160" s="522"/>
      <c r="T160" s="522"/>
      <c r="U160" s="522"/>
      <c r="V160" s="571" t="s">
        <v>123</v>
      </c>
      <c r="W160" s="524"/>
      <c r="X160" s="512"/>
    </row>
    <row r="161" spans="1:24" s="513" customFormat="1" x14ac:dyDescent="0.3">
      <c r="A161" s="521"/>
      <c r="B161" s="522" t="s">
        <v>51</v>
      </c>
      <c r="C161" s="522"/>
      <c r="D161" s="522"/>
      <c r="E161" s="522"/>
      <c r="F161" s="522"/>
      <c r="G161" s="522"/>
      <c r="H161" s="522"/>
      <c r="I161" s="522"/>
      <c r="J161" s="522"/>
      <c r="K161" s="522"/>
      <c r="L161" s="522"/>
      <c r="M161" s="522"/>
      <c r="N161" s="522"/>
      <c r="O161" s="522"/>
      <c r="P161" s="522"/>
      <c r="Q161" s="522"/>
      <c r="R161" s="522"/>
      <c r="S161" s="522"/>
      <c r="T161" s="522"/>
      <c r="U161" s="522"/>
      <c r="V161" s="571" t="s">
        <v>123</v>
      </c>
      <c r="W161" s="524"/>
      <c r="X161" s="512"/>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52</v>
      </c>
      <c r="C163" s="409"/>
      <c r="D163" s="409"/>
      <c r="E163" s="409"/>
      <c r="F163" s="409"/>
      <c r="G163" s="409"/>
      <c r="H163" s="409"/>
      <c r="I163" s="409"/>
      <c r="J163" s="409"/>
      <c r="K163" s="409"/>
      <c r="L163" s="409"/>
      <c r="M163" s="409"/>
      <c r="N163" s="409"/>
      <c r="O163" s="409"/>
      <c r="P163" s="409"/>
      <c r="Q163" s="409"/>
      <c r="R163" s="409"/>
      <c r="S163" s="409"/>
      <c r="T163" s="409"/>
      <c r="U163" s="409"/>
      <c r="V163" s="450"/>
      <c r="W163" s="409"/>
      <c r="X163" s="405"/>
    </row>
    <row r="164" spans="1:24" s="513" customFormat="1" x14ac:dyDescent="0.3">
      <c r="A164" s="521"/>
      <c r="B164" s="522" t="s">
        <v>53</v>
      </c>
      <c r="C164" s="522"/>
      <c r="D164" s="522"/>
      <c r="E164" s="522"/>
      <c r="F164" s="522"/>
      <c r="G164" s="522"/>
      <c r="H164" s="522"/>
      <c r="I164" s="522"/>
      <c r="J164" s="522"/>
      <c r="K164" s="522"/>
      <c r="L164" s="522"/>
      <c r="M164" s="522"/>
      <c r="N164" s="522"/>
      <c r="O164" s="522"/>
      <c r="P164" s="522"/>
      <c r="Q164" s="522"/>
      <c r="R164" s="522"/>
      <c r="S164" s="522"/>
      <c r="T164" s="522"/>
      <c r="U164" s="522"/>
      <c r="V164" s="563">
        <v>0</v>
      </c>
      <c r="W164" s="524"/>
      <c r="X164" s="512"/>
    </row>
    <row r="165" spans="1:24" s="513" customFormat="1" x14ac:dyDescent="0.3">
      <c r="A165" s="521"/>
      <c r="B165" s="522" t="s">
        <v>54</v>
      </c>
      <c r="C165" s="522"/>
      <c r="D165" s="522"/>
      <c r="E165" s="522"/>
      <c r="F165" s="522"/>
      <c r="G165" s="522"/>
      <c r="H165" s="522"/>
      <c r="I165" s="522"/>
      <c r="J165" s="522"/>
      <c r="K165" s="522"/>
      <c r="L165" s="522"/>
      <c r="M165" s="522"/>
      <c r="N165" s="522"/>
      <c r="O165" s="522"/>
      <c r="P165" s="522"/>
      <c r="Q165" s="522"/>
      <c r="R165" s="522"/>
      <c r="S165" s="522"/>
      <c r="T165" s="522"/>
      <c r="U165" s="522"/>
      <c r="V165" s="563">
        <f>-V114</f>
        <v>62</v>
      </c>
      <c r="W165" s="524"/>
      <c r="X165" s="512"/>
    </row>
    <row r="166" spans="1:24" s="513" customFormat="1" x14ac:dyDescent="0.3">
      <c r="A166" s="521"/>
      <c r="B166" s="522" t="s">
        <v>55</v>
      </c>
      <c r="C166" s="522"/>
      <c r="D166" s="522"/>
      <c r="E166" s="522"/>
      <c r="F166" s="522"/>
      <c r="G166" s="522"/>
      <c r="H166" s="522"/>
      <c r="I166" s="522"/>
      <c r="J166" s="522"/>
      <c r="K166" s="522"/>
      <c r="L166" s="522"/>
      <c r="M166" s="522"/>
      <c r="N166" s="522"/>
      <c r="O166" s="522"/>
      <c r="P166" s="522"/>
      <c r="Q166" s="522"/>
      <c r="R166" s="522"/>
      <c r="S166" s="522"/>
      <c r="T166" s="522"/>
      <c r="U166" s="522"/>
      <c r="V166" s="563">
        <f>V165+V164</f>
        <v>62</v>
      </c>
      <c r="W166" s="524"/>
      <c r="X166" s="512"/>
    </row>
    <row r="167" spans="1:24" s="513" customFormat="1" x14ac:dyDescent="0.3">
      <c r="A167" s="521"/>
      <c r="B167" s="572" t="s">
        <v>310</v>
      </c>
      <c r="C167" s="522"/>
      <c r="D167" s="522"/>
      <c r="E167" s="522"/>
      <c r="F167" s="522"/>
      <c r="G167" s="522"/>
      <c r="H167" s="522"/>
      <c r="I167" s="522"/>
      <c r="J167" s="522"/>
      <c r="K167" s="522"/>
      <c r="L167" s="522"/>
      <c r="M167" s="522"/>
      <c r="N167" s="522"/>
      <c r="O167" s="522"/>
      <c r="P167" s="522"/>
      <c r="Q167" s="522"/>
      <c r="R167" s="522"/>
      <c r="S167" s="522"/>
      <c r="T167" s="522"/>
      <c r="U167" s="522"/>
      <c r="V167" s="563">
        <f>V114</f>
        <v>-62</v>
      </c>
      <c r="W167" s="524"/>
      <c r="X167" s="512"/>
    </row>
    <row r="168" spans="1:24" s="513" customFormat="1" x14ac:dyDescent="0.3">
      <c r="A168" s="521"/>
      <c r="B168" s="522" t="s">
        <v>56</v>
      </c>
      <c r="C168" s="522"/>
      <c r="D168" s="522"/>
      <c r="E168" s="522"/>
      <c r="F168" s="522"/>
      <c r="G168" s="522"/>
      <c r="H168" s="522"/>
      <c r="I168" s="522"/>
      <c r="J168" s="522"/>
      <c r="K168" s="522"/>
      <c r="L168" s="522"/>
      <c r="M168" s="522"/>
      <c r="N168" s="522"/>
      <c r="O168" s="522"/>
      <c r="P168" s="522"/>
      <c r="Q168" s="522"/>
      <c r="R168" s="522"/>
      <c r="S168" s="522"/>
      <c r="T168" s="522"/>
      <c r="U168" s="522"/>
      <c r="V168" s="563">
        <f>V166+V167</f>
        <v>0</v>
      </c>
      <c r="W168" s="524"/>
      <c r="X168" s="512"/>
    </row>
    <row r="169" spans="1:24" s="513" customFormat="1" x14ac:dyDescent="0.3">
      <c r="A169" s="521"/>
      <c r="B169" s="522" t="s">
        <v>282</v>
      </c>
      <c r="C169" s="522"/>
      <c r="D169" s="522"/>
      <c r="E169" s="522"/>
      <c r="F169" s="522"/>
      <c r="G169" s="522"/>
      <c r="H169" s="522"/>
      <c r="I169" s="522"/>
      <c r="J169" s="522"/>
      <c r="K169" s="522"/>
      <c r="L169" s="522"/>
      <c r="M169" s="522"/>
      <c r="N169" s="522"/>
      <c r="O169" s="522"/>
      <c r="P169" s="522"/>
      <c r="Q169" s="522"/>
      <c r="R169" s="522"/>
      <c r="S169" s="522"/>
      <c r="T169" s="522"/>
      <c r="U169" s="522"/>
      <c r="V169" s="563">
        <f>-V99</f>
        <v>24</v>
      </c>
      <c r="W169" s="524"/>
      <c r="X169" s="512"/>
    </row>
    <row r="170" spans="1:24" ht="16.2" thickBot="1" x14ac:dyDescent="0.35">
      <c r="A170" s="407"/>
      <c r="B170" s="429"/>
      <c r="C170" s="429"/>
      <c r="D170" s="429"/>
      <c r="E170" s="429"/>
      <c r="F170" s="429"/>
      <c r="G170" s="429"/>
      <c r="H170" s="429"/>
      <c r="I170" s="429"/>
      <c r="J170" s="429"/>
      <c r="K170" s="429"/>
      <c r="L170" s="429"/>
      <c r="M170" s="429"/>
      <c r="N170" s="429"/>
      <c r="O170" s="429"/>
      <c r="P170" s="429"/>
      <c r="Q170" s="429"/>
      <c r="R170" s="429"/>
      <c r="S170" s="429"/>
      <c r="T170" s="429"/>
      <c r="U170" s="429"/>
      <c r="V170" s="449"/>
      <c r="W170" s="429"/>
      <c r="X170" s="405"/>
    </row>
    <row r="171" spans="1:24" x14ac:dyDescent="0.3">
      <c r="A171" s="403"/>
      <c r="B171" s="404"/>
      <c r="C171" s="404"/>
      <c r="D171" s="404"/>
      <c r="E171" s="404"/>
      <c r="F171" s="404"/>
      <c r="G171" s="404"/>
      <c r="H171" s="404"/>
      <c r="I171" s="404"/>
      <c r="J171" s="404"/>
      <c r="K171" s="404"/>
      <c r="L171" s="404"/>
      <c r="M171" s="404"/>
      <c r="N171" s="404"/>
      <c r="O171" s="404"/>
      <c r="P171" s="404"/>
      <c r="Q171" s="404"/>
      <c r="R171" s="404"/>
      <c r="S171" s="404"/>
      <c r="T171" s="404"/>
      <c r="U171" s="404"/>
      <c r="V171" s="451"/>
      <c r="W171" s="404"/>
      <c r="X171" s="405"/>
    </row>
    <row r="172" spans="1:24" x14ac:dyDescent="0.3">
      <c r="A172" s="407"/>
      <c r="B172" s="502" t="s">
        <v>57</v>
      </c>
      <c r="C172" s="409"/>
      <c r="D172" s="409"/>
      <c r="E172" s="409"/>
      <c r="F172" s="409"/>
      <c r="G172" s="409"/>
      <c r="H172" s="409"/>
      <c r="I172" s="409"/>
      <c r="J172" s="409"/>
      <c r="K172" s="409"/>
      <c r="L172" s="409"/>
      <c r="M172" s="409"/>
      <c r="N172" s="409"/>
      <c r="O172" s="409"/>
      <c r="P172" s="409"/>
      <c r="Q172" s="409"/>
      <c r="R172" s="409"/>
      <c r="S172" s="409"/>
      <c r="T172" s="409"/>
      <c r="U172" s="409"/>
      <c r="V172" s="433"/>
      <c r="W172" s="409"/>
      <c r="X172" s="405"/>
    </row>
    <row r="173" spans="1:24" x14ac:dyDescent="0.3">
      <c r="A173" s="407"/>
      <c r="B173" s="448"/>
      <c r="C173" s="409"/>
      <c r="D173" s="409"/>
      <c r="E173" s="409"/>
      <c r="F173" s="409"/>
      <c r="G173" s="409"/>
      <c r="H173" s="409"/>
      <c r="I173" s="409"/>
      <c r="J173" s="409"/>
      <c r="K173" s="409"/>
      <c r="L173" s="409"/>
      <c r="M173" s="409"/>
      <c r="N173" s="409"/>
      <c r="O173" s="409"/>
      <c r="P173" s="409"/>
      <c r="Q173" s="409"/>
      <c r="R173" s="409"/>
      <c r="S173" s="409"/>
      <c r="T173" s="409"/>
      <c r="U173" s="409"/>
      <c r="V173" s="433"/>
      <c r="W173" s="409"/>
      <c r="X173" s="405"/>
    </row>
    <row r="174" spans="1:24" s="513" customFormat="1" x14ac:dyDescent="0.3">
      <c r="A174" s="521"/>
      <c r="B174" s="522" t="s">
        <v>58</v>
      </c>
      <c r="C174" s="522"/>
      <c r="D174" s="522"/>
      <c r="E174" s="522"/>
      <c r="F174" s="522"/>
      <c r="G174" s="522"/>
      <c r="H174" s="522"/>
      <c r="I174" s="522"/>
      <c r="J174" s="522"/>
      <c r="K174" s="522"/>
      <c r="L174" s="522"/>
      <c r="M174" s="522"/>
      <c r="N174" s="522"/>
      <c r="O174" s="522"/>
      <c r="P174" s="522"/>
      <c r="Q174" s="522"/>
      <c r="R174" s="522"/>
      <c r="S174" s="522"/>
      <c r="T174" s="522"/>
      <c r="U174" s="522"/>
      <c r="V174" s="563">
        <f>V71</f>
        <v>740151</v>
      </c>
      <c r="W174" s="524"/>
      <c r="X174" s="512"/>
    </row>
    <row r="175" spans="1:24" s="513" customFormat="1" x14ac:dyDescent="0.3">
      <c r="A175" s="521"/>
      <c r="B175" s="522" t="s">
        <v>59</v>
      </c>
      <c r="C175" s="522"/>
      <c r="D175" s="522"/>
      <c r="E175" s="522"/>
      <c r="F175" s="522"/>
      <c r="G175" s="522"/>
      <c r="H175" s="522"/>
      <c r="I175" s="522"/>
      <c r="J175" s="522"/>
      <c r="K175" s="522"/>
      <c r="L175" s="522"/>
      <c r="M175" s="522"/>
      <c r="N175" s="522"/>
      <c r="O175" s="522"/>
      <c r="P175" s="522"/>
      <c r="Q175" s="522"/>
      <c r="R175" s="522"/>
      <c r="S175" s="522"/>
      <c r="T175" s="522"/>
      <c r="U175" s="522"/>
      <c r="V175" s="563">
        <f>V84</f>
        <v>740151</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60</v>
      </c>
      <c r="C178" s="434"/>
      <c r="D178" s="434"/>
      <c r="E178" s="434"/>
      <c r="F178" s="434"/>
      <c r="G178" s="434"/>
      <c r="H178" s="452"/>
      <c r="I178" s="452"/>
      <c r="J178" s="452"/>
      <c r="K178" s="452"/>
      <c r="L178" s="452"/>
      <c r="M178" s="452"/>
      <c r="N178" s="452"/>
      <c r="O178" s="452"/>
      <c r="P178" s="452"/>
      <c r="Q178" s="452"/>
      <c r="R178" s="452"/>
      <c r="S178" s="503" t="s">
        <v>103</v>
      </c>
      <c r="T178" s="503" t="s">
        <v>182</v>
      </c>
      <c r="U178" s="411"/>
      <c r="V178" s="504" t="s">
        <v>119</v>
      </c>
      <c r="W178" s="453"/>
      <c r="X178" s="405"/>
    </row>
    <row r="179" spans="1:24" s="513" customFormat="1" x14ac:dyDescent="0.3">
      <c r="A179" s="521"/>
      <c r="B179" s="522" t="s">
        <v>61</v>
      </c>
      <c r="C179" s="522"/>
      <c r="D179" s="522"/>
      <c r="E179" s="522"/>
      <c r="F179" s="522"/>
      <c r="G179" s="522"/>
      <c r="H179" s="522"/>
      <c r="I179" s="522"/>
      <c r="J179" s="522"/>
      <c r="K179" s="522"/>
      <c r="L179" s="522"/>
      <c r="M179" s="522"/>
      <c r="N179" s="522"/>
      <c r="O179" s="522"/>
      <c r="P179" s="522"/>
      <c r="Q179" s="522"/>
      <c r="R179" s="522"/>
      <c r="S179" s="563">
        <f>+V34*0.16</f>
        <v>240032.80000000002</v>
      </c>
      <c r="T179" s="542"/>
      <c r="U179" s="522"/>
      <c r="V179" s="563"/>
      <c r="W179" s="524"/>
      <c r="X179" s="512"/>
    </row>
    <row r="180" spans="1:24" s="513" customFormat="1" x14ac:dyDescent="0.3">
      <c r="A180" s="521"/>
      <c r="B180" s="522" t="s">
        <v>62</v>
      </c>
      <c r="C180" s="522"/>
      <c r="D180" s="522"/>
      <c r="E180" s="522"/>
      <c r="F180" s="522"/>
      <c r="G180" s="522"/>
      <c r="H180" s="522"/>
      <c r="I180" s="522"/>
      <c r="J180" s="522"/>
      <c r="K180" s="522"/>
      <c r="L180" s="522"/>
      <c r="M180" s="522"/>
      <c r="N180" s="522"/>
      <c r="O180" s="522"/>
      <c r="P180" s="522"/>
      <c r="Q180" s="522"/>
      <c r="R180" s="522"/>
      <c r="S180" s="563">
        <f>+'Jan 18'!S182</f>
        <v>55551</v>
      </c>
      <c r="T180" s="563">
        <f>+'Jan 18'!T182</f>
        <v>6367</v>
      </c>
      <c r="U180" s="522"/>
      <c r="V180" s="563">
        <f>S180+T180</f>
        <v>61918</v>
      </c>
      <c r="W180" s="524"/>
      <c r="X180" s="512"/>
    </row>
    <row r="181" spans="1:24" s="513" customFormat="1" x14ac:dyDescent="0.3">
      <c r="A181" s="521"/>
      <c r="B181" s="522" t="s">
        <v>63</v>
      </c>
      <c r="C181" s="522"/>
      <c r="D181" s="522"/>
      <c r="E181" s="522"/>
      <c r="F181" s="522"/>
      <c r="G181" s="522"/>
      <c r="H181" s="522"/>
      <c r="I181" s="522"/>
      <c r="J181" s="522"/>
      <c r="K181" s="522"/>
      <c r="L181" s="522"/>
      <c r="M181" s="522"/>
      <c r="N181" s="522"/>
      <c r="O181" s="522"/>
      <c r="P181" s="522"/>
      <c r="Q181" s="522"/>
      <c r="R181" s="522"/>
      <c r="S181" s="562">
        <f>713+112</f>
        <v>825</v>
      </c>
      <c r="T181" s="562">
        <v>3</v>
      </c>
      <c r="U181" s="522"/>
      <c r="V181" s="563">
        <f>S181+T181</f>
        <v>828</v>
      </c>
      <c r="W181" s="524"/>
      <c r="X181" s="512"/>
    </row>
    <row r="182" spans="1:24" s="513" customFormat="1" x14ac:dyDescent="0.3">
      <c r="A182" s="521"/>
      <c r="B182" s="522" t="s">
        <v>64</v>
      </c>
      <c r="C182" s="522"/>
      <c r="D182" s="522"/>
      <c r="E182" s="522"/>
      <c r="F182" s="522"/>
      <c r="G182" s="522"/>
      <c r="H182" s="522"/>
      <c r="I182" s="522"/>
      <c r="J182" s="522"/>
      <c r="K182" s="522"/>
      <c r="L182" s="522"/>
      <c r="M182" s="522"/>
      <c r="N182" s="522"/>
      <c r="O182" s="522"/>
      <c r="P182" s="522"/>
      <c r="Q182" s="522"/>
      <c r="R182" s="522"/>
      <c r="S182" s="563">
        <f>S180+S181</f>
        <v>56376</v>
      </c>
      <c r="T182" s="563">
        <f>T181+T180</f>
        <v>6370</v>
      </c>
      <c r="U182" s="522"/>
      <c r="V182" s="563">
        <f>S182+T182</f>
        <v>62746</v>
      </c>
      <c r="W182" s="524"/>
      <c r="X182" s="512"/>
    </row>
    <row r="183" spans="1:24" s="513" customFormat="1" x14ac:dyDescent="0.3">
      <c r="A183" s="521"/>
      <c r="B183" s="522" t="s">
        <v>65</v>
      </c>
      <c r="C183" s="522"/>
      <c r="D183" s="522"/>
      <c r="E183" s="522"/>
      <c r="F183" s="522"/>
      <c r="G183" s="522"/>
      <c r="H183" s="522"/>
      <c r="I183" s="522"/>
      <c r="J183" s="522"/>
      <c r="K183" s="522"/>
      <c r="L183" s="522"/>
      <c r="M183" s="522"/>
      <c r="N183" s="522"/>
      <c r="O183" s="522"/>
      <c r="P183" s="522"/>
      <c r="Q183" s="522"/>
      <c r="R183" s="522"/>
      <c r="S183" s="563">
        <f>S179-S182-T182</f>
        <v>177286.80000000002</v>
      </c>
      <c r="T183" s="542"/>
      <c r="U183" s="522"/>
      <c r="V183" s="563"/>
      <c r="W183" s="524"/>
      <c r="X183" s="512"/>
    </row>
    <row r="184" spans="1:24" ht="16.2" thickBot="1" x14ac:dyDescent="0.35">
      <c r="A184" s="407"/>
      <c r="B184" s="429"/>
      <c r="C184" s="429"/>
      <c r="D184" s="429"/>
      <c r="E184" s="429"/>
      <c r="F184" s="429"/>
      <c r="G184" s="429"/>
      <c r="H184" s="429"/>
      <c r="I184" s="429"/>
      <c r="J184" s="429"/>
      <c r="K184" s="429"/>
      <c r="L184" s="429"/>
      <c r="M184" s="429"/>
      <c r="N184" s="429"/>
      <c r="O184" s="429"/>
      <c r="P184" s="429"/>
      <c r="Q184" s="429"/>
      <c r="R184" s="429"/>
      <c r="S184" s="429"/>
      <c r="T184" s="429"/>
      <c r="U184" s="429"/>
      <c r="V184" s="449"/>
      <c r="W184" s="429"/>
      <c r="X184" s="405"/>
    </row>
    <row r="185" spans="1:24" x14ac:dyDescent="0.3">
      <c r="A185" s="403"/>
      <c r="B185" s="404"/>
      <c r="C185" s="404"/>
      <c r="D185" s="404"/>
      <c r="E185" s="404"/>
      <c r="F185" s="404"/>
      <c r="G185" s="404"/>
      <c r="H185" s="404"/>
      <c r="I185" s="404"/>
      <c r="J185" s="404"/>
      <c r="K185" s="404"/>
      <c r="L185" s="404"/>
      <c r="M185" s="404"/>
      <c r="N185" s="404"/>
      <c r="O185" s="404"/>
      <c r="P185" s="404"/>
      <c r="Q185" s="404"/>
      <c r="R185" s="404"/>
      <c r="S185" s="404"/>
      <c r="T185" s="404"/>
      <c r="U185" s="404"/>
      <c r="V185" s="451"/>
      <c r="W185" s="404"/>
      <c r="X185" s="405"/>
    </row>
    <row r="186" spans="1:24" x14ac:dyDescent="0.3">
      <c r="A186" s="407"/>
      <c r="B186" s="502" t="s">
        <v>66</v>
      </c>
      <c r="C186" s="409"/>
      <c r="D186" s="409"/>
      <c r="E186" s="409"/>
      <c r="F186" s="409"/>
      <c r="G186" s="409"/>
      <c r="H186" s="409"/>
      <c r="I186" s="409"/>
      <c r="J186" s="409"/>
      <c r="K186" s="409"/>
      <c r="L186" s="409"/>
      <c r="M186" s="409"/>
      <c r="N186" s="409"/>
      <c r="O186" s="409"/>
      <c r="P186" s="409"/>
      <c r="Q186" s="409"/>
      <c r="R186" s="409"/>
      <c r="S186" s="409"/>
      <c r="T186" s="409"/>
      <c r="U186" s="409"/>
      <c r="V186" s="454"/>
      <c r="W186" s="409"/>
      <c r="X186" s="405"/>
    </row>
    <row r="187" spans="1:24" s="513" customFormat="1" x14ac:dyDescent="0.3">
      <c r="A187" s="521"/>
      <c r="B187" s="522" t="s">
        <v>67</v>
      </c>
      <c r="C187" s="522"/>
      <c r="D187" s="522"/>
      <c r="E187" s="522"/>
      <c r="F187" s="522"/>
      <c r="G187" s="522"/>
      <c r="H187" s="522"/>
      <c r="I187" s="522"/>
      <c r="J187" s="522"/>
      <c r="K187" s="522"/>
      <c r="L187" s="522"/>
      <c r="M187" s="522"/>
      <c r="N187" s="522"/>
      <c r="O187" s="522"/>
      <c r="P187" s="522"/>
      <c r="Q187" s="522"/>
      <c r="R187" s="522"/>
      <c r="S187" s="522"/>
      <c r="T187" s="522"/>
      <c r="U187" s="522"/>
      <c r="V187" s="571">
        <f>(V100+V102+V103+V104+V105)/-(V106+V107)</f>
        <v>3.9460465116279071</v>
      </c>
      <c r="W187" s="524" t="s">
        <v>120</v>
      </c>
      <c r="X187" s="512"/>
    </row>
    <row r="188" spans="1:24" s="513" customFormat="1" x14ac:dyDescent="0.3">
      <c r="A188" s="521"/>
      <c r="B188" s="522" t="s">
        <v>68</v>
      </c>
      <c r="C188" s="522"/>
      <c r="D188" s="522"/>
      <c r="E188" s="522"/>
      <c r="F188" s="522"/>
      <c r="G188" s="522"/>
      <c r="H188" s="522"/>
      <c r="I188" s="522"/>
      <c r="J188" s="522"/>
      <c r="K188" s="522"/>
      <c r="L188" s="522"/>
      <c r="M188" s="522"/>
      <c r="N188" s="522"/>
      <c r="O188" s="522"/>
      <c r="P188" s="522"/>
      <c r="Q188" s="522"/>
      <c r="R188" s="522"/>
      <c r="S188" s="522"/>
      <c r="T188" s="522"/>
      <c r="U188" s="522"/>
      <c r="V188" s="573">
        <v>1.93</v>
      </c>
      <c r="W188" s="524" t="s">
        <v>120</v>
      </c>
      <c r="X188" s="512"/>
    </row>
    <row r="189" spans="1:24" s="513" customFormat="1" x14ac:dyDescent="0.3">
      <c r="A189" s="521"/>
      <c r="B189" s="522" t="s">
        <v>69</v>
      </c>
      <c r="C189" s="522"/>
      <c r="D189" s="522"/>
      <c r="E189" s="522"/>
      <c r="F189" s="522"/>
      <c r="G189" s="522"/>
      <c r="H189" s="522"/>
      <c r="I189" s="522"/>
      <c r="J189" s="522"/>
      <c r="K189" s="522"/>
      <c r="L189" s="522"/>
      <c r="M189" s="522"/>
      <c r="N189" s="522"/>
      <c r="O189" s="522"/>
      <c r="P189" s="522"/>
      <c r="Q189" s="522"/>
      <c r="R189" s="522"/>
      <c r="S189" s="522"/>
      <c r="T189" s="522"/>
      <c r="U189" s="522"/>
      <c r="V189" s="571">
        <f>(V100+V102+V103+V104+V105+V106+V107)/-(V108+V109)</f>
        <v>11.151408450704226</v>
      </c>
      <c r="W189" s="524" t="s">
        <v>120</v>
      </c>
      <c r="X189" s="512"/>
    </row>
    <row r="190" spans="1:24" s="513" customFormat="1" x14ac:dyDescent="0.3">
      <c r="A190" s="521"/>
      <c r="B190" s="522" t="s">
        <v>70</v>
      </c>
      <c r="C190" s="522"/>
      <c r="D190" s="522"/>
      <c r="E190" s="522"/>
      <c r="F190" s="522"/>
      <c r="G190" s="522"/>
      <c r="H190" s="522"/>
      <c r="I190" s="522"/>
      <c r="J190" s="522"/>
      <c r="K190" s="522"/>
      <c r="L190" s="522"/>
      <c r="M190" s="522"/>
      <c r="N190" s="522"/>
      <c r="O190" s="522"/>
      <c r="P190" s="522"/>
      <c r="Q190" s="522"/>
      <c r="R190" s="522"/>
      <c r="S190" s="522"/>
      <c r="T190" s="522"/>
      <c r="U190" s="522"/>
      <c r="V190" s="573">
        <v>7.53</v>
      </c>
      <c r="W190" s="524" t="s">
        <v>120</v>
      </c>
      <c r="X190" s="512"/>
    </row>
    <row r="191" spans="1:24" s="513" customFormat="1" x14ac:dyDescent="0.3">
      <c r="A191" s="521"/>
      <c r="B191" s="522" t="s">
        <v>204</v>
      </c>
      <c r="C191" s="522"/>
      <c r="D191" s="522"/>
      <c r="E191" s="522"/>
      <c r="F191" s="522"/>
      <c r="G191" s="522"/>
      <c r="H191" s="522"/>
      <c r="I191" s="522"/>
      <c r="J191" s="522"/>
      <c r="K191" s="522"/>
      <c r="L191" s="522"/>
      <c r="M191" s="522"/>
      <c r="N191" s="522"/>
      <c r="O191" s="522"/>
      <c r="P191" s="522"/>
      <c r="Q191" s="522"/>
      <c r="R191" s="522"/>
      <c r="S191" s="522"/>
      <c r="T191" s="522"/>
      <c r="U191" s="522"/>
      <c r="V191" s="571">
        <f>(V100+V102+V103+V104+V105+V106+V107+V108+V109)/-(V110+V111)</f>
        <v>8.7099697885196381</v>
      </c>
      <c r="W191" s="524" t="s">
        <v>120</v>
      </c>
      <c r="X191" s="512"/>
    </row>
    <row r="192" spans="1:24" s="513" customFormat="1" x14ac:dyDescent="0.3">
      <c r="A192" s="521"/>
      <c r="B192" s="522" t="s">
        <v>205</v>
      </c>
      <c r="C192" s="522"/>
      <c r="D192" s="522"/>
      <c r="E192" s="522"/>
      <c r="F192" s="522"/>
      <c r="G192" s="522"/>
      <c r="H192" s="522"/>
      <c r="I192" s="522"/>
      <c r="J192" s="522"/>
      <c r="K192" s="522"/>
      <c r="L192" s="522"/>
      <c r="M192" s="522"/>
      <c r="N192" s="522"/>
      <c r="O192" s="522"/>
      <c r="P192" s="522"/>
      <c r="Q192" s="522"/>
      <c r="R192" s="522"/>
      <c r="S192" s="522"/>
      <c r="T192" s="522"/>
      <c r="U192" s="522"/>
      <c r="V192" s="573">
        <v>6.92</v>
      </c>
      <c r="W192" s="524" t="s">
        <v>120</v>
      </c>
      <c r="X192" s="512"/>
    </row>
    <row r="193" spans="1:24" s="513" customFormat="1" x14ac:dyDescent="0.3">
      <c r="A193" s="521"/>
      <c r="B193" s="522"/>
      <c r="C193" s="522"/>
      <c r="D193" s="522"/>
      <c r="E193" s="522"/>
      <c r="F193" s="522"/>
      <c r="G193" s="522"/>
      <c r="H193" s="522"/>
      <c r="I193" s="522"/>
      <c r="J193" s="522"/>
      <c r="K193" s="522"/>
      <c r="L193" s="522"/>
      <c r="M193" s="522"/>
      <c r="N193" s="522"/>
      <c r="O193" s="522"/>
      <c r="P193" s="522"/>
      <c r="Q193" s="522"/>
      <c r="R193" s="522"/>
      <c r="S193" s="522"/>
      <c r="T193" s="522"/>
      <c r="U193" s="522"/>
      <c r="V193" s="522"/>
      <c r="W193" s="524"/>
      <c r="X193" s="512"/>
    </row>
    <row r="194" spans="1:24" s="513" customFormat="1" x14ac:dyDescent="0.3">
      <c r="A194" s="509"/>
      <c r="B194" s="552"/>
      <c r="C194" s="552"/>
      <c r="D194" s="552"/>
      <c r="E194" s="552"/>
      <c r="F194" s="552"/>
      <c r="G194" s="552"/>
      <c r="H194" s="552"/>
      <c r="I194" s="552"/>
      <c r="J194" s="552"/>
      <c r="K194" s="552"/>
      <c r="L194" s="552"/>
      <c r="M194" s="552"/>
      <c r="N194" s="552"/>
      <c r="O194" s="552"/>
      <c r="P194" s="552"/>
      <c r="Q194" s="552"/>
      <c r="R194" s="552"/>
      <c r="S194" s="552"/>
      <c r="T194" s="552"/>
      <c r="U194" s="552"/>
      <c r="V194" s="552"/>
      <c r="W194" s="552"/>
      <c r="X194" s="512"/>
    </row>
    <row r="195" spans="1:24" s="513" customFormat="1" x14ac:dyDescent="0.3">
      <c r="A195" s="509"/>
      <c r="B195" s="510"/>
      <c r="C195" s="510"/>
      <c r="D195" s="510"/>
      <c r="E195" s="510"/>
      <c r="F195" s="510"/>
      <c r="G195" s="510"/>
      <c r="H195" s="510"/>
      <c r="I195" s="510"/>
      <c r="J195" s="510"/>
      <c r="K195" s="510"/>
      <c r="L195" s="510"/>
      <c r="M195" s="510"/>
      <c r="N195" s="510"/>
      <c r="O195" s="510"/>
      <c r="P195" s="510"/>
      <c r="Q195" s="510"/>
      <c r="R195" s="510"/>
      <c r="S195" s="510"/>
      <c r="T195" s="510"/>
      <c r="U195" s="510"/>
      <c r="V195" s="510"/>
      <c r="W195" s="510"/>
      <c r="X195" s="512"/>
    </row>
    <row r="196" spans="1:24" s="513" customFormat="1" ht="18.600000000000001" thickBot="1" x14ac:dyDescent="0.4">
      <c r="A196" s="557"/>
      <c r="B196" s="558" t="str">
        <f>B136</f>
        <v>PM12 INVESTOR REPORT QUARTER ENDING APRIL 2018</v>
      </c>
      <c r="C196" s="559"/>
      <c r="D196" s="559"/>
      <c r="E196" s="559"/>
      <c r="F196" s="559"/>
      <c r="G196" s="559"/>
      <c r="H196" s="559"/>
      <c r="I196" s="559"/>
      <c r="J196" s="559"/>
      <c r="K196" s="559"/>
      <c r="L196" s="559"/>
      <c r="M196" s="559"/>
      <c r="N196" s="559"/>
      <c r="O196" s="559"/>
      <c r="P196" s="559"/>
      <c r="Q196" s="559"/>
      <c r="R196" s="559"/>
      <c r="S196" s="559"/>
      <c r="T196" s="559"/>
      <c r="U196" s="559"/>
      <c r="V196" s="559"/>
      <c r="W196" s="561"/>
      <c r="X196" s="512"/>
    </row>
    <row r="197" spans="1:24" x14ac:dyDescent="0.3">
      <c r="A197" s="444"/>
      <c r="B197" s="445" t="s">
        <v>71</v>
      </c>
      <c r="C197" s="455"/>
      <c r="D197" s="455"/>
      <c r="E197" s="455"/>
      <c r="F197" s="455"/>
      <c r="G197" s="456"/>
      <c r="H197" s="456"/>
      <c r="I197" s="456"/>
      <c r="J197" s="456"/>
      <c r="K197" s="456"/>
      <c r="L197" s="456"/>
      <c r="M197" s="456"/>
      <c r="N197" s="456"/>
      <c r="O197" s="456"/>
      <c r="P197" s="456"/>
      <c r="Q197" s="456"/>
      <c r="R197" s="456"/>
      <c r="S197" s="456"/>
      <c r="T197" s="456">
        <v>43220</v>
      </c>
      <c r="U197" s="446"/>
      <c r="V197" s="446"/>
      <c r="W197" s="446"/>
      <c r="X197" s="405"/>
    </row>
    <row r="198" spans="1:24" x14ac:dyDescent="0.3">
      <c r="A198" s="457"/>
      <c r="B198" s="458"/>
      <c r="C198" s="459"/>
      <c r="D198" s="459"/>
      <c r="E198" s="459"/>
      <c r="F198" s="459"/>
      <c r="G198" s="460"/>
      <c r="H198" s="460"/>
      <c r="I198" s="460"/>
      <c r="J198" s="460"/>
      <c r="K198" s="460"/>
      <c r="L198" s="460"/>
      <c r="M198" s="460"/>
      <c r="N198" s="460"/>
      <c r="O198" s="460"/>
      <c r="P198" s="460"/>
      <c r="Q198" s="460"/>
      <c r="R198" s="460"/>
      <c r="S198" s="460"/>
      <c r="T198" s="460"/>
      <c r="U198" s="409"/>
      <c r="V198" s="409"/>
      <c r="W198" s="409"/>
      <c r="X198" s="405"/>
    </row>
    <row r="199" spans="1:24" s="513" customFormat="1" x14ac:dyDescent="0.3">
      <c r="A199" s="521"/>
      <c r="B199" s="522" t="s">
        <v>72</v>
      </c>
      <c r="C199" s="574"/>
      <c r="D199" s="574"/>
      <c r="E199" s="574"/>
      <c r="F199" s="574"/>
      <c r="G199" s="546"/>
      <c r="H199" s="546"/>
      <c r="I199" s="546"/>
      <c r="J199" s="546"/>
      <c r="K199" s="546"/>
      <c r="L199" s="546"/>
      <c r="M199" s="546"/>
      <c r="N199" s="546"/>
      <c r="O199" s="546"/>
      <c r="P199" s="546"/>
      <c r="Q199" s="546"/>
      <c r="R199" s="546"/>
      <c r="S199" s="546"/>
      <c r="T199" s="539">
        <v>5.2060000000000002E-2</v>
      </c>
      <c r="U199" s="522"/>
      <c r="V199" s="522"/>
      <c r="W199" s="524"/>
      <c r="X199" s="512"/>
    </row>
    <row r="200" spans="1:24" s="513" customFormat="1" x14ac:dyDescent="0.3">
      <c r="A200" s="521"/>
      <c r="B200" s="522" t="s">
        <v>156</v>
      </c>
      <c r="C200" s="574"/>
      <c r="D200" s="574"/>
      <c r="E200" s="574"/>
      <c r="F200" s="574"/>
      <c r="G200" s="546"/>
      <c r="H200" s="546"/>
      <c r="I200" s="546"/>
      <c r="J200" s="546"/>
      <c r="K200" s="546"/>
      <c r="L200" s="546"/>
      <c r="M200" s="546"/>
      <c r="N200" s="546"/>
      <c r="O200" s="546"/>
      <c r="P200" s="546"/>
      <c r="Q200" s="546"/>
      <c r="R200" s="546"/>
      <c r="S200" s="546"/>
      <c r="T200" s="539">
        <f>'Oct 06'!T197</f>
        <v>4.8538814772447772E-2</v>
      </c>
      <c r="U200" s="522"/>
      <c r="V200" s="522"/>
      <c r="W200" s="524"/>
      <c r="X200" s="512"/>
    </row>
    <row r="201" spans="1:24" s="513" customFormat="1" x14ac:dyDescent="0.3">
      <c r="A201" s="521"/>
      <c r="B201" s="522" t="s">
        <v>73</v>
      </c>
      <c r="C201" s="574"/>
      <c r="D201" s="574"/>
      <c r="E201" s="574"/>
      <c r="F201" s="574"/>
      <c r="G201" s="546"/>
      <c r="H201" s="546"/>
      <c r="I201" s="546"/>
      <c r="J201" s="546"/>
      <c r="K201" s="546"/>
      <c r="L201" s="546"/>
      <c r="M201" s="546"/>
      <c r="N201" s="546"/>
      <c r="O201" s="546"/>
      <c r="P201" s="546"/>
      <c r="Q201" s="546"/>
      <c r="R201" s="546"/>
      <c r="S201" s="546"/>
      <c r="T201" s="539">
        <f>T199-T200</f>
        <v>3.5211852275522301E-3</v>
      </c>
      <c r="U201" s="522"/>
      <c r="V201" s="522"/>
      <c r="W201" s="524"/>
      <c r="X201" s="512"/>
    </row>
    <row r="202" spans="1:24" s="513" customFormat="1" x14ac:dyDescent="0.3">
      <c r="A202" s="521"/>
      <c r="B202" s="522" t="s">
        <v>74</v>
      </c>
      <c r="C202" s="574"/>
      <c r="D202" s="574"/>
      <c r="E202" s="574"/>
      <c r="F202" s="574"/>
      <c r="G202" s="546"/>
      <c r="H202" s="546"/>
      <c r="I202" s="546"/>
      <c r="J202" s="546"/>
      <c r="K202" s="546"/>
      <c r="L202" s="546"/>
      <c r="M202" s="546"/>
      <c r="N202" s="546"/>
      <c r="O202" s="546"/>
      <c r="P202" s="546"/>
      <c r="Q202" s="546"/>
      <c r="R202" s="546"/>
      <c r="S202" s="546"/>
      <c r="T202" s="539">
        <v>2.4E-2</v>
      </c>
      <c r="U202" s="522"/>
      <c r="V202" s="522"/>
      <c r="W202" s="524"/>
      <c r="X202" s="512"/>
    </row>
    <row r="203" spans="1:24" s="513" customFormat="1" x14ac:dyDescent="0.3">
      <c r="A203" s="521"/>
      <c r="B203" s="522" t="s">
        <v>225</v>
      </c>
      <c r="C203" s="574"/>
      <c r="D203" s="574"/>
      <c r="E203" s="574"/>
      <c r="F203" s="574"/>
      <c r="G203" s="546"/>
      <c r="H203" s="546"/>
      <c r="I203" s="546"/>
      <c r="J203" s="546"/>
      <c r="K203" s="546"/>
      <c r="L203" s="546"/>
      <c r="M203" s="546"/>
      <c r="N203" s="546"/>
      <c r="O203" s="546"/>
      <c r="P203" s="546"/>
      <c r="Q203" s="546"/>
      <c r="R203" s="546"/>
      <c r="S203" s="546"/>
      <c r="T203" s="539">
        <f>V43</f>
        <v>9.2140364766111482E-3</v>
      </c>
      <c r="U203" s="522"/>
      <c r="V203" s="522"/>
      <c r="W203" s="524"/>
      <c r="X203" s="512"/>
    </row>
    <row r="204" spans="1:24" s="513" customFormat="1" x14ac:dyDescent="0.3">
      <c r="A204" s="521"/>
      <c r="B204" s="522" t="s">
        <v>75</v>
      </c>
      <c r="C204" s="574"/>
      <c r="D204" s="574"/>
      <c r="E204" s="574"/>
      <c r="F204" s="574"/>
      <c r="G204" s="546"/>
      <c r="H204" s="546"/>
      <c r="I204" s="546"/>
      <c r="J204" s="546"/>
      <c r="K204" s="546"/>
      <c r="L204" s="546"/>
      <c r="M204" s="546"/>
      <c r="N204" s="546"/>
      <c r="O204" s="546"/>
      <c r="P204" s="546"/>
      <c r="Q204" s="546"/>
      <c r="R204" s="546"/>
      <c r="S204" s="546"/>
      <c r="T204" s="539">
        <f>T202-T203</f>
        <v>1.4785963523388852E-2</v>
      </c>
      <c r="U204" s="522"/>
      <c r="V204" s="522"/>
      <c r="W204" s="524"/>
      <c r="X204" s="512"/>
    </row>
    <row r="205" spans="1:24" s="513" customFormat="1" x14ac:dyDescent="0.3">
      <c r="A205" s="521"/>
      <c r="B205" s="522" t="s">
        <v>271</v>
      </c>
      <c r="C205" s="574"/>
      <c r="D205" s="574"/>
      <c r="E205" s="574"/>
      <c r="F205" s="574"/>
      <c r="G205" s="546"/>
      <c r="H205" s="546"/>
      <c r="I205" s="546"/>
      <c r="J205" s="546"/>
      <c r="K205" s="546"/>
      <c r="L205" s="546"/>
      <c r="M205" s="546"/>
      <c r="N205" s="546"/>
      <c r="O205" s="546"/>
      <c r="P205" s="546"/>
      <c r="Q205" s="546"/>
      <c r="R205" s="546"/>
      <c r="S205" s="546"/>
      <c r="T205" s="539">
        <f>+V100/N71</f>
        <v>6.1729626364215437E-3</v>
      </c>
      <c r="U205" s="522"/>
      <c r="V205" s="522"/>
      <c r="W205" s="524"/>
      <c r="X205" s="512"/>
    </row>
    <row r="206" spans="1:24" s="513" customFormat="1" x14ac:dyDescent="0.3">
      <c r="A206" s="521"/>
      <c r="B206" s="522" t="s">
        <v>214</v>
      </c>
      <c r="C206" s="574"/>
      <c r="D206" s="574"/>
      <c r="E206" s="574"/>
      <c r="F206" s="574"/>
      <c r="G206" s="546"/>
      <c r="H206" s="546"/>
      <c r="I206" s="546"/>
      <c r="J206" s="546"/>
      <c r="K206" s="546"/>
      <c r="L206" s="546"/>
      <c r="M206" s="546"/>
      <c r="N206" s="546"/>
      <c r="O206" s="546"/>
      <c r="P206" s="546"/>
      <c r="Q206" s="546"/>
      <c r="R206" s="546"/>
      <c r="S206" s="546"/>
      <c r="T206" s="575">
        <v>50710</v>
      </c>
      <c r="U206" s="522"/>
      <c r="V206" s="522"/>
      <c r="W206" s="524"/>
      <c r="X206" s="512"/>
    </row>
    <row r="207" spans="1:24" s="513" customFormat="1" x14ac:dyDescent="0.3">
      <c r="A207" s="521"/>
      <c r="B207" s="522" t="s">
        <v>215</v>
      </c>
      <c r="C207" s="574"/>
      <c r="D207" s="574"/>
      <c r="E207" s="574"/>
      <c r="F207" s="574"/>
      <c r="G207" s="546"/>
      <c r="H207" s="546"/>
      <c r="I207" s="546"/>
      <c r="J207" s="546"/>
      <c r="K207" s="546"/>
      <c r="L207" s="546"/>
      <c r="M207" s="546"/>
      <c r="N207" s="546"/>
      <c r="O207" s="546"/>
      <c r="P207" s="546"/>
      <c r="Q207" s="546"/>
      <c r="R207" s="546"/>
      <c r="S207" s="546"/>
      <c r="T207" s="575">
        <v>50710</v>
      </c>
      <c r="U207" s="522"/>
      <c r="V207" s="522"/>
      <c r="W207" s="524"/>
      <c r="X207" s="512"/>
    </row>
    <row r="208" spans="1:24" s="513" customFormat="1" x14ac:dyDescent="0.3">
      <c r="A208" s="521"/>
      <c r="B208" s="522" t="s">
        <v>216</v>
      </c>
      <c r="C208" s="574"/>
      <c r="D208" s="574"/>
      <c r="E208" s="574"/>
      <c r="F208" s="574"/>
      <c r="G208" s="546"/>
      <c r="H208" s="546"/>
      <c r="I208" s="546"/>
      <c r="J208" s="546"/>
      <c r="K208" s="546"/>
      <c r="L208" s="546"/>
      <c r="M208" s="546"/>
      <c r="N208" s="546"/>
      <c r="O208" s="546"/>
      <c r="P208" s="546"/>
      <c r="Q208" s="546"/>
      <c r="R208" s="546"/>
      <c r="S208" s="546"/>
      <c r="T208" s="575">
        <v>50710</v>
      </c>
      <c r="U208" s="522"/>
      <c r="V208" s="522"/>
      <c r="W208" s="524"/>
      <c r="X208" s="512"/>
    </row>
    <row r="209" spans="1:24" s="513" customFormat="1" x14ac:dyDescent="0.3">
      <c r="A209" s="521"/>
      <c r="B209" s="522" t="s">
        <v>76</v>
      </c>
      <c r="C209" s="574"/>
      <c r="D209" s="574"/>
      <c r="E209" s="574"/>
      <c r="F209" s="574"/>
      <c r="G209" s="546"/>
      <c r="H209" s="546"/>
      <c r="I209" s="546"/>
      <c r="J209" s="546"/>
      <c r="K209" s="546"/>
      <c r="L209" s="546"/>
      <c r="M209" s="546"/>
      <c r="N209" s="546"/>
      <c r="O209" s="546"/>
      <c r="P209" s="546"/>
      <c r="Q209" s="546"/>
      <c r="R209" s="546"/>
      <c r="S209" s="546"/>
      <c r="T209" s="544">
        <v>21.06</v>
      </c>
      <c r="U209" s="522" t="s">
        <v>115</v>
      </c>
      <c r="V209" s="522"/>
      <c r="W209" s="524"/>
      <c r="X209" s="512"/>
    </row>
    <row r="210" spans="1:24" s="513" customFormat="1" x14ac:dyDescent="0.3">
      <c r="A210" s="521"/>
      <c r="B210" s="522" t="s">
        <v>77</v>
      </c>
      <c r="C210" s="574"/>
      <c r="D210" s="574"/>
      <c r="E210" s="574"/>
      <c r="F210" s="574"/>
      <c r="G210" s="546"/>
      <c r="H210" s="546"/>
      <c r="I210" s="546"/>
      <c r="J210" s="546"/>
      <c r="K210" s="546"/>
      <c r="L210" s="546"/>
      <c r="M210" s="546"/>
      <c r="N210" s="546"/>
      <c r="O210" s="546"/>
      <c r="P210" s="546"/>
      <c r="Q210" s="546"/>
      <c r="R210" s="546"/>
      <c r="S210" s="546"/>
      <c r="T210" s="544">
        <v>9.9499999999999993</v>
      </c>
      <c r="U210" s="522" t="s">
        <v>115</v>
      </c>
      <c r="V210" s="522"/>
      <c r="W210" s="524"/>
      <c r="X210" s="512"/>
    </row>
    <row r="211" spans="1:24" s="513" customFormat="1" x14ac:dyDescent="0.3">
      <c r="A211" s="521"/>
      <c r="B211" s="522" t="s">
        <v>78</v>
      </c>
      <c r="C211" s="574"/>
      <c r="D211" s="574"/>
      <c r="E211" s="574"/>
      <c r="F211" s="574"/>
      <c r="G211" s="546"/>
      <c r="H211" s="546"/>
      <c r="I211" s="546"/>
      <c r="J211" s="546"/>
      <c r="K211" s="546"/>
      <c r="L211" s="546"/>
      <c r="M211" s="546"/>
      <c r="N211" s="546"/>
      <c r="O211" s="546"/>
      <c r="P211" s="546"/>
      <c r="Q211" s="546"/>
      <c r="R211" s="546"/>
      <c r="S211" s="546"/>
      <c r="T211" s="539">
        <f>P68/N68</f>
        <v>1.6843331484902038E-2</v>
      </c>
      <c r="U211" s="522"/>
      <c r="V211" s="522"/>
      <c r="W211" s="524"/>
      <c r="X211" s="512"/>
    </row>
    <row r="212" spans="1:24" s="513" customFormat="1" x14ac:dyDescent="0.3">
      <c r="A212" s="521"/>
      <c r="B212" s="522" t="s">
        <v>79</v>
      </c>
      <c r="C212" s="574"/>
      <c r="D212" s="574"/>
      <c r="E212" s="574"/>
      <c r="F212" s="574"/>
      <c r="G212" s="546"/>
      <c r="H212" s="546"/>
      <c r="I212" s="546"/>
      <c r="J212" s="546"/>
      <c r="K212" s="546"/>
      <c r="L212" s="546"/>
      <c r="M212" s="546"/>
      <c r="N212" s="546"/>
      <c r="O212" s="546"/>
      <c r="P212" s="546"/>
      <c r="Q212" s="546"/>
      <c r="R212" s="546"/>
      <c r="S212" s="546"/>
      <c r="T212" s="539">
        <v>6.2300000000000001E-2</v>
      </c>
      <c r="U212" s="522"/>
      <c r="V212" s="522"/>
      <c r="W212" s="524"/>
      <c r="X212" s="512"/>
    </row>
    <row r="213" spans="1:24" x14ac:dyDescent="0.3">
      <c r="A213" s="457"/>
      <c r="B213" s="461"/>
      <c r="C213" s="461"/>
      <c r="D213" s="461"/>
      <c r="E213" s="461"/>
      <c r="F213" s="461"/>
      <c r="G213" s="429"/>
      <c r="H213" s="429"/>
      <c r="I213" s="429"/>
      <c r="J213" s="429"/>
      <c r="K213" s="429"/>
      <c r="L213" s="429"/>
      <c r="M213" s="429"/>
      <c r="N213" s="429"/>
      <c r="O213" s="429"/>
      <c r="P213" s="429"/>
      <c r="Q213" s="429"/>
      <c r="R213" s="429"/>
      <c r="S213" s="429"/>
      <c r="T213" s="449"/>
      <c r="U213" s="429"/>
      <c r="V213" s="462"/>
      <c r="W213" s="429"/>
      <c r="X213" s="405"/>
    </row>
    <row r="214" spans="1:24" x14ac:dyDescent="0.3">
      <c r="A214" s="463"/>
      <c r="B214" s="464" t="s">
        <v>80</v>
      </c>
      <c r="C214" s="465"/>
      <c r="D214" s="465"/>
      <c r="E214" s="465"/>
      <c r="F214" s="466"/>
      <c r="G214" s="465"/>
      <c r="H214" s="465"/>
      <c r="I214" s="465"/>
      <c r="J214" s="465"/>
      <c r="K214" s="465"/>
      <c r="L214" s="465"/>
      <c r="M214" s="465"/>
      <c r="N214" s="465"/>
      <c r="O214" s="465"/>
      <c r="P214" s="465"/>
      <c r="Q214" s="465"/>
      <c r="R214" s="465"/>
      <c r="S214" s="465" t="s">
        <v>104</v>
      </c>
      <c r="T214" s="466" t="s">
        <v>111</v>
      </c>
      <c r="U214" s="467"/>
      <c r="V214" s="467"/>
      <c r="W214" s="468"/>
      <c r="X214" s="405"/>
    </row>
    <row r="215" spans="1:24" x14ac:dyDescent="0.3">
      <c r="A215" s="469"/>
      <c r="B215" s="552" t="s">
        <v>81</v>
      </c>
      <c r="C215" s="567"/>
      <c r="D215" s="567"/>
      <c r="E215" s="567"/>
      <c r="F215" s="552"/>
      <c r="G215" s="552"/>
      <c r="H215" s="576"/>
      <c r="I215" s="576"/>
      <c r="J215" s="576"/>
      <c r="K215" s="576"/>
      <c r="L215" s="576"/>
      <c r="M215" s="576"/>
      <c r="N215" s="576"/>
      <c r="O215" s="576"/>
      <c r="P215" s="576"/>
      <c r="Q215" s="576"/>
      <c r="R215" s="576"/>
      <c r="S215" s="576">
        <v>0</v>
      </c>
      <c r="T215" s="577">
        <v>0</v>
      </c>
      <c r="U215" s="429"/>
      <c r="V215" s="462"/>
      <c r="W215" s="470"/>
      <c r="X215" s="405"/>
    </row>
    <row r="216" spans="1:24" x14ac:dyDescent="0.3">
      <c r="A216" s="471"/>
      <c r="B216" s="522" t="s">
        <v>150</v>
      </c>
      <c r="C216" s="562"/>
      <c r="D216" s="562"/>
      <c r="E216" s="562"/>
      <c r="F216" s="522"/>
      <c r="G216" s="522"/>
      <c r="H216" s="528"/>
      <c r="I216" s="528"/>
      <c r="J216" s="528"/>
      <c r="K216" s="528"/>
      <c r="L216" s="528"/>
      <c r="M216" s="528"/>
      <c r="N216" s="528"/>
      <c r="O216" s="528"/>
      <c r="P216" s="528"/>
      <c r="Q216" s="528"/>
      <c r="R216" s="528"/>
      <c r="S216" s="578">
        <f>+R268</f>
        <v>77</v>
      </c>
      <c r="T216" s="579">
        <f>+T268</f>
        <v>13333</v>
      </c>
      <c r="U216" s="424"/>
      <c r="V216" s="474"/>
      <c r="W216" s="475"/>
      <c r="X216" s="405"/>
    </row>
    <row r="217" spans="1:24" x14ac:dyDescent="0.3">
      <c r="A217" s="471"/>
      <c r="B217" s="522" t="s">
        <v>82</v>
      </c>
      <c r="C217" s="562"/>
      <c r="D217" s="562"/>
      <c r="E217" s="562"/>
      <c r="F217" s="522"/>
      <c r="G217" s="522"/>
      <c r="H217" s="528"/>
      <c r="I217" s="528"/>
      <c r="J217" s="528"/>
      <c r="K217" s="528"/>
      <c r="L217" s="528"/>
      <c r="M217" s="528"/>
      <c r="N217" s="528"/>
      <c r="O217" s="528"/>
      <c r="P217" s="528"/>
      <c r="Q217" s="528"/>
      <c r="R217" s="528"/>
      <c r="S217" s="578">
        <f>+R280</f>
        <v>0</v>
      </c>
      <c r="T217" s="579">
        <f>+T280</f>
        <v>0</v>
      </c>
      <c r="U217" s="424"/>
      <c r="V217" s="474"/>
      <c r="W217" s="475"/>
      <c r="X217" s="405"/>
    </row>
    <row r="218" spans="1:24" x14ac:dyDescent="0.3">
      <c r="A218" s="471"/>
      <c r="B218" s="493" t="s">
        <v>83</v>
      </c>
      <c r="C218" s="472"/>
      <c r="D218" s="472"/>
      <c r="E218" s="472"/>
      <c r="F218" s="424"/>
      <c r="G218" s="424"/>
      <c r="H218" s="424"/>
      <c r="I218" s="424"/>
      <c r="J218" s="424"/>
      <c r="K218" s="424"/>
      <c r="L218" s="424"/>
      <c r="M218" s="424"/>
      <c r="N218" s="424"/>
      <c r="O218" s="424"/>
      <c r="P218" s="424"/>
      <c r="Q218" s="424"/>
      <c r="R218" s="424"/>
      <c r="S218" s="421"/>
      <c r="T218" s="579">
        <v>0</v>
      </c>
      <c r="U218" s="424"/>
      <c r="V218" s="474"/>
      <c r="W218" s="475"/>
      <c r="X218" s="405"/>
    </row>
    <row r="219" spans="1:24" x14ac:dyDescent="0.3">
      <c r="A219" s="471"/>
      <c r="B219" s="493" t="s">
        <v>84</v>
      </c>
      <c r="C219" s="472"/>
      <c r="D219" s="472"/>
      <c r="E219" s="472"/>
      <c r="F219" s="424"/>
      <c r="G219" s="424"/>
      <c r="H219" s="424"/>
      <c r="I219" s="424"/>
      <c r="J219" s="424"/>
      <c r="K219" s="424"/>
      <c r="L219" s="424"/>
      <c r="M219" s="424"/>
      <c r="N219" s="424"/>
      <c r="O219" s="424"/>
      <c r="P219" s="424"/>
      <c r="Q219" s="424"/>
      <c r="R219" s="424"/>
      <c r="S219" s="421"/>
      <c r="T219" s="580" t="s">
        <v>112</v>
      </c>
      <c r="U219" s="424"/>
      <c r="V219" s="474"/>
      <c r="W219" s="475"/>
      <c r="X219" s="405"/>
    </row>
    <row r="220" spans="1:24" x14ac:dyDescent="0.3">
      <c r="A220" s="476"/>
      <c r="B220" s="493" t="s">
        <v>85</v>
      </c>
      <c r="C220" s="477"/>
      <c r="D220" s="477"/>
      <c r="E220" s="477"/>
      <c r="F220" s="477"/>
      <c r="G220" s="424"/>
      <c r="H220" s="424"/>
      <c r="I220" s="424"/>
      <c r="J220" s="424"/>
      <c r="K220" s="424"/>
      <c r="L220" s="424"/>
      <c r="M220" s="424"/>
      <c r="N220" s="424"/>
      <c r="O220" s="424"/>
      <c r="P220" s="424"/>
      <c r="Q220" s="424"/>
      <c r="R220" s="424"/>
      <c r="S220" s="421"/>
      <c r="T220" s="473"/>
      <c r="U220" s="424"/>
      <c r="V220" s="474"/>
      <c r="W220" s="478"/>
      <c r="X220" s="405"/>
    </row>
    <row r="221" spans="1:24" s="513" customFormat="1" x14ac:dyDescent="0.3">
      <c r="A221" s="581"/>
      <c r="B221" s="522" t="s">
        <v>86</v>
      </c>
      <c r="C221" s="522"/>
      <c r="D221" s="522"/>
      <c r="E221" s="522"/>
      <c r="F221" s="522"/>
      <c r="G221" s="522"/>
      <c r="H221" s="522"/>
      <c r="I221" s="522"/>
      <c r="J221" s="522"/>
      <c r="K221" s="522"/>
      <c r="L221" s="522"/>
      <c r="M221" s="522"/>
      <c r="N221" s="522"/>
      <c r="O221" s="522"/>
      <c r="P221" s="522"/>
      <c r="Q221" s="522"/>
      <c r="R221" s="522"/>
      <c r="S221" s="528"/>
      <c r="T221" s="579">
        <f>+V165</f>
        <v>62</v>
      </c>
      <c r="U221" s="522"/>
      <c r="V221" s="582"/>
      <c r="W221" s="583"/>
      <c r="X221" s="512"/>
    </row>
    <row r="222" spans="1:24" s="513" customFormat="1" x14ac:dyDescent="0.3">
      <c r="A222" s="584"/>
      <c r="B222" s="522" t="s">
        <v>87</v>
      </c>
      <c r="C222" s="562"/>
      <c r="D222" s="562"/>
      <c r="E222" s="562"/>
      <c r="F222" s="562"/>
      <c r="G222" s="522"/>
      <c r="H222" s="522"/>
      <c r="I222" s="522"/>
      <c r="J222" s="522"/>
      <c r="K222" s="522"/>
      <c r="L222" s="522"/>
      <c r="M222" s="522"/>
      <c r="N222" s="522"/>
      <c r="O222" s="522"/>
      <c r="P222" s="522"/>
      <c r="Q222" s="522"/>
      <c r="R222" s="522"/>
      <c r="S222" s="528"/>
      <c r="T222" s="579">
        <f>'Jan 18'!T222+'April 18'!T221</f>
        <v>7242</v>
      </c>
      <c r="U222" s="522"/>
      <c r="V222" s="582"/>
      <c r="W222" s="583"/>
      <c r="X222" s="512"/>
    </row>
    <row r="223" spans="1:24" x14ac:dyDescent="0.3">
      <c r="A223" s="476"/>
      <c r="B223" s="493" t="s">
        <v>292</v>
      </c>
      <c r="C223" s="477"/>
      <c r="D223" s="477"/>
      <c r="E223" s="477"/>
      <c r="F223" s="477"/>
      <c r="G223" s="424"/>
      <c r="H223" s="424"/>
      <c r="I223" s="424"/>
      <c r="J223" s="424"/>
      <c r="K223" s="424"/>
      <c r="L223" s="424"/>
      <c r="M223" s="424"/>
      <c r="N223" s="424"/>
      <c r="O223" s="424"/>
      <c r="P223" s="424"/>
      <c r="Q223" s="424"/>
      <c r="R223" s="424"/>
      <c r="S223" s="423"/>
      <c r="T223" s="473"/>
      <c r="U223" s="424"/>
      <c r="V223" s="474"/>
      <c r="W223" s="478"/>
      <c r="X223" s="405"/>
    </row>
    <row r="224" spans="1:24" s="513" customFormat="1" x14ac:dyDescent="0.3">
      <c r="A224" s="581"/>
      <c r="B224" s="522" t="s">
        <v>290</v>
      </c>
      <c r="C224" s="522"/>
      <c r="D224" s="522"/>
      <c r="E224" s="522"/>
      <c r="F224" s="522"/>
      <c r="G224" s="522"/>
      <c r="H224" s="522"/>
      <c r="I224" s="522"/>
      <c r="J224" s="522"/>
      <c r="K224" s="522"/>
      <c r="L224" s="522"/>
      <c r="M224" s="522"/>
      <c r="N224" s="522"/>
      <c r="O224" s="522"/>
      <c r="P224" s="522"/>
      <c r="Q224" s="522"/>
      <c r="R224" s="522"/>
      <c r="S224" s="528">
        <v>0</v>
      </c>
      <c r="T224" s="579">
        <v>0</v>
      </c>
      <c r="U224" s="522"/>
      <c r="V224" s="582"/>
      <c r="W224" s="583"/>
      <c r="X224" s="512"/>
    </row>
    <row r="225" spans="1:25" s="513" customFormat="1" x14ac:dyDescent="0.3">
      <c r="A225" s="584"/>
      <c r="B225" s="522" t="s">
        <v>88</v>
      </c>
      <c r="C225" s="542"/>
      <c r="D225" s="542"/>
      <c r="E225" s="542"/>
      <c r="F225" s="585"/>
      <c r="G225" s="522"/>
      <c r="H225" s="522"/>
      <c r="I225" s="522"/>
      <c r="J225" s="522"/>
      <c r="K225" s="522"/>
      <c r="L225" s="522"/>
      <c r="M225" s="522"/>
      <c r="N225" s="522"/>
      <c r="O225" s="522"/>
      <c r="P225" s="522"/>
      <c r="Q225" s="522"/>
      <c r="R225" s="522"/>
      <c r="S225" s="522"/>
      <c r="T225" s="580">
        <v>0</v>
      </c>
      <c r="U225" s="522"/>
      <c r="V225" s="582"/>
      <c r="W225" s="583"/>
      <c r="X225" s="512"/>
    </row>
    <row r="226" spans="1:25" s="513" customFormat="1" x14ac:dyDescent="0.3">
      <c r="A226" s="584"/>
      <c r="B226" s="522" t="s">
        <v>89</v>
      </c>
      <c r="C226" s="542"/>
      <c r="D226" s="542"/>
      <c r="E226" s="542"/>
      <c r="F226" s="585"/>
      <c r="G226" s="522"/>
      <c r="H226" s="522"/>
      <c r="I226" s="522"/>
      <c r="J226" s="522"/>
      <c r="K226" s="522"/>
      <c r="L226" s="522"/>
      <c r="M226" s="522"/>
      <c r="N226" s="522"/>
      <c r="O226" s="522"/>
      <c r="P226" s="522"/>
      <c r="Q226" s="522"/>
      <c r="R226" s="522"/>
      <c r="S226" s="522"/>
      <c r="T226" s="580">
        <v>0</v>
      </c>
      <c r="U226" s="522"/>
      <c r="V226" s="582"/>
      <c r="W226" s="583"/>
      <c r="X226" s="512"/>
    </row>
    <row r="227" spans="1:25" x14ac:dyDescent="0.3">
      <c r="A227" s="471"/>
      <c r="B227" s="493" t="s">
        <v>223</v>
      </c>
      <c r="C227" s="479"/>
      <c r="D227" s="479"/>
      <c r="E227" s="479"/>
      <c r="F227" s="480"/>
      <c r="G227" s="424"/>
      <c r="H227" s="424"/>
      <c r="I227" s="424"/>
      <c r="J227" s="424"/>
      <c r="K227" s="424"/>
      <c r="L227" s="424"/>
      <c r="M227" s="424"/>
      <c r="N227" s="424"/>
      <c r="O227" s="424"/>
      <c r="P227" s="424"/>
      <c r="Q227" s="424"/>
      <c r="R227" s="424"/>
      <c r="S227" s="421"/>
      <c r="T227" s="481"/>
      <c r="U227" s="424"/>
      <c r="V227" s="474"/>
      <c r="W227" s="478"/>
      <c r="X227" s="405"/>
    </row>
    <row r="228" spans="1:25" s="513" customFormat="1" x14ac:dyDescent="0.3">
      <c r="A228" s="584"/>
      <c r="B228" s="522" t="s">
        <v>290</v>
      </c>
      <c r="C228" s="542"/>
      <c r="D228" s="542"/>
      <c r="E228" s="542"/>
      <c r="F228" s="585"/>
      <c r="G228" s="522"/>
      <c r="H228" s="522"/>
      <c r="I228" s="522"/>
      <c r="J228" s="522"/>
      <c r="K228" s="522"/>
      <c r="L228" s="522"/>
      <c r="M228" s="522"/>
      <c r="N228" s="522"/>
      <c r="O228" s="522"/>
      <c r="P228" s="522"/>
      <c r="Q228" s="522"/>
      <c r="R228" s="522"/>
      <c r="S228" s="528">
        <v>3</v>
      </c>
      <c r="T228" s="579">
        <v>392</v>
      </c>
      <c r="U228" s="522"/>
      <c r="V228" s="582"/>
      <c r="W228" s="583"/>
      <c r="X228" s="512"/>
    </row>
    <row r="229" spans="1:25" s="513" customFormat="1" x14ac:dyDescent="0.3">
      <c r="A229" s="584"/>
      <c r="B229" s="522" t="s">
        <v>224</v>
      </c>
      <c r="C229" s="542"/>
      <c r="D229" s="542"/>
      <c r="E229" s="542"/>
      <c r="F229" s="585"/>
      <c r="G229" s="522"/>
      <c r="H229" s="522"/>
      <c r="I229" s="522"/>
      <c r="J229" s="522"/>
      <c r="K229" s="522"/>
      <c r="L229" s="522"/>
      <c r="M229" s="522"/>
      <c r="N229" s="522"/>
      <c r="O229" s="522"/>
      <c r="P229" s="522"/>
      <c r="Q229" s="522"/>
      <c r="R229" s="522"/>
      <c r="S229" s="522"/>
      <c r="T229" s="580">
        <v>2.06</v>
      </c>
      <c r="U229" s="522"/>
      <c r="V229" s="582"/>
      <c r="W229" s="583"/>
      <c r="X229" s="512"/>
    </row>
    <row r="230" spans="1:25" x14ac:dyDescent="0.3">
      <c r="A230" s="471"/>
      <c r="B230" s="477"/>
      <c r="C230" s="479"/>
      <c r="D230" s="479"/>
      <c r="E230" s="479"/>
      <c r="F230" s="480"/>
      <c r="G230" s="424"/>
      <c r="H230" s="424"/>
      <c r="I230" s="424"/>
      <c r="J230" s="424"/>
      <c r="K230" s="424"/>
      <c r="L230" s="424"/>
      <c r="M230" s="424"/>
      <c r="N230" s="424"/>
      <c r="O230" s="424"/>
      <c r="P230" s="424"/>
      <c r="Q230" s="424"/>
      <c r="R230" s="424"/>
      <c r="S230" s="421"/>
      <c r="T230" s="481"/>
      <c r="U230" s="424"/>
      <c r="V230" s="474"/>
      <c r="W230" s="478"/>
      <c r="X230" s="405"/>
    </row>
    <row r="231" spans="1:25" x14ac:dyDescent="0.3">
      <c r="A231" s="471"/>
      <c r="B231" s="477"/>
      <c r="C231" s="479"/>
      <c r="D231" s="479"/>
      <c r="E231" s="479"/>
      <c r="F231" s="480"/>
      <c r="G231" s="424"/>
      <c r="H231" s="424"/>
      <c r="I231" s="424"/>
      <c r="J231" s="424"/>
      <c r="K231" s="424"/>
      <c r="L231" s="424"/>
      <c r="M231" s="424"/>
      <c r="N231" s="424"/>
      <c r="O231" s="424"/>
      <c r="P231" s="424"/>
      <c r="Q231" s="424"/>
      <c r="R231" s="424"/>
      <c r="S231" s="424"/>
      <c r="T231" s="482"/>
      <c r="U231" s="424"/>
      <c r="V231" s="474"/>
      <c r="W231" s="478"/>
      <c r="X231" s="405"/>
    </row>
    <row r="232" spans="1:25" ht="18" x14ac:dyDescent="0.35">
      <c r="A232" s="471"/>
      <c r="B232" s="505" t="s">
        <v>174</v>
      </c>
      <c r="C232" s="479"/>
      <c r="D232" s="479"/>
      <c r="E232" s="479"/>
      <c r="F232" s="480"/>
      <c r="G232" s="424"/>
      <c r="H232" s="424"/>
      <c r="I232" s="424"/>
      <c r="J232" s="424"/>
      <c r="K232" s="424"/>
      <c r="L232" s="424"/>
      <c r="M232" s="424"/>
      <c r="N232" s="424"/>
      <c r="O232" s="424"/>
      <c r="P232" s="606" t="s">
        <v>349</v>
      </c>
      <c r="Q232" s="424"/>
      <c r="R232" s="424"/>
      <c r="S232" s="424"/>
      <c r="T232" s="482"/>
      <c r="U232" s="424"/>
      <c r="V232" s="474"/>
      <c r="W232" s="478"/>
      <c r="X232" s="405"/>
    </row>
    <row r="233" spans="1:25" x14ac:dyDescent="0.3">
      <c r="A233" s="469"/>
      <c r="B233" s="461"/>
      <c r="C233" s="483"/>
      <c r="D233" s="483"/>
      <c r="E233" s="483"/>
      <c r="F233" s="484"/>
      <c r="G233" s="429"/>
      <c r="H233" s="429"/>
      <c r="I233" s="429"/>
      <c r="J233" s="429"/>
      <c r="K233" s="429"/>
      <c r="L233" s="429"/>
      <c r="M233" s="429"/>
      <c r="N233" s="429"/>
      <c r="O233" s="429"/>
      <c r="P233" s="429"/>
      <c r="Q233" s="429"/>
      <c r="R233" s="429"/>
      <c r="S233" s="429"/>
      <c r="T233" s="485"/>
      <c r="U233" s="429"/>
      <c r="V233" s="462"/>
      <c r="W233" s="486"/>
      <c r="X233" s="405"/>
    </row>
    <row r="234" spans="1:25" x14ac:dyDescent="0.3">
      <c r="A234" s="418"/>
      <c r="B234" s="464" t="s">
        <v>304</v>
      </c>
      <c r="C234" s="465"/>
      <c r="D234" s="465"/>
      <c r="E234" s="465"/>
      <c r="F234" s="466"/>
      <c r="G234" s="465"/>
      <c r="H234" s="465"/>
      <c r="I234" s="465"/>
      <c r="J234" s="465"/>
      <c r="K234" s="465"/>
      <c r="L234" s="465"/>
      <c r="M234" s="465"/>
      <c r="N234" s="465"/>
      <c r="O234" s="465"/>
      <c r="P234" s="465"/>
      <c r="Q234" s="465"/>
      <c r="R234" s="466" t="s">
        <v>104</v>
      </c>
      <c r="S234" s="465" t="s">
        <v>105</v>
      </c>
      <c r="T234" s="466" t="s">
        <v>113</v>
      </c>
      <c r="U234" s="465" t="s">
        <v>105</v>
      </c>
      <c r="V234" s="467"/>
      <c r="W234" s="487"/>
      <c r="X234" s="405"/>
    </row>
    <row r="235" spans="1:25" s="513" customFormat="1" x14ac:dyDescent="0.3">
      <c r="A235" s="509"/>
      <c r="B235" s="567" t="s">
        <v>90</v>
      </c>
      <c r="C235" s="586"/>
      <c r="D235" s="586"/>
      <c r="E235" s="586"/>
      <c r="F235" s="552"/>
      <c r="G235" s="586"/>
      <c r="H235" s="586"/>
      <c r="I235" s="586"/>
      <c r="J235" s="586"/>
      <c r="K235" s="586"/>
      <c r="L235" s="586"/>
      <c r="M235" s="586"/>
      <c r="N235" s="586"/>
      <c r="O235" s="586"/>
      <c r="P235" s="586"/>
      <c r="Q235" s="586"/>
      <c r="R235" s="587">
        <f t="shared" ref="R235:R242" si="1">+R247+R259+R271</f>
        <v>5606</v>
      </c>
      <c r="S235" s="588">
        <f t="shared" ref="S235:S242" si="2">R235/$R$244</f>
        <v>0.99821937321937326</v>
      </c>
      <c r="T235" s="589">
        <f t="shared" ref="T235:T242" si="3">+T247+T259+T271</f>
        <v>739051</v>
      </c>
      <c r="U235" s="588">
        <f t="shared" ref="U235:U242" si="4">T235/$T$244</f>
        <v>0.99851381677522555</v>
      </c>
      <c r="V235" s="590"/>
      <c r="W235" s="591"/>
      <c r="X235" s="512"/>
    </row>
    <row r="236" spans="1:25" s="513" customFormat="1" x14ac:dyDescent="0.3">
      <c r="A236" s="521"/>
      <c r="B236" s="562" t="s">
        <v>91</v>
      </c>
      <c r="C236" s="592"/>
      <c r="D236" s="592"/>
      <c r="E236" s="592"/>
      <c r="F236" s="522"/>
      <c r="G236" s="593"/>
      <c r="H236" s="592"/>
      <c r="I236" s="592"/>
      <c r="J236" s="592"/>
      <c r="K236" s="592"/>
      <c r="L236" s="592"/>
      <c r="M236" s="592"/>
      <c r="N236" s="592"/>
      <c r="O236" s="592"/>
      <c r="P236" s="592"/>
      <c r="Q236" s="592"/>
      <c r="R236" s="562">
        <f t="shared" si="1"/>
        <v>4</v>
      </c>
      <c r="S236" s="593">
        <f t="shared" si="2"/>
        <v>7.1225071225071229E-4</v>
      </c>
      <c r="T236" s="563">
        <f t="shared" si="3"/>
        <v>276</v>
      </c>
      <c r="U236" s="593">
        <f t="shared" si="4"/>
        <v>3.7289688185248687E-4</v>
      </c>
      <c r="V236" s="582"/>
      <c r="W236" s="583"/>
      <c r="X236" s="512"/>
      <c r="Y236" s="570"/>
    </row>
    <row r="237" spans="1:25" s="513" customFormat="1" x14ac:dyDescent="0.3">
      <c r="A237" s="521"/>
      <c r="B237" s="562" t="s">
        <v>92</v>
      </c>
      <c r="C237" s="592"/>
      <c r="D237" s="592"/>
      <c r="E237" s="592"/>
      <c r="F237" s="522"/>
      <c r="G237" s="593"/>
      <c r="H237" s="592"/>
      <c r="I237" s="592"/>
      <c r="J237" s="592"/>
      <c r="K237" s="592"/>
      <c r="L237" s="592"/>
      <c r="M237" s="592"/>
      <c r="N237" s="592"/>
      <c r="O237" s="592"/>
      <c r="P237" s="592"/>
      <c r="Q237" s="592"/>
      <c r="R237" s="562">
        <f t="shared" si="1"/>
        <v>4</v>
      </c>
      <c r="S237" s="593">
        <f t="shared" si="2"/>
        <v>7.1225071225071229E-4</v>
      </c>
      <c r="T237" s="563">
        <f t="shared" si="3"/>
        <v>555</v>
      </c>
      <c r="U237" s="593">
        <f t="shared" si="4"/>
        <v>7.4984699068163122E-4</v>
      </c>
      <c r="V237" s="582"/>
      <c r="W237" s="583"/>
      <c r="X237" s="512"/>
    </row>
    <row r="238" spans="1:25" s="513" customFormat="1" x14ac:dyDescent="0.3">
      <c r="A238" s="521"/>
      <c r="B238" s="562" t="s">
        <v>161</v>
      </c>
      <c r="C238" s="592"/>
      <c r="D238" s="592"/>
      <c r="E238" s="592"/>
      <c r="F238" s="522"/>
      <c r="G238" s="593"/>
      <c r="H238" s="592"/>
      <c r="I238" s="592"/>
      <c r="J238" s="592"/>
      <c r="K238" s="592"/>
      <c r="L238" s="592"/>
      <c r="M238" s="592"/>
      <c r="N238" s="592"/>
      <c r="O238" s="592"/>
      <c r="P238" s="592"/>
      <c r="Q238" s="592"/>
      <c r="R238" s="562">
        <f t="shared" si="1"/>
        <v>0</v>
      </c>
      <c r="S238" s="593">
        <f t="shared" si="2"/>
        <v>0</v>
      </c>
      <c r="T238" s="563">
        <f t="shared" si="3"/>
        <v>0</v>
      </c>
      <c r="U238" s="593">
        <f t="shared" si="4"/>
        <v>0</v>
      </c>
      <c r="V238" s="582"/>
      <c r="W238" s="583"/>
      <c r="X238" s="512"/>
      <c r="Y238" s="570"/>
    </row>
    <row r="239" spans="1:25" s="513" customFormat="1" x14ac:dyDescent="0.3">
      <c r="A239" s="521"/>
      <c r="B239" s="562" t="s">
        <v>162</v>
      </c>
      <c r="C239" s="592"/>
      <c r="D239" s="592"/>
      <c r="E239" s="592"/>
      <c r="F239" s="522"/>
      <c r="G239" s="593"/>
      <c r="H239" s="592"/>
      <c r="I239" s="592"/>
      <c r="J239" s="592"/>
      <c r="K239" s="592"/>
      <c r="L239" s="592"/>
      <c r="M239" s="592"/>
      <c r="N239" s="592"/>
      <c r="O239" s="592"/>
      <c r="P239" s="592"/>
      <c r="Q239" s="592"/>
      <c r="R239" s="562">
        <f t="shared" si="1"/>
        <v>1</v>
      </c>
      <c r="S239" s="593">
        <f t="shared" si="2"/>
        <v>1.7806267806267807E-4</v>
      </c>
      <c r="T239" s="563">
        <f t="shared" si="3"/>
        <v>60</v>
      </c>
      <c r="U239" s="593">
        <f t="shared" si="4"/>
        <v>8.1064539533149313E-5</v>
      </c>
      <c r="V239" s="582"/>
      <c r="W239" s="583"/>
      <c r="X239" s="512"/>
    </row>
    <row r="240" spans="1:25" s="513" customFormat="1" x14ac:dyDescent="0.3">
      <c r="A240" s="521"/>
      <c r="B240" s="562" t="s">
        <v>163</v>
      </c>
      <c r="C240" s="592"/>
      <c r="D240" s="592"/>
      <c r="E240" s="592"/>
      <c r="F240" s="522"/>
      <c r="G240" s="593"/>
      <c r="H240" s="592"/>
      <c r="I240" s="592"/>
      <c r="J240" s="592"/>
      <c r="K240" s="592"/>
      <c r="L240" s="592"/>
      <c r="M240" s="592"/>
      <c r="N240" s="592"/>
      <c r="O240" s="592"/>
      <c r="P240" s="592"/>
      <c r="Q240" s="592"/>
      <c r="R240" s="562">
        <f t="shared" si="1"/>
        <v>0</v>
      </c>
      <c r="S240" s="593">
        <f t="shared" si="2"/>
        <v>0</v>
      </c>
      <c r="T240" s="563">
        <f t="shared" si="3"/>
        <v>0</v>
      </c>
      <c r="U240" s="593">
        <f t="shared" si="4"/>
        <v>0</v>
      </c>
      <c r="V240" s="582"/>
      <c r="W240" s="583"/>
      <c r="X240" s="512"/>
      <c r="Y240" s="570"/>
    </row>
    <row r="241" spans="1:25" s="513" customFormat="1" x14ac:dyDescent="0.3">
      <c r="A241" s="521"/>
      <c r="B241" s="562" t="s">
        <v>164</v>
      </c>
      <c r="C241" s="592"/>
      <c r="D241" s="592"/>
      <c r="E241" s="592"/>
      <c r="F241" s="522"/>
      <c r="G241" s="593"/>
      <c r="H241" s="592"/>
      <c r="I241" s="592"/>
      <c r="J241" s="592"/>
      <c r="K241" s="592"/>
      <c r="L241" s="592"/>
      <c r="M241" s="592"/>
      <c r="N241" s="592"/>
      <c r="O241" s="592"/>
      <c r="P241" s="592"/>
      <c r="Q241" s="592"/>
      <c r="R241" s="562">
        <f t="shared" si="1"/>
        <v>1</v>
      </c>
      <c r="S241" s="593">
        <f t="shared" si="2"/>
        <v>1.7806267806267807E-4</v>
      </c>
      <c r="T241" s="563">
        <f t="shared" si="3"/>
        <v>209</v>
      </c>
      <c r="U241" s="593">
        <f t="shared" si="4"/>
        <v>2.8237481270713678E-4</v>
      </c>
      <c r="V241" s="582"/>
      <c r="W241" s="583"/>
      <c r="X241" s="512"/>
    </row>
    <row r="242" spans="1:25" s="513" customFormat="1" x14ac:dyDescent="0.3">
      <c r="A242" s="521"/>
      <c r="B242" s="562" t="s">
        <v>165</v>
      </c>
      <c r="C242" s="592"/>
      <c r="D242" s="592"/>
      <c r="E242" s="592"/>
      <c r="F242" s="522"/>
      <c r="G242" s="593"/>
      <c r="H242" s="592"/>
      <c r="I242" s="592"/>
      <c r="J242" s="592"/>
      <c r="K242" s="592"/>
      <c r="L242" s="592"/>
      <c r="M242" s="592"/>
      <c r="N242" s="592"/>
      <c r="O242" s="592"/>
      <c r="P242" s="592"/>
      <c r="Q242" s="592"/>
      <c r="R242" s="562">
        <f t="shared" si="1"/>
        <v>0</v>
      </c>
      <c r="S242" s="593">
        <f t="shared" si="2"/>
        <v>0</v>
      </c>
      <c r="T242" s="563">
        <f t="shared" si="3"/>
        <v>0</v>
      </c>
      <c r="U242" s="593">
        <f t="shared" si="4"/>
        <v>0</v>
      </c>
      <c r="V242" s="582"/>
      <c r="W242" s="583"/>
      <c r="X242" s="512"/>
      <c r="Y242" s="570"/>
    </row>
    <row r="243" spans="1:25" s="513" customFormat="1" x14ac:dyDescent="0.3">
      <c r="A243" s="521"/>
      <c r="B243" s="562"/>
      <c r="C243" s="592"/>
      <c r="D243" s="592"/>
      <c r="E243" s="592"/>
      <c r="F243" s="522"/>
      <c r="G243" s="593"/>
      <c r="H243" s="592"/>
      <c r="I243" s="592"/>
      <c r="J243" s="592"/>
      <c r="K243" s="592"/>
      <c r="L243" s="592"/>
      <c r="M243" s="592"/>
      <c r="N243" s="592"/>
      <c r="O243" s="592"/>
      <c r="P243" s="592"/>
      <c r="Q243" s="592"/>
      <c r="R243" s="562"/>
      <c r="S243" s="593"/>
      <c r="T243" s="563"/>
      <c r="U243" s="593"/>
      <c r="V243" s="582"/>
      <c r="W243" s="583"/>
      <c r="X243" s="512"/>
    </row>
    <row r="244" spans="1:25" s="513" customFormat="1" x14ac:dyDescent="0.3">
      <c r="A244" s="521"/>
      <c r="B244" s="522" t="s">
        <v>119</v>
      </c>
      <c r="C244" s="522"/>
      <c r="D244" s="522"/>
      <c r="E244" s="522"/>
      <c r="F244" s="522"/>
      <c r="G244" s="522"/>
      <c r="H244" s="594"/>
      <c r="I244" s="594"/>
      <c r="J244" s="594"/>
      <c r="K244" s="594"/>
      <c r="L244" s="594"/>
      <c r="M244" s="594"/>
      <c r="N244" s="594"/>
      <c r="O244" s="594"/>
      <c r="P244" s="594"/>
      <c r="Q244" s="594"/>
      <c r="R244" s="562">
        <f>SUM(R235:R243)</f>
        <v>5616</v>
      </c>
      <c r="S244" s="593">
        <f>SUM(S235:S243)</f>
        <v>0.99999999999999989</v>
      </c>
      <c r="T244" s="563">
        <f>SUM(T235:T243)</f>
        <v>740151</v>
      </c>
      <c r="U244" s="593">
        <f>SUM(U235:U243)</f>
        <v>0.99999999999999989</v>
      </c>
      <c r="V244" s="522"/>
      <c r="W244" s="524"/>
      <c r="X244" s="512"/>
    </row>
    <row r="245" spans="1:25" x14ac:dyDescent="0.3">
      <c r="A245" s="469"/>
      <c r="B245" s="461"/>
      <c r="C245" s="483"/>
      <c r="D245" s="483"/>
      <c r="E245" s="483"/>
      <c r="F245" s="484"/>
      <c r="G245" s="429"/>
      <c r="H245" s="429"/>
      <c r="I245" s="429"/>
      <c r="J245" s="429"/>
      <c r="K245" s="429"/>
      <c r="L245" s="429"/>
      <c r="M245" s="429"/>
      <c r="N245" s="429"/>
      <c r="O245" s="429"/>
      <c r="P245" s="429"/>
      <c r="Q245" s="429"/>
      <c r="R245" s="429"/>
      <c r="S245" s="429"/>
      <c r="T245" s="485"/>
      <c r="U245" s="429"/>
      <c r="V245" s="462"/>
      <c r="W245" s="486"/>
      <c r="X245" s="405"/>
    </row>
    <row r="246" spans="1:25" x14ac:dyDescent="0.3">
      <c r="A246" s="418"/>
      <c r="B246" s="464" t="s">
        <v>167</v>
      </c>
      <c r="C246" s="465"/>
      <c r="D246" s="465"/>
      <c r="E246" s="465"/>
      <c r="F246" s="466"/>
      <c r="G246" s="465"/>
      <c r="H246" s="465"/>
      <c r="I246" s="465"/>
      <c r="J246" s="465"/>
      <c r="K246" s="465"/>
      <c r="L246" s="465"/>
      <c r="M246" s="465"/>
      <c r="N246" s="465"/>
      <c r="O246" s="465"/>
      <c r="P246" s="465"/>
      <c r="Q246" s="465"/>
      <c r="R246" s="466" t="s">
        <v>104</v>
      </c>
      <c r="S246" s="465" t="s">
        <v>105</v>
      </c>
      <c r="T246" s="466" t="s">
        <v>113</v>
      </c>
      <c r="U246" s="465" t="s">
        <v>105</v>
      </c>
      <c r="V246" s="467"/>
      <c r="W246" s="487"/>
      <c r="X246" s="405"/>
    </row>
    <row r="247" spans="1:25" s="513" customFormat="1" x14ac:dyDescent="0.3">
      <c r="A247" s="509"/>
      <c r="B247" s="567" t="s">
        <v>90</v>
      </c>
      <c r="C247" s="586"/>
      <c r="D247" s="586"/>
      <c r="E247" s="586"/>
      <c r="F247" s="552"/>
      <c r="G247" s="586"/>
      <c r="H247" s="586"/>
      <c r="I247" s="586"/>
      <c r="J247" s="586"/>
      <c r="K247" s="586"/>
      <c r="L247" s="586"/>
      <c r="M247" s="586"/>
      <c r="N247" s="586"/>
      <c r="O247" s="586"/>
      <c r="P247" s="586"/>
      <c r="Q247" s="586"/>
      <c r="R247" s="567">
        <v>5532</v>
      </c>
      <c r="S247" s="595">
        <f t="shared" ref="S247:S254" si="5">R247/$R$256</f>
        <v>0.9987362339772522</v>
      </c>
      <c r="T247" s="596">
        <v>726100</v>
      </c>
      <c r="U247" s="595">
        <f t="shared" ref="U247:U254" si="6">T247/$T$256</f>
        <v>0.99901213233574293</v>
      </c>
      <c r="V247" s="590"/>
      <c r="W247" s="591"/>
      <c r="X247" s="512"/>
    </row>
    <row r="248" spans="1:25" s="513" customFormat="1" x14ac:dyDescent="0.3">
      <c r="A248" s="521"/>
      <c r="B248" s="562" t="s">
        <v>91</v>
      </c>
      <c r="C248" s="592"/>
      <c r="D248" s="592"/>
      <c r="E248" s="592"/>
      <c r="F248" s="522"/>
      <c r="G248" s="593"/>
      <c r="H248" s="592"/>
      <c r="I248" s="592"/>
      <c r="J248" s="592"/>
      <c r="K248" s="592"/>
      <c r="L248" s="592"/>
      <c r="M248" s="592"/>
      <c r="N248" s="592"/>
      <c r="O248" s="592"/>
      <c r="P248" s="592"/>
      <c r="Q248" s="592"/>
      <c r="R248" s="562">
        <v>4</v>
      </c>
      <c r="S248" s="593">
        <f t="shared" si="5"/>
        <v>7.221520129987362E-4</v>
      </c>
      <c r="T248" s="563">
        <v>276</v>
      </c>
      <c r="U248" s="593">
        <f t="shared" si="6"/>
        <v>3.797374308286256E-4</v>
      </c>
      <c r="V248" s="582"/>
      <c r="W248" s="583"/>
      <c r="X248" s="512"/>
      <c r="Y248" s="570"/>
    </row>
    <row r="249" spans="1:25" s="513" customFormat="1" x14ac:dyDescent="0.3">
      <c r="A249" s="521"/>
      <c r="B249" s="562" t="s">
        <v>92</v>
      </c>
      <c r="C249" s="592"/>
      <c r="D249" s="592"/>
      <c r="E249" s="592"/>
      <c r="F249" s="522"/>
      <c r="G249" s="593"/>
      <c r="H249" s="592"/>
      <c r="I249" s="592"/>
      <c r="J249" s="592"/>
      <c r="K249" s="592"/>
      <c r="L249" s="592"/>
      <c r="M249" s="592"/>
      <c r="N249" s="592"/>
      <c r="O249" s="592"/>
      <c r="P249" s="592"/>
      <c r="Q249" s="592"/>
      <c r="R249" s="562">
        <v>3</v>
      </c>
      <c r="S249" s="593">
        <f t="shared" si="5"/>
        <v>5.416140097490522E-4</v>
      </c>
      <c r="T249" s="563">
        <v>442</v>
      </c>
      <c r="U249" s="593">
        <f t="shared" si="6"/>
        <v>6.0813023342845118E-4</v>
      </c>
      <c r="V249" s="582"/>
      <c r="W249" s="583"/>
      <c r="X249" s="512"/>
    </row>
    <row r="250" spans="1:25" s="513" customFormat="1" x14ac:dyDescent="0.3">
      <c r="A250" s="521"/>
      <c r="B250" s="562" t="s">
        <v>161</v>
      </c>
      <c r="C250" s="592"/>
      <c r="D250" s="592"/>
      <c r="E250" s="592"/>
      <c r="F250" s="522"/>
      <c r="G250" s="593"/>
      <c r="H250" s="592"/>
      <c r="I250" s="592"/>
      <c r="J250" s="592"/>
      <c r="K250" s="592"/>
      <c r="L250" s="592"/>
      <c r="M250" s="592"/>
      <c r="N250" s="592"/>
      <c r="O250" s="592"/>
      <c r="P250" s="592"/>
      <c r="Q250" s="592"/>
      <c r="R250" s="562">
        <v>0</v>
      </c>
      <c r="S250" s="593">
        <f t="shared" si="5"/>
        <v>0</v>
      </c>
      <c r="T250" s="563">
        <v>0</v>
      </c>
      <c r="U250" s="593">
        <f t="shared" si="6"/>
        <v>0</v>
      </c>
      <c r="V250" s="582"/>
      <c r="W250" s="583"/>
      <c r="X250" s="512"/>
      <c r="Y250" s="570"/>
    </row>
    <row r="251" spans="1:25" s="513" customFormat="1" x14ac:dyDescent="0.3">
      <c r="A251" s="521"/>
      <c r="B251" s="562" t="s">
        <v>162</v>
      </c>
      <c r="C251" s="592"/>
      <c r="D251" s="592"/>
      <c r="E251" s="592"/>
      <c r="F251" s="522"/>
      <c r="G251" s="593"/>
      <c r="H251" s="592"/>
      <c r="I251" s="592"/>
      <c r="J251" s="592"/>
      <c r="K251" s="592"/>
      <c r="L251" s="592"/>
      <c r="M251" s="592"/>
      <c r="N251" s="592"/>
      <c r="O251" s="592"/>
      <c r="P251" s="592"/>
      <c r="Q251" s="592"/>
      <c r="R251" s="562">
        <v>0</v>
      </c>
      <c r="S251" s="593">
        <f t="shared" si="5"/>
        <v>0</v>
      </c>
      <c r="T251" s="563">
        <v>0</v>
      </c>
      <c r="U251" s="593">
        <f t="shared" si="6"/>
        <v>0</v>
      </c>
      <c r="V251" s="582"/>
      <c r="W251" s="583"/>
      <c r="X251" s="512"/>
    </row>
    <row r="252" spans="1:25" s="513" customFormat="1" x14ac:dyDescent="0.3">
      <c r="A252" s="521"/>
      <c r="B252" s="562" t="s">
        <v>163</v>
      </c>
      <c r="C252" s="592"/>
      <c r="D252" s="592"/>
      <c r="E252" s="592"/>
      <c r="F252" s="522"/>
      <c r="G252" s="593"/>
      <c r="H252" s="592"/>
      <c r="I252" s="592"/>
      <c r="J252" s="592"/>
      <c r="K252" s="592"/>
      <c r="L252" s="592"/>
      <c r="M252" s="592"/>
      <c r="N252" s="592"/>
      <c r="O252" s="592"/>
      <c r="P252" s="592"/>
      <c r="Q252" s="592"/>
      <c r="R252" s="562">
        <v>0</v>
      </c>
      <c r="S252" s="593">
        <f t="shared" si="5"/>
        <v>0</v>
      </c>
      <c r="T252" s="563">
        <v>0</v>
      </c>
      <c r="U252" s="593">
        <f t="shared" si="6"/>
        <v>0</v>
      </c>
      <c r="V252" s="582"/>
      <c r="W252" s="583"/>
      <c r="X252" s="512"/>
      <c r="Y252" s="570"/>
    </row>
    <row r="253" spans="1:25" s="513" customFormat="1" x14ac:dyDescent="0.3">
      <c r="A253" s="521"/>
      <c r="B253" s="562" t="s">
        <v>164</v>
      </c>
      <c r="C253" s="592"/>
      <c r="D253" s="592"/>
      <c r="E253" s="592"/>
      <c r="F253" s="522"/>
      <c r="G253" s="593"/>
      <c r="H253" s="592"/>
      <c r="I253" s="592"/>
      <c r="J253" s="592"/>
      <c r="K253" s="592"/>
      <c r="L253" s="592"/>
      <c r="M253" s="592"/>
      <c r="N253" s="592"/>
      <c r="O253" s="592"/>
      <c r="P253" s="592"/>
      <c r="Q253" s="592"/>
      <c r="R253" s="562">
        <v>0</v>
      </c>
      <c r="S253" s="593">
        <f t="shared" si="5"/>
        <v>0</v>
      </c>
      <c r="T253" s="563">
        <v>0</v>
      </c>
      <c r="U253" s="593">
        <f t="shared" si="6"/>
        <v>0</v>
      </c>
      <c r="V253" s="582"/>
      <c r="W253" s="583"/>
      <c r="X253" s="512"/>
    </row>
    <row r="254" spans="1:25" s="513" customFormat="1" x14ac:dyDescent="0.3">
      <c r="A254" s="521"/>
      <c r="B254" s="562" t="s">
        <v>165</v>
      </c>
      <c r="C254" s="592"/>
      <c r="D254" s="592"/>
      <c r="E254" s="592"/>
      <c r="F254" s="522"/>
      <c r="G254" s="593"/>
      <c r="H254" s="592"/>
      <c r="I254" s="592"/>
      <c r="J254" s="592"/>
      <c r="K254" s="592"/>
      <c r="L254" s="592"/>
      <c r="M254" s="592"/>
      <c r="N254" s="592"/>
      <c r="O254" s="592"/>
      <c r="P254" s="592"/>
      <c r="Q254" s="592"/>
      <c r="R254" s="562">
        <v>0</v>
      </c>
      <c r="S254" s="593">
        <f t="shared" si="5"/>
        <v>0</v>
      </c>
      <c r="T254" s="563">
        <v>0</v>
      </c>
      <c r="U254" s="593">
        <f t="shared" si="6"/>
        <v>0</v>
      </c>
      <c r="V254" s="582"/>
      <c r="W254" s="583"/>
      <c r="X254" s="512"/>
      <c r="Y254" s="570"/>
    </row>
    <row r="255" spans="1:25" s="513" customFormat="1" x14ac:dyDescent="0.3">
      <c r="A255" s="521"/>
      <c r="B255" s="562"/>
      <c r="C255" s="592"/>
      <c r="D255" s="592"/>
      <c r="E255" s="592"/>
      <c r="F255" s="522"/>
      <c r="G255" s="593"/>
      <c r="H255" s="592"/>
      <c r="I255" s="592"/>
      <c r="J255" s="592"/>
      <c r="K255" s="592"/>
      <c r="L255" s="592"/>
      <c r="M255" s="592"/>
      <c r="N255" s="592"/>
      <c r="O255" s="592"/>
      <c r="P255" s="592"/>
      <c r="Q255" s="592"/>
      <c r="R255" s="562"/>
      <c r="S255" s="593"/>
      <c r="T255" s="563"/>
      <c r="U255" s="593"/>
      <c r="V255" s="582"/>
      <c r="W255" s="583"/>
      <c r="X255" s="512"/>
    </row>
    <row r="256" spans="1:25" s="513" customFormat="1" x14ac:dyDescent="0.3">
      <c r="A256" s="521"/>
      <c r="B256" s="522" t="s">
        <v>119</v>
      </c>
      <c r="C256" s="522"/>
      <c r="D256" s="522"/>
      <c r="E256" s="522"/>
      <c r="F256" s="522"/>
      <c r="G256" s="522"/>
      <c r="H256" s="594"/>
      <c r="I256" s="594"/>
      <c r="J256" s="594"/>
      <c r="K256" s="594"/>
      <c r="L256" s="594"/>
      <c r="M256" s="594"/>
      <c r="N256" s="594"/>
      <c r="O256" s="594"/>
      <c r="P256" s="594"/>
      <c r="Q256" s="594"/>
      <c r="R256" s="562">
        <f>SUM(R247:R255)</f>
        <v>5539</v>
      </c>
      <c r="S256" s="593">
        <f>SUM(S247:S255)</f>
        <v>1</v>
      </c>
      <c r="T256" s="563">
        <f>SUM(T247:T255)</f>
        <v>726818</v>
      </c>
      <c r="U256" s="593">
        <f>SUM(U247:U255)</f>
        <v>1</v>
      </c>
      <c r="V256" s="522"/>
      <c r="W256" s="524"/>
      <c r="X256" s="512"/>
    </row>
    <row r="257" spans="1:24" x14ac:dyDescent="0.3">
      <c r="A257" s="407"/>
      <c r="B257" s="429"/>
      <c r="C257" s="429"/>
      <c r="D257" s="429"/>
      <c r="E257" s="429"/>
      <c r="F257" s="429"/>
      <c r="G257" s="429"/>
      <c r="H257" s="488"/>
      <c r="I257" s="488"/>
      <c r="J257" s="488"/>
      <c r="K257" s="488"/>
      <c r="L257" s="488"/>
      <c r="M257" s="488"/>
      <c r="N257" s="488"/>
      <c r="O257" s="488"/>
      <c r="P257" s="488"/>
      <c r="Q257" s="488"/>
      <c r="R257" s="435"/>
      <c r="S257" s="489"/>
      <c r="T257" s="490"/>
      <c r="U257" s="489"/>
      <c r="V257" s="429"/>
      <c r="W257" s="429"/>
      <c r="X257" s="405"/>
    </row>
    <row r="258" spans="1:24" x14ac:dyDescent="0.3">
      <c r="A258" s="418"/>
      <c r="B258" s="464" t="s">
        <v>283</v>
      </c>
      <c r="C258" s="465"/>
      <c r="D258" s="465"/>
      <c r="E258" s="465"/>
      <c r="F258" s="466"/>
      <c r="G258" s="465"/>
      <c r="H258" s="465"/>
      <c r="I258" s="465"/>
      <c r="J258" s="465"/>
      <c r="K258" s="465"/>
      <c r="L258" s="465"/>
      <c r="M258" s="465"/>
      <c r="N258" s="465"/>
      <c r="O258" s="465"/>
      <c r="P258" s="465"/>
      <c r="Q258" s="465"/>
      <c r="R258" s="466" t="s">
        <v>104</v>
      </c>
      <c r="S258" s="465" t="s">
        <v>105</v>
      </c>
      <c r="T258" s="466" t="s">
        <v>113</v>
      </c>
      <c r="U258" s="465" t="s">
        <v>105</v>
      </c>
      <c r="V258" s="467"/>
      <c r="W258" s="468"/>
      <c r="X258" s="405"/>
    </row>
    <row r="259" spans="1:24" s="513" customFormat="1" x14ac:dyDescent="0.3">
      <c r="A259" s="509"/>
      <c r="B259" s="567" t="s">
        <v>90</v>
      </c>
      <c r="C259" s="586"/>
      <c r="D259" s="586"/>
      <c r="E259" s="586"/>
      <c r="F259" s="552"/>
      <c r="G259" s="586"/>
      <c r="H259" s="586"/>
      <c r="I259" s="586"/>
      <c r="J259" s="586"/>
      <c r="K259" s="586"/>
      <c r="L259" s="586"/>
      <c r="M259" s="586"/>
      <c r="N259" s="586"/>
      <c r="O259" s="586"/>
      <c r="P259" s="586"/>
      <c r="Q259" s="586"/>
      <c r="R259" s="567">
        <v>74</v>
      </c>
      <c r="S259" s="595">
        <f t="shared" ref="S259:S266" si="7">R259/$R$268</f>
        <v>0.96103896103896103</v>
      </c>
      <c r="T259" s="596">
        <v>12951</v>
      </c>
      <c r="U259" s="595">
        <f t="shared" ref="U259:U266" si="8">T259/$T$268</f>
        <v>0.97134928373209328</v>
      </c>
      <c r="V259" s="552"/>
      <c r="W259" s="552"/>
      <c r="X259" s="512"/>
    </row>
    <row r="260" spans="1:24" s="513" customFormat="1" x14ac:dyDescent="0.3">
      <c r="A260" s="521"/>
      <c r="B260" s="562" t="s">
        <v>91</v>
      </c>
      <c r="C260" s="592"/>
      <c r="D260" s="592"/>
      <c r="E260" s="592"/>
      <c r="F260" s="522"/>
      <c r="G260" s="593"/>
      <c r="H260" s="592"/>
      <c r="I260" s="592"/>
      <c r="J260" s="592"/>
      <c r="K260" s="592"/>
      <c r="L260" s="592"/>
      <c r="M260" s="592"/>
      <c r="N260" s="592"/>
      <c r="O260" s="592"/>
      <c r="P260" s="592"/>
      <c r="Q260" s="592"/>
      <c r="R260" s="562">
        <v>0</v>
      </c>
      <c r="S260" s="593">
        <f t="shared" si="7"/>
        <v>0</v>
      </c>
      <c r="T260" s="563">
        <v>0</v>
      </c>
      <c r="U260" s="593">
        <f t="shared" si="8"/>
        <v>0</v>
      </c>
      <c r="V260" s="522"/>
      <c r="W260" s="524"/>
      <c r="X260" s="512"/>
    </row>
    <row r="261" spans="1:24" s="513" customFormat="1" x14ac:dyDescent="0.3">
      <c r="A261" s="521"/>
      <c r="B261" s="562" t="s">
        <v>92</v>
      </c>
      <c r="C261" s="592"/>
      <c r="D261" s="592"/>
      <c r="E261" s="592"/>
      <c r="F261" s="522"/>
      <c r="G261" s="593"/>
      <c r="H261" s="592"/>
      <c r="I261" s="592"/>
      <c r="J261" s="592"/>
      <c r="K261" s="592"/>
      <c r="L261" s="592"/>
      <c r="M261" s="592"/>
      <c r="N261" s="592"/>
      <c r="O261" s="592"/>
      <c r="P261" s="592"/>
      <c r="Q261" s="592"/>
      <c r="R261" s="562">
        <v>1</v>
      </c>
      <c r="S261" s="593">
        <f t="shared" si="7"/>
        <v>1.2987012987012988E-2</v>
      </c>
      <c r="T261" s="563">
        <v>113</v>
      </c>
      <c r="U261" s="593">
        <f t="shared" si="8"/>
        <v>8.475211880297007E-3</v>
      </c>
      <c r="V261" s="522"/>
      <c r="W261" s="524"/>
      <c r="X261" s="512"/>
    </row>
    <row r="262" spans="1:24" s="513" customFormat="1" x14ac:dyDescent="0.3">
      <c r="A262" s="521"/>
      <c r="B262" s="562" t="s">
        <v>161</v>
      </c>
      <c r="C262" s="592"/>
      <c r="D262" s="592"/>
      <c r="E262" s="592"/>
      <c r="F262" s="522"/>
      <c r="G262" s="593"/>
      <c r="H262" s="592"/>
      <c r="I262" s="592"/>
      <c r="J262" s="592"/>
      <c r="K262" s="592"/>
      <c r="L262" s="592"/>
      <c r="M262" s="592"/>
      <c r="N262" s="592"/>
      <c r="O262" s="592"/>
      <c r="P262" s="592"/>
      <c r="Q262" s="592"/>
      <c r="R262" s="562">
        <v>0</v>
      </c>
      <c r="S262" s="593">
        <f t="shared" si="7"/>
        <v>0</v>
      </c>
      <c r="T262" s="563">
        <v>0</v>
      </c>
      <c r="U262" s="593">
        <f t="shared" si="8"/>
        <v>0</v>
      </c>
      <c r="V262" s="522"/>
      <c r="W262" s="524"/>
      <c r="X262" s="512"/>
    </row>
    <row r="263" spans="1:24" s="513" customFormat="1" x14ac:dyDescent="0.3">
      <c r="A263" s="521"/>
      <c r="B263" s="562" t="s">
        <v>162</v>
      </c>
      <c r="C263" s="592"/>
      <c r="D263" s="592"/>
      <c r="E263" s="592"/>
      <c r="F263" s="522"/>
      <c r="G263" s="593"/>
      <c r="H263" s="592"/>
      <c r="I263" s="592"/>
      <c r="J263" s="592"/>
      <c r="K263" s="592"/>
      <c r="L263" s="592"/>
      <c r="M263" s="592"/>
      <c r="N263" s="592"/>
      <c r="O263" s="592"/>
      <c r="P263" s="592"/>
      <c r="Q263" s="592"/>
      <c r="R263" s="562">
        <v>1</v>
      </c>
      <c r="S263" s="593">
        <f t="shared" si="7"/>
        <v>1.2987012987012988E-2</v>
      </c>
      <c r="T263" s="563">
        <v>60</v>
      </c>
      <c r="U263" s="593">
        <f t="shared" si="8"/>
        <v>4.5001125028125699E-3</v>
      </c>
      <c r="V263" s="522"/>
      <c r="W263" s="524"/>
      <c r="X263" s="512"/>
    </row>
    <row r="264" spans="1:24" s="513" customFormat="1" x14ac:dyDescent="0.3">
      <c r="A264" s="521"/>
      <c r="B264" s="562" t="s">
        <v>163</v>
      </c>
      <c r="C264" s="592"/>
      <c r="D264" s="592"/>
      <c r="E264" s="592"/>
      <c r="F264" s="522"/>
      <c r="G264" s="593"/>
      <c r="H264" s="592"/>
      <c r="I264" s="592"/>
      <c r="J264" s="592"/>
      <c r="K264" s="592"/>
      <c r="L264" s="592"/>
      <c r="M264" s="592"/>
      <c r="N264" s="592"/>
      <c r="O264" s="592"/>
      <c r="P264" s="592"/>
      <c r="Q264" s="592"/>
      <c r="R264" s="562">
        <v>0</v>
      </c>
      <c r="S264" s="593">
        <f t="shared" si="7"/>
        <v>0</v>
      </c>
      <c r="T264" s="563">
        <v>0</v>
      </c>
      <c r="U264" s="593">
        <f t="shared" si="8"/>
        <v>0</v>
      </c>
      <c r="V264" s="522"/>
      <c r="W264" s="524"/>
      <c r="X264" s="512"/>
    </row>
    <row r="265" spans="1:24" s="513" customFormat="1" x14ac:dyDescent="0.3">
      <c r="A265" s="521"/>
      <c r="B265" s="562" t="s">
        <v>164</v>
      </c>
      <c r="C265" s="592"/>
      <c r="D265" s="592"/>
      <c r="E265" s="592"/>
      <c r="F265" s="522"/>
      <c r="G265" s="593"/>
      <c r="H265" s="592"/>
      <c r="I265" s="592"/>
      <c r="J265" s="592"/>
      <c r="K265" s="592"/>
      <c r="L265" s="592"/>
      <c r="M265" s="592"/>
      <c r="N265" s="592"/>
      <c r="O265" s="592"/>
      <c r="P265" s="592"/>
      <c r="Q265" s="592"/>
      <c r="R265" s="562">
        <v>1</v>
      </c>
      <c r="S265" s="593">
        <f t="shared" si="7"/>
        <v>1.2987012987012988E-2</v>
      </c>
      <c r="T265" s="563">
        <v>209</v>
      </c>
      <c r="U265" s="593">
        <f t="shared" si="8"/>
        <v>1.5675391884797121E-2</v>
      </c>
      <c r="V265" s="522"/>
      <c r="W265" s="524"/>
      <c r="X265" s="512"/>
    </row>
    <row r="266" spans="1:24" s="513" customFormat="1" x14ac:dyDescent="0.3">
      <c r="A266" s="521"/>
      <c r="B266" s="562" t="s">
        <v>165</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4" s="513" customFormat="1" x14ac:dyDescent="0.3">
      <c r="A267" s="521"/>
      <c r="B267" s="562"/>
      <c r="C267" s="592"/>
      <c r="D267" s="592"/>
      <c r="E267" s="592"/>
      <c r="F267" s="522"/>
      <c r="G267" s="593"/>
      <c r="H267" s="592"/>
      <c r="I267" s="592"/>
      <c r="J267" s="592"/>
      <c r="K267" s="592"/>
      <c r="L267" s="592"/>
      <c r="M267" s="592"/>
      <c r="N267" s="592"/>
      <c r="O267" s="592"/>
      <c r="P267" s="592"/>
      <c r="Q267" s="592"/>
      <c r="R267" s="562"/>
      <c r="S267" s="593"/>
      <c r="T267" s="563"/>
      <c r="U267" s="593"/>
      <c r="V267" s="522"/>
      <c r="W267" s="524"/>
      <c r="X267" s="512"/>
    </row>
    <row r="268" spans="1:24" s="513" customFormat="1" x14ac:dyDescent="0.3">
      <c r="A268" s="521"/>
      <c r="B268" s="522" t="s">
        <v>119</v>
      </c>
      <c r="C268" s="522"/>
      <c r="D268" s="522"/>
      <c r="E268" s="522"/>
      <c r="F268" s="522"/>
      <c r="G268" s="522"/>
      <c r="H268" s="594"/>
      <c r="I268" s="594"/>
      <c r="J268" s="594"/>
      <c r="K268" s="594"/>
      <c r="L268" s="594"/>
      <c r="M268" s="594"/>
      <c r="N268" s="594"/>
      <c r="O268" s="594"/>
      <c r="P268" s="594"/>
      <c r="Q268" s="594"/>
      <c r="R268" s="562">
        <f>SUM(R259:R267)</f>
        <v>77</v>
      </c>
      <c r="S268" s="593">
        <f>SUM(S259:S267)</f>
        <v>1</v>
      </c>
      <c r="T268" s="563">
        <f>SUM(T259:T267)</f>
        <v>13333</v>
      </c>
      <c r="U268" s="593">
        <f>SUM(U259:U267)</f>
        <v>1</v>
      </c>
      <c r="V268" s="522"/>
      <c r="W268" s="524"/>
      <c r="X268" s="512"/>
    </row>
    <row r="269" spans="1:24" x14ac:dyDescent="0.3">
      <c r="A269" s="407"/>
      <c r="B269" s="429"/>
      <c r="C269" s="429"/>
      <c r="D269" s="429"/>
      <c r="E269" s="429"/>
      <c r="F269" s="429"/>
      <c r="G269" s="429"/>
      <c r="H269" s="488"/>
      <c r="I269" s="488"/>
      <c r="J269" s="488"/>
      <c r="K269" s="488"/>
      <c r="L269" s="488"/>
      <c r="M269" s="488"/>
      <c r="N269" s="488"/>
      <c r="O269" s="488"/>
      <c r="P269" s="488"/>
      <c r="Q269" s="488"/>
      <c r="R269" s="435"/>
      <c r="S269" s="489"/>
      <c r="T269" s="490"/>
      <c r="U269" s="489"/>
      <c r="V269" s="429"/>
      <c r="W269" s="429"/>
      <c r="X269" s="405"/>
    </row>
    <row r="270" spans="1:24" x14ac:dyDescent="0.3">
      <c r="A270" s="418"/>
      <c r="B270" s="464" t="s">
        <v>169</v>
      </c>
      <c r="C270" s="467"/>
      <c r="D270" s="467"/>
      <c r="E270" s="467"/>
      <c r="F270" s="467"/>
      <c r="G270" s="467"/>
      <c r="H270" s="491"/>
      <c r="I270" s="491"/>
      <c r="J270" s="491"/>
      <c r="K270" s="491"/>
      <c r="L270" s="491"/>
      <c r="M270" s="491"/>
      <c r="N270" s="491"/>
      <c r="O270" s="491"/>
      <c r="P270" s="491"/>
      <c r="Q270" s="491"/>
      <c r="R270" s="466" t="s">
        <v>104</v>
      </c>
      <c r="S270" s="465" t="s">
        <v>105</v>
      </c>
      <c r="T270" s="466" t="s">
        <v>113</v>
      </c>
      <c r="U270" s="465" t="s">
        <v>105</v>
      </c>
      <c r="V270" s="467"/>
      <c r="W270" s="468"/>
      <c r="X270" s="405"/>
    </row>
    <row r="271" spans="1:24" s="513" customFormat="1" x14ac:dyDescent="0.3">
      <c r="A271" s="509"/>
      <c r="B271" s="567" t="s">
        <v>90</v>
      </c>
      <c r="C271" s="552"/>
      <c r="D271" s="552"/>
      <c r="E271" s="552"/>
      <c r="F271" s="552"/>
      <c r="G271" s="552"/>
      <c r="H271" s="597"/>
      <c r="I271" s="597"/>
      <c r="J271" s="597"/>
      <c r="K271" s="597"/>
      <c r="L271" s="597"/>
      <c r="M271" s="597"/>
      <c r="N271" s="597"/>
      <c r="O271" s="597"/>
      <c r="P271" s="597"/>
      <c r="Q271" s="597"/>
      <c r="R271" s="567">
        <v>0</v>
      </c>
      <c r="S271" s="595">
        <v>0</v>
      </c>
      <c r="T271" s="596">
        <v>0</v>
      </c>
      <c r="U271" s="595">
        <v>0</v>
      </c>
      <c r="V271" s="552"/>
      <c r="W271" s="552"/>
      <c r="X271" s="512"/>
    </row>
    <row r="272" spans="1:24" s="513" customFormat="1" x14ac:dyDescent="0.3">
      <c r="A272" s="521"/>
      <c r="B272" s="562" t="s">
        <v>91</v>
      </c>
      <c r="C272" s="522"/>
      <c r="D272" s="522"/>
      <c r="E272" s="522"/>
      <c r="F272" s="522"/>
      <c r="G272" s="522"/>
      <c r="H272" s="594"/>
      <c r="I272" s="594"/>
      <c r="J272" s="594"/>
      <c r="K272" s="594"/>
      <c r="L272" s="594"/>
      <c r="M272" s="594"/>
      <c r="N272" s="594"/>
      <c r="O272" s="594"/>
      <c r="P272" s="594"/>
      <c r="Q272" s="594"/>
      <c r="R272" s="562">
        <v>0</v>
      </c>
      <c r="S272" s="593">
        <v>0</v>
      </c>
      <c r="T272" s="563">
        <v>0</v>
      </c>
      <c r="U272" s="593">
        <v>0</v>
      </c>
      <c r="V272" s="522"/>
      <c r="W272" s="524"/>
      <c r="X272" s="512"/>
    </row>
    <row r="273" spans="1:24" s="513" customFormat="1" x14ac:dyDescent="0.3">
      <c r="A273" s="521"/>
      <c r="B273" s="562" t="s">
        <v>92</v>
      </c>
      <c r="C273" s="522"/>
      <c r="D273" s="522"/>
      <c r="E273" s="522"/>
      <c r="F273" s="522"/>
      <c r="G273" s="522"/>
      <c r="H273" s="594"/>
      <c r="I273" s="594"/>
      <c r="J273" s="594"/>
      <c r="K273" s="594"/>
      <c r="L273" s="594"/>
      <c r="M273" s="594"/>
      <c r="N273" s="594"/>
      <c r="O273" s="594"/>
      <c r="P273" s="594"/>
      <c r="Q273" s="594"/>
      <c r="R273" s="562">
        <v>0</v>
      </c>
      <c r="S273" s="593">
        <v>0</v>
      </c>
      <c r="T273" s="563">
        <v>0</v>
      </c>
      <c r="U273" s="593">
        <v>0</v>
      </c>
      <c r="V273" s="522"/>
      <c r="W273" s="524"/>
      <c r="X273" s="512"/>
    </row>
    <row r="274" spans="1:24" s="513" customFormat="1" x14ac:dyDescent="0.3">
      <c r="A274" s="521"/>
      <c r="B274" s="562" t="s">
        <v>161</v>
      </c>
      <c r="C274" s="522"/>
      <c r="D274" s="522"/>
      <c r="E274" s="522"/>
      <c r="F274" s="522"/>
      <c r="G274" s="522"/>
      <c r="H274" s="594"/>
      <c r="I274" s="594"/>
      <c r="J274" s="594"/>
      <c r="K274" s="594"/>
      <c r="L274" s="594"/>
      <c r="M274" s="594"/>
      <c r="N274" s="594"/>
      <c r="O274" s="594"/>
      <c r="P274" s="594"/>
      <c r="Q274" s="594"/>
      <c r="R274" s="562">
        <v>0</v>
      </c>
      <c r="S274" s="593">
        <v>0</v>
      </c>
      <c r="T274" s="563">
        <v>0</v>
      </c>
      <c r="U274" s="593">
        <v>0</v>
      </c>
      <c r="V274" s="522"/>
      <c r="W274" s="524"/>
      <c r="X274" s="512"/>
    </row>
    <row r="275" spans="1:24" s="513" customFormat="1" x14ac:dyDescent="0.3">
      <c r="A275" s="521"/>
      <c r="B275" s="562" t="s">
        <v>162</v>
      </c>
      <c r="C275" s="522"/>
      <c r="D275" s="522"/>
      <c r="E275" s="522"/>
      <c r="F275" s="522"/>
      <c r="G275" s="522"/>
      <c r="H275" s="594"/>
      <c r="I275" s="594"/>
      <c r="J275" s="594"/>
      <c r="K275" s="594"/>
      <c r="L275" s="594"/>
      <c r="M275" s="594"/>
      <c r="N275" s="594"/>
      <c r="O275" s="594"/>
      <c r="P275" s="594"/>
      <c r="Q275" s="594"/>
      <c r="R275" s="562">
        <v>0</v>
      </c>
      <c r="S275" s="593">
        <v>0</v>
      </c>
      <c r="T275" s="563">
        <v>0</v>
      </c>
      <c r="U275" s="593">
        <v>0</v>
      </c>
      <c r="V275" s="522"/>
      <c r="W275" s="524"/>
      <c r="X275" s="512"/>
    </row>
    <row r="276" spans="1:24" s="513" customFormat="1" x14ac:dyDescent="0.3">
      <c r="A276" s="521"/>
      <c r="B276" s="562" t="s">
        <v>163</v>
      </c>
      <c r="C276" s="522"/>
      <c r="D276" s="522"/>
      <c r="E276" s="522"/>
      <c r="F276" s="522"/>
      <c r="G276" s="522"/>
      <c r="H276" s="594"/>
      <c r="I276" s="594"/>
      <c r="J276" s="594"/>
      <c r="K276" s="594"/>
      <c r="L276" s="594"/>
      <c r="M276" s="594"/>
      <c r="N276" s="594"/>
      <c r="O276" s="594"/>
      <c r="P276" s="594"/>
      <c r="Q276" s="594"/>
      <c r="R276" s="562">
        <v>0</v>
      </c>
      <c r="S276" s="593">
        <v>0</v>
      </c>
      <c r="T276" s="563">
        <v>0</v>
      </c>
      <c r="U276" s="593">
        <v>0</v>
      </c>
      <c r="V276" s="522"/>
      <c r="W276" s="524"/>
      <c r="X276" s="512"/>
    </row>
    <row r="277" spans="1:24" s="513" customFormat="1" x14ac:dyDescent="0.3">
      <c r="A277" s="521"/>
      <c r="B277" s="562" t="s">
        <v>164</v>
      </c>
      <c r="C277" s="522"/>
      <c r="D277" s="522"/>
      <c r="E277" s="522"/>
      <c r="F277" s="522"/>
      <c r="G277" s="522"/>
      <c r="H277" s="594"/>
      <c r="I277" s="594"/>
      <c r="J277" s="594"/>
      <c r="K277" s="594"/>
      <c r="L277" s="594"/>
      <c r="M277" s="594"/>
      <c r="N277" s="594"/>
      <c r="O277" s="594"/>
      <c r="P277" s="594"/>
      <c r="Q277" s="594"/>
      <c r="R277" s="562">
        <v>0</v>
      </c>
      <c r="S277" s="593">
        <v>0</v>
      </c>
      <c r="T277" s="563">
        <v>0</v>
      </c>
      <c r="U277" s="593">
        <v>0</v>
      </c>
      <c r="V277" s="522"/>
      <c r="W277" s="524"/>
      <c r="X277" s="512"/>
    </row>
    <row r="278" spans="1:24" s="513" customFormat="1" x14ac:dyDescent="0.3">
      <c r="A278" s="521"/>
      <c r="B278" s="562" t="s">
        <v>165</v>
      </c>
      <c r="C278" s="522"/>
      <c r="D278" s="522"/>
      <c r="E278" s="522"/>
      <c r="F278" s="522"/>
      <c r="G278" s="522"/>
      <c r="H278" s="594"/>
      <c r="I278" s="594"/>
      <c r="J278" s="594"/>
      <c r="K278" s="594"/>
      <c r="L278" s="594"/>
      <c r="M278" s="594"/>
      <c r="N278" s="594"/>
      <c r="O278" s="594"/>
      <c r="P278" s="594"/>
      <c r="Q278" s="594"/>
      <c r="R278" s="562">
        <v>0</v>
      </c>
      <c r="S278" s="593">
        <v>0</v>
      </c>
      <c r="T278" s="563">
        <v>0</v>
      </c>
      <c r="U278" s="593">
        <v>0</v>
      </c>
      <c r="V278" s="522"/>
      <c r="W278" s="524"/>
      <c r="X278" s="512"/>
    </row>
    <row r="279" spans="1:24" s="513" customFormat="1" x14ac:dyDescent="0.3">
      <c r="A279" s="521"/>
      <c r="B279" s="562"/>
      <c r="C279" s="522"/>
      <c r="D279" s="522"/>
      <c r="E279" s="522"/>
      <c r="F279" s="522"/>
      <c r="G279" s="522"/>
      <c r="H279" s="594"/>
      <c r="I279" s="594"/>
      <c r="J279" s="594"/>
      <c r="K279" s="594"/>
      <c r="L279" s="594"/>
      <c r="M279" s="594"/>
      <c r="N279" s="594"/>
      <c r="O279" s="594"/>
      <c r="P279" s="594"/>
      <c r="Q279" s="594"/>
      <c r="R279" s="562"/>
      <c r="S279" s="593"/>
      <c r="T279" s="563"/>
      <c r="U279" s="593"/>
      <c r="V279" s="522"/>
      <c r="W279" s="524"/>
      <c r="X279" s="512"/>
    </row>
    <row r="280" spans="1:24" s="513" customFormat="1" x14ac:dyDescent="0.3">
      <c r="A280" s="521"/>
      <c r="B280" s="522" t="s">
        <v>119</v>
      </c>
      <c r="C280" s="522"/>
      <c r="D280" s="522"/>
      <c r="E280" s="522"/>
      <c r="F280" s="522"/>
      <c r="G280" s="522"/>
      <c r="H280" s="594"/>
      <c r="I280" s="594"/>
      <c r="J280" s="594"/>
      <c r="K280" s="594"/>
      <c r="L280" s="594"/>
      <c r="M280" s="594"/>
      <c r="N280" s="594"/>
      <c r="O280" s="594"/>
      <c r="P280" s="594"/>
      <c r="Q280" s="594"/>
      <c r="R280" s="562">
        <f>SUM(R271:R278)</f>
        <v>0</v>
      </c>
      <c r="S280" s="593">
        <f>SUM(S271:S279)</f>
        <v>0</v>
      </c>
      <c r="T280" s="563">
        <f>SUM(T271:T278)</f>
        <v>0</v>
      </c>
      <c r="U280" s="593">
        <f>SUM(U271:U279)</f>
        <v>0</v>
      </c>
      <c r="V280" s="522"/>
      <c r="W280" s="524"/>
      <c r="X280" s="512"/>
    </row>
    <row r="281" spans="1:24" s="513" customFormat="1" x14ac:dyDescent="0.3">
      <c r="A281" s="521"/>
      <c r="B281" s="522"/>
      <c r="C281" s="522"/>
      <c r="D281" s="522"/>
      <c r="E281" s="522"/>
      <c r="F281" s="522"/>
      <c r="G281" s="522"/>
      <c r="H281" s="594"/>
      <c r="I281" s="594"/>
      <c r="J281" s="594"/>
      <c r="K281" s="594"/>
      <c r="L281" s="594"/>
      <c r="M281" s="594"/>
      <c r="N281" s="594"/>
      <c r="O281" s="594"/>
      <c r="P281" s="594"/>
      <c r="Q281" s="594"/>
      <c r="R281" s="562"/>
      <c r="S281" s="593"/>
      <c r="T281" s="563"/>
      <c r="U281" s="593"/>
      <c r="V281" s="522"/>
      <c r="W281" s="524"/>
      <c r="X281" s="512"/>
    </row>
    <row r="282" spans="1:24" s="513" customFormat="1" x14ac:dyDescent="0.3">
      <c r="A282" s="521"/>
      <c r="B282" s="527" t="s">
        <v>170</v>
      </c>
      <c r="C282" s="522"/>
      <c r="D282" s="522"/>
      <c r="E282" s="522"/>
      <c r="F282" s="522"/>
      <c r="G282" s="522"/>
      <c r="H282" s="594"/>
      <c r="I282" s="594"/>
      <c r="J282" s="594"/>
      <c r="K282" s="594"/>
      <c r="L282" s="594"/>
      <c r="M282" s="594"/>
      <c r="N282" s="594"/>
      <c r="O282" s="594"/>
      <c r="P282" s="594"/>
      <c r="Q282" s="594"/>
      <c r="R282" s="598">
        <f>R280+R268+R256</f>
        <v>5616</v>
      </c>
      <c r="S282" s="593"/>
      <c r="T282" s="599">
        <f>+T280+T268+T256</f>
        <v>740151</v>
      </c>
      <c r="U282" s="593"/>
      <c r="V282" s="522"/>
      <c r="W282" s="524"/>
      <c r="X282" s="512"/>
    </row>
    <row r="283" spans="1:24" s="513" customFormat="1" x14ac:dyDescent="0.3">
      <c r="A283" s="509"/>
      <c r="B283" s="552"/>
      <c r="C283" s="552"/>
      <c r="D283" s="552"/>
      <c r="E283" s="552"/>
      <c r="F283" s="552"/>
      <c r="G283" s="552"/>
      <c r="H283" s="597"/>
      <c r="I283" s="597"/>
      <c r="J283" s="597"/>
      <c r="K283" s="597"/>
      <c r="L283" s="597"/>
      <c r="M283" s="597"/>
      <c r="N283" s="597"/>
      <c r="O283" s="597"/>
      <c r="P283" s="597"/>
      <c r="Q283" s="597"/>
      <c r="R283" s="597"/>
      <c r="S283" s="597"/>
      <c r="T283" s="596"/>
      <c r="U283" s="597"/>
      <c r="V283" s="552"/>
      <c r="W283" s="552"/>
      <c r="X283" s="512"/>
    </row>
    <row r="284" spans="1:24" s="513" customFormat="1" x14ac:dyDescent="0.3">
      <c r="A284" s="509"/>
      <c r="B284" s="510"/>
      <c r="C284" s="510"/>
      <c r="D284" s="510"/>
      <c r="E284" s="510"/>
      <c r="F284" s="510"/>
      <c r="G284" s="510"/>
      <c r="H284" s="600"/>
      <c r="I284" s="600"/>
      <c r="J284" s="600"/>
      <c r="K284" s="600"/>
      <c r="L284" s="600"/>
      <c r="M284" s="600"/>
      <c r="N284" s="600"/>
      <c r="O284" s="600"/>
      <c r="P284" s="600"/>
      <c r="Q284" s="600"/>
      <c r="R284" s="600"/>
      <c r="S284" s="600"/>
      <c r="T284" s="601"/>
      <c r="U284" s="600"/>
      <c r="V284" s="510"/>
      <c r="W284" s="510"/>
      <c r="X284" s="512"/>
    </row>
    <row r="285" spans="1:24" s="513" customFormat="1" x14ac:dyDescent="0.3">
      <c r="A285" s="509"/>
      <c r="B285" s="508" t="s">
        <v>93</v>
      </c>
      <c r="C285" s="510"/>
      <c r="D285" s="510"/>
      <c r="E285" s="510"/>
      <c r="F285" s="516" t="s">
        <v>99</v>
      </c>
      <c r="G285" s="510"/>
      <c r="H285" s="508" t="s">
        <v>101</v>
      </c>
      <c r="I285" s="510"/>
      <c r="J285" s="510"/>
      <c r="K285" s="510"/>
      <c r="L285" s="510"/>
      <c r="M285" s="510"/>
      <c r="N285" s="510"/>
      <c r="O285" s="510"/>
      <c r="P285" s="510"/>
      <c r="Q285" s="510"/>
      <c r="R285" s="510"/>
      <c r="S285" s="510"/>
      <c r="T285" s="510"/>
      <c r="U285" s="510"/>
      <c r="V285" s="510"/>
      <c r="W285" s="510"/>
      <c r="X285" s="512"/>
    </row>
    <row r="286" spans="1:24" s="513" customFormat="1" x14ac:dyDescent="0.3">
      <c r="A286" s="509"/>
      <c r="B286" s="510"/>
      <c r="C286" s="510"/>
      <c r="D286" s="510"/>
      <c r="E286" s="510"/>
      <c r="F286" s="510"/>
      <c r="G286" s="510"/>
      <c r="H286" s="510"/>
      <c r="I286" s="510"/>
      <c r="J286" s="510"/>
      <c r="K286" s="510"/>
      <c r="L286" s="510"/>
      <c r="M286" s="510"/>
      <c r="N286" s="510"/>
      <c r="O286" s="510"/>
      <c r="P286" s="510"/>
      <c r="Q286" s="510"/>
      <c r="R286" s="510"/>
      <c r="S286" s="510"/>
      <c r="T286" s="510"/>
      <c r="U286" s="510"/>
      <c r="V286" s="510"/>
      <c r="W286" s="510"/>
      <c r="X286" s="512"/>
    </row>
    <row r="287" spans="1:24" s="513" customFormat="1" x14ac:dyDescent="0.3">
      <c r="A287" s="509"/>
      <c r="B287" s="508" t="s">
        <v>327</v>
      </c>
      <c r="C287" s="508"/>
      <c r="D287" s="508"/>
      <c r="E287" s="508"/>
      <c r="F287" s="602" t="s">
        <v>278</v>
      </c>
      <c r="G287" s="508"/>
      <c r="H287" s="402" t="s">
        <v>350</v>
      </c>
      <c r="I287" s="510"/>
      <c r="J287" s="510"/>
      <c r="K287" s="510"/>
      <c r="L287" s="510"/>
      <c r="M287" s="510"/>
      <c r="N287" s="510"/>
      <c r="O287" s="510"/>
      <c r="P287" s="510"/>
      <c r="Q287" s="510"/>
      <c r="R287" s="510"/>
      <c r="S287" s="510"/>
      <c r="T287" s="510"/>
      <c r="U287" s="510"/>
      <c r="V287" s="510"/>
      <c r="W287" s="510"/>
      <c r="X287" s="512"/>
    </row>
    <row r="288" spans="1:24" s="513" customFormat="1" x14ac:dyDescent="0.3">
      <c r="A288" s="509"/>
      <c r="B288" s="508" t="s">
        <v>328</v>
      </c>
      <c r="C288" s="508"/>
      <c r="D288" s="508"/>
      <c r="E288" s="508"/>
      <c r="F288" s="602" t="s">
        <v>152</v>
      </c>
      <c r="G288" s="508"/>
      <c r="H288" s="402" t="s">
        <v>351</v>
      </c>
      <c r="I288" s="510"/>
      <c r="J288" s="510"/>
      <c r="K288" s="510"/>
      <c r="L288" s="510"/>
      <c r="M288" s="510"/>
      <c r="N288" s="510"/>
      <c r="O288" s="510"/>
      <c r="P288" s="510"/>
      <c r="Q288" s="510"/>
      <c r="R288" s="510"/>
      <c r="S288" s="510"/>
      <c r="T288" s="510"/>
      <c r="U288" s="510"/>
      <c r="V288" s="510"/>
      <c r="W288" s="510"/>
      <c r="X288" s="512"/>
    </row>
    <row r="289" spans="1:24" s="513" customFormat="1" x14ac:dyDescent="0.3">
      <c r="A289" s="509"/>
      <c r="B289" s="508"/>
      <c r="C289" s="508"/>
      <c r="D289" s="508"/>
      <c r="E289" s="508"/>
      <c r="F289" s="508"/>
      <c r="G289" s="508"/>
      <c r="H289" s="510"/>
      <c r="I289" s="510"/>
      <c r="J289" s="510"/>
      <c r="K289" s="510"/>
      <c r="L289" s="510"/>
      <c r="M289" s="510"/>
      <c r="N289" s="510"/>
      <c r="O289" s="510"/>
      <c r="P289" s="510"/>
      <c r="Q289" s="510"/>
      <c r="R289" s="510"/>
      <c r="S289" s="510"/>
      <c r="T289" s="510"/>
      <c r="U289" s="510"/>
      <c r="V289" s="510"/>
      <c r="W289" s="510"/>
      <c r="X289" s="512"/>
    </row>
    <row r="290" spans="1:24" s="513" customFormat="1" ht="18.600000000000001" thickBot="1" x14ac:dyDescent="0.4">
      <c r="A290" s="509"/>
      <c r="B290" s="603" t="str">
        <f>B196</f>
        <v>PM12 INVESTOR REPORT QUARTER ENDING APRIL 2018</v>
      </c>
      <c r="C290" s="508"/>
      <c r="D290" s="508"/>
      <c r="E290" s="508"/>
      <c r="F290" s="508"/>
      <c r="G290" s="508"/>
      <c r="H290" s="510"/>
      <c r="I290" s="510"/>
      <c r="J290" s="510"/>
      <c r="K290" s="510"/>
      <c r="L290" s="510"/>
      <c r="M290" s="510"/>
      <c r="N290" s="510"/>
      <c r="O290" s="510"/>
      <c r="P290" s="510"/>
      <c r="Q290" s="510"/>
      <c r="R290" s="510"/>
      <c r="S290" s="510"/>
      <c r="T290" s="510"/>
      <c r="U290" s="510"/>
      <c r="V290" s="510"/>
      <c r="W290" s="510"/>
      <c r="X290" s="512"/>
    </row>
    <row r="291" spans="1:24" x14ac:dyDescent="0.3">
      <c r="A291" s="492"/>
      <c r="B291" s="492"/>
      <c r="C291" s="492"/>
      <c r="D291" s="492"/>
      <c r="E291" s="492"/>
      <c r="F291" s="492"/>
      <c r="G291" s="492"/>
      <c r="H291" s="492"/>
      <c r="I291" s="492"/>
      <c r="J291" s="492"/>
      <c r="K291" s="492"/>
      <c r="L291" s="492"/>
      <c r="M291" s="492"/>
      <c r="N291" s="492"/>
      <c r="O291" s="492"/>
      <c r="P291" s="492"/>
      <c r="Q291" s="492"/>
      <c r="R291" s="492"/>
      <c r="S291" s="492"/>
      <c r="T291" s="492"/>
      <c r="U291" s="492"/>
      <c r="V291" s="492"/>
      <c r="W291" s="492"/>
    </row>
  </sheetData>
  <hyperlinks>
    <hyperlink ref="I9" r:id="rId1" xr:uid="{00000000-0004-0000-2E00-000000000000}"/>
    <hyperlink ref="P232" r:id="rId2" xr:uid="{00000000-0004-0000-2E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2D2926"/>
  </sheetPr>
  <dimension ref="A1:Y291"/>
  <sheetViews>
    <sheetView showGridLines="0" showOutlineSymbols="0" topLeftCell="A16"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0.66949999999999998</v>
      </c>
      <c r="T16" s="516" t="s">
        <v>145</v>
      </c>
      <c r="U16" s="515">
        <v>0.33050000000000002</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43332</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219</v>
      </c>
      <c r="E26" s="526"/>
      <c r="F26" s="526" t="s">
        <v>146</v>
      </c>
      <c r="G26" s="526"/>
      <c r="H26" s="526" t="s">
        <v>146</v>
      </c>
      <c r="I26" s="526"/>
      <c r="J26" s="526" t="s">
        <v>146</v>
      </c>
      <c r="K26" s="526"/>
      <c r="L26" s="613" t="s">
        <v>189</v>
      </c>
      <c r="M26" s="613"/>
      <c r="N26" s="613" t="s">
        <v>189</v>
      </c>
      <c r="O26" s="526"/>
      <c r="P26" s="526" t="s">
        <v>147</v>
      </c>
      <c r="Q26" s="526"/>
      <c r="R26" s="526" t="s">
        <v>147</v>
      </c>
      <c r="S26" s="526"/>
      <c r="T26" s="523"/>
      <c r="U26" s="522"/>
      <c r="V26" s="522"/>
      <c r="W26" s="524"/>
      <c r="X26" s="512"/>
    </row>
    <row r="27" spans="1:25" s="513" customFormat="1" x14ac:dyDescent="0.3">
      <c r="A27" s="521"/>
      <c r="B27" s="527" t="s">
        <v>197</v>
      </c>
      <c r="C27" s="523"/>
      <c r="D27" s="526" t="s">
        <v>314</v>
      </c>
      <c r="E27" s="526"/>
      <c r="F27" s="526" t="s">
        <v>148</v>
      </c>
      <c r="G27" s="526"/>
      <c r="H27" s="526" t="s">
        <v>148</v>
      </c>
      <c r="I27" s="526"/>
      <c r="J27" s="526" t="s">
        <v>148</v>
      </c>
      <c r="K27" s="526"/>
      <c r="L27" s="526" t="s">
        <v>149</v>
      </c>
      <c r="M27" s="526"/>
      <c r="N27" s="526" t="s">
        <v>149</v>
      </c>
      <c r="O27" s="526"/>
      <c r="P27" s="526" t="s">
        <v>337</v>
      </c>
      <c r="Q27" s="526"/>
      <c r="R27" s="526" t="s">
        <v>337</v>
      </c>
      <c r="S27" s="523"/>
      <c r="T27" s="528"/>
      <c r="U27" s="522"/>
      <c r="V27" s="522"/>
      <c r="W27" s="524"/>
      <c r="X27" s="512"/>
    </row>
    <row r="28" spans="1:25" s="513" customFormat="1" x14ac:dyDescent="0.3">
      <c r="A28" s="521"/>
      <c r="B28" s="527" t="s">
        <v>198</v>
      </c>
      <c r="C28" s="523"/>
      <c r="D28" s="526" t="s">
        <v>312</v>
      </c>
      <c r="E28" s="526"/>
      <c r="F28" s="526" t="s">
        <v>148</v>
      </c>
      <c r="G28" s="526"/>
      <c r="H28" s="526" t="s">
        <v>148</v>
      </c>
      <c r="I28" s="526"/>
      <c r="J28" s="526" t="s">
        <v>148</v>
      </c>
      <c r="K28" s="526"/>
      <c r="L28" s="526" t="s">
        <v>148</v>
      </c>
      <c r="M28" s="526"/>
      <c r="N28" s="526" t="s">
        <v>148</v>
      </c>
      <c r="O28" s="526"/>
      <c r="P28" s="526" t="s">
        <v>149</v>
      </c>
      <c r="Q28" s="526"/>
      <c r="R28" s="526" t="s">
        <v>149</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533">
        <f>D31*D38</f>
        <v>621801.75</v>
      </c>
      <c r="E32" s="529"/>
      <c r="F32" s="530">
        <f>F31*F38</f>
        <v>60107.806999999993</v>
      </c>
      <c r="G32" s="530"/>
      <c r="H32" s="534">
        <f>H31*H38</f>
        <v>101561.46699999999</v>
      </c>
      <c r="I32" s="534"/>
      <c r="J32" s="533">
        <f>J31*J38</f>
        <v>128920.22949999999</v>
      </c>
      <c r="K32" s="530"/>
      <c r="L32" s="530">
        <f>L31*L38</f>
        <v>25000</v>
      </c>
      <c r="M32" s="530"/>
      <c r="N32" s="534">
        <f>N31*N38</f>
        <v>126000</v>
      </c>
      <c r="O32" s="530"/>
      <c r="P32" s="530">
        <f>P31*P38</f>
        <v>17000</v>
      </c>
      <c r="Q32" s="530"/>
      <c r="R32" s="534">
        <f>R31*R38</f>
        <v>106000</v>
      </c>
      <c r="S32" s="530"/>
      <c r="T32" s="530"/>
      <c r="U32" s="529"/>
      <c r="V32" s="530"/>
      <c r="W32" s="531"/>
      <c r="X32" s="512"/>
    </row>
    <row r="33" spans="1:24" s="513" customFormat="1" x14ac:dyDescent="0.3">
      <c r="A33" s="521"/>
      <c r="B33" s="527" t="s">
        <v>139</v>
      </c>
      <c r="C33" s="529"/>
      <c r="D33" s="536">
        <f>D37*D31</f>
        <v>616108.05000000005</v>
      </c>
      <c r="E33" s="532"/>
      <c r="F33" s="535">
        <f>F37*F31</f>
        <v>59557.416000000005</v>
      </c>
      <c r="G33" s="535"/>
      <c r="H33" s="537">
        <f>H31*H37</f>
        <v>100631.496</v>
      </c>
      <c r="I33" s="537"/>
      <c r="J33" s="536">
        <f>J37*J31</f>
        <v>127739.7357</v>
      </c>
      <c r="K33" s="535"/>
      <c r="L33" s="535">
        <f>L37*L31</f>
        <v>24284.799999999999</v>
      </c>
      <c r="M33" s="535"/>
      <c r="N33" s="537">
        <f>N37*N31</f>
        <v>122395.39200000001</v>
      </c>
      <c r="O33" s="535"/>
      <c r="P33" s="535">
        <f>P37*P31</f>
        <v>16513.664000000001</v>
      </c>
      <c r="Q33" s="535"/>
      <c r="R33" s="537">
        <f>R37*R31</f>
        <v>102967.55200000001</v>
      </c>
      <c r="S33" s="530"/>
      <c r="T33" s="530"/>
      <c r="U33" s="529"/>
      <c r="V33" s="530"/>
      <c r="W33" s="531"/>
      <c r="X33" s="512"/>
    </row>
    <row r="34" spans="1:24"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4" s="513" customFormat="1" x14ac:dyDescent="0.3">
      <c r="A35" s="525"/>
      <c r="B35" s="522" t="s">
        <v>294</v>
      </c>
      <c r="C35" s="532"/>
      <c r="D35" s="530">
        <f>D34*D38</f>
        <v>337935.57148649998</v>
      </c>
      <c r="E35" s="529"/>
      <c r="F35" s="530">
        <f>F34*F38</f>
        <v>60107.806999999993</v>
      </c>
      <c r="G35" s="530"/>
      <c r="H35" s="530">
        <f>H34*H38</f>
        <v>70042.591155599992</v>
      </c>
      <c r="I35" s="530"/>
      <c r="J35" s="530">
        <f>J34*J38</f>
        <v>70065.45025899999</v>
      </c>
      <c r="K35" s="530"/>
      <c r="L35" s="530">
        <f>L34*L38</f>
        <v>25000</v>
      </c>
      <c r="M35" s="530"/>
      <c r="N35" s="530">
        <f>N34*N38</f>
        <v>86897</v>
      </c>
      <c r="O35" s="530"/>
      <c r="P35" s="530">
        <f>P34*P38</f>
        <v>17000</v>
      </c>
      <c r="Q35" s="530"/>
      <c r="R35" s="530">
        <f>R34*R38</f>
        <v>73103</v>
      </c>
      <c r="S35" s="530"/>
      <c r="T35" s="530"/>
      <c r="U35" s="529"/>
      <c r="V35" s="530">
        <f>SUM(C35:R35)</f>
        <v>740151.41990109987</v>
      </c>
      <c r="W35" s="531"/>
      <c r="X35" s="512"/>
    </row>
    <row r="36" spans="1:24" s="513" customFormat="1" x14ac:dyDescent="0.3">
      <c r="A36" s="525"/>
      <c r="B36" s="527" t="s">
        <v>295</v>
      </c>
      <c r="C36" s="532"/>
      <c r="D36" s="535">
        <f>D34*D37</f>
        <v>334841.17079790001</v>
      </c>
      <c r="E36" s="532"/>
      <c r="F36" s="535">
        <f>F34*F37</f>
        <v>59557.416000000005</v>
      </c>
      <c r="G36" s="535"/>
      <c r="H36" s="535">
        <f>H34*H37</f>
        <v>69401.230012800006</v>
      </c>
      <c r="I36" s="535"/>
      <c r="J36" s="535">
        <f>J34*J37</f>
        <v>69423.876551399997</v>
      </c>
      <c r="K36" s="535"/>
      <c r="L36" s="535">
        <f>L34*L37</f>
        <v>24284.799999999999</v>
      </c>
      <c r="M36" s="535"/>
      <c r="N36" s="535">
        <f>N34*N37</f>
        <v>84411.050623999996</v>
      </c>
      <c r="O36" s="535"/>
      <c r="P36" s="535">
        <f>P34*P37</f>
        <v>16513.664000000001</v>
      </c>
      <c r="Q36" s="535"/>
      <c r="R36" s="535">
        <f>R34*R37</f>
        <v>71011.669376000005</v>
      </c>
      <c r="S36" s="538"/>
      <c r="T36" s="538"/>
      <c r="U36" s="529"/>
      <c r="V36" s="535">
        <f>SUM(C36:R36)-1</f>
        <v>729443.87736210017</v>
      </c>
      <c r="W36" s="531"/>
      <c r="X36" s="512"/>
    </row>
    <row r="37" spans="1:24" x14ac:dyDescent="0.3">
      <c r="A37" s="420"/>
      <c r="B37" s="493" t="s">
        <v>135</v>
      </c>
      <c r="C37" s="494"/>
      <c r="D37" s="495">
        <v>0.41073870000000001</v>
      </c>
      <c r="E37" s="496"/>
      <c r="F37" s="495">
        <v>0.41074080000000002</v>
      </c>
      <c r="G37" s="495"/>
      <c r="H37" s="495">
        <v>0.41074080000000002</v>
      </c>
      <c r="I37" s="495"/>
      <c r="J37" s="495">
        <v>0.41073870000000001</v>
      </c>
      <c r="K37" s="495"/>
      <c r="L37" s="495">
        <v>0.97139200000000003</v>
      </c>
      <c r="M37" s="495"/>
      <c r="N37" s="495">
        <v>0.97139200000000003</v>
      </c>
      <c r="O37" s="495"/>
      <c r="P37" s="495">
        <v>0.97139200000000003</v>
      </c>
      <c r="Q37" s="495"/>
      <c r="R37" s="495">
        <v>0.97139200000000003</v>
      </c>
      <c r="S37" s="425"/>
      <c r="T37" s="425"/>
      <c r="U37" s="424"/>
      <c r="V37" s="424"/>
      <c r="W37" s="426"/>
      <c r="X37" s="405"/>
    </row>
    <row r="38" spans="1:24" x14ac:dyDescent="0.3">
      <c r="A38" s="420"/>
      <c r="B38" s="493" t="s">
        <v>136</v>
      </c>
      <c r="C38" s="494"/>
      <c r="D38" s="495">
        <v>0.41453449999999997</v>
      </c>
      <c r="E38" s="496"/>
      <c r="F38" s="495">
        <v>0.41453659999999998</v>
      </c>
      <c r="G38" s="495"/>
      <c r="H38" s="495">
        <v>0.41453659999999998</v>
      </c>
      <c r="I38" s="495"/>
      <c r="J38" s="495">
        <v>0.41453449999999997</v>
      </c>
      <c r="K38" s="495"/>
      <c r="L38" s="495">
        <v>1</v>
      </c>
      <c r="M38" s="495"/>
      <c r="N38" s="495">
        <v>1</v>
      </c>
      <c r="O38" s="495"/>
      <c r="P38" s="495">
        <v>1</v>
      </c>
      <c r="Q38" s="495"/>
      <c r="R38" s="495">
        <v>1</v>
      </c>
      <c r="S38" s="427"/>
      <c r="T38" s="428"/>
      <c r="U38" s="424"/>
      <c r="V38" s="427"/>
      <c r="W38" s="426"/>
      <c r="X38" s="405"/>
    </row>
    <row r="39" spans="1:24"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4" s="513" customFormat="1" x14ac:dyDescent="0.3">
      <c r="A40" s="521"/>
      <c r="B40" s="522" t="s">
        <v>12</v>
      </c>
      <c r="C40" s="522"/>
      <c r="D40" s="540">
        <v>2.3116299999999999E-2</v>
      </c>
      <c r="E40" s="522"/>
      <c r="F40" s="540">
        <v>8.8030999999999995E-3</v>
      </c>
      <c r="G40" s="539"/>
      <c r="H40" s="540">
        <v>0</v>
      </c>
      <c r="I40" s="540"/>
      <c r="J40" s="540">
        <v>2.5624999999999998E-2</v>
      </c>
      <c r="K40" s="539"/>
      <c r="L40" s="540">
        <v>1.1203100000000001E-2</v>
      </c>
      <c r="M40" s="539"/>
      <c r="N40" s="540">
        <v>1.5299999999999999E-3</v>
      </c>
      <c r="O40" s="539"/>
      <c r="P40" s="540">
        <v>1.56031E-2</v>
      </c>
      <c r="Q40" s="539"/>
      <c r="R40" s="540">
        <v>5.9300000000000004E-3</v>
      </c>
      <c r="S40" s="539"/>
      <c r="T40" s="540"/>
      <c r="U40" s="522"/>
      <c r="V40" s="528"/>
      <c r="W40" s="524"/>
      <c r="X40" s="512"/>
    </row>
    <row r="41" spans="1:24" s="513" customFormat="1" x14ac:dyDescent="0.3">
      <c r="A41" s="521"/>
      <c r="B41" s="522" t="s">
        <v>13</v>
      </c>
      <c r="C41" s="522"/>
      <c r="D41" s="540">
        <v>2.13688E-2</v>
      </c>
      <c r="E41" s="522"/>
      <c r="F41" s="540">
        <v>7.8662999999999997E-3</v>
      </c>
      <c r="G41" s="539"/>
      <c r="H41" s="540">
        <v>0</v>
      </c>
      <c r="I41" s="540"/>
      <c r="J41" s="540">
        <v>2.0587500000000002E-2</v>
      </c>
      <c r="K41" s="539"/>
      <c r="L41" s="540">
        <v>1.0266300000000001E-2</v>
      </c>
      <c r="M41" s="539"/>
      <c r="N41" s="540">
        <v>1.5100000000000001E-3</v>
      </c>
      <c r="O41" s="539"/>
      <c r="P41" s="540">
        <v>1.46663E-2</v>
      </c>
      <c r="Q41" s="539"/>
      <c r="R41" s="540">
        <v>5.9100000000000003E-3</v>
      </c>
      <c r="S41" s="539"/>
      <c r="T41" s="540"/>
      <c r="U41" s="522"/>
      <c r="V41" s="539" t="s">
        <v>199</v>
      </c>
      <c r="W41" s="524"/>
      <c r="X41" s="512"/>
    </row>
    <row r="42" spans="1:24" s="513" customFormat="1" x14ac:dyDescent="0.3">
      <c r="A42" s="521"/>
      <c r="B42" s="522" t="s">
        <v>296</v>
      </c>
      <c r="C42" s="522"/>
      <c r="D42" s="528" t="s">
        <v>243</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4" s="513" customFormat="1" x14ac:dyDescent="0.3">
      <c r="A43" s="521"/>
      <c r="B43" s="522" t="s">
        <v>297</v>
      </c>
      <c r="C43" s="541"/>
      <c r="D43" s="540">
        <v>9.0174000000000001E-3</v>
      </c>
      <c r="E43" s="540"/>
      <c r="F43" s="540">
        <f>+F40</f>
        <v>8.8030999999999995E-3</v>
      </c>
      <c r="G43" s="540"/>
      <c r="H43" s="540">
        <v>8.7250999999999995E-3</v>
      </c>
      <c r="I43" s="540"/>
      <c r="J43" s="540">
        <v>8.9671000000000004E-3</v>
      </c>
      <c r="K43" s="540"/>
      <c r="L43" s="540">
        <f>+L40</f>
        <v>1.1203100000000001E-2</v>
      </c>
      <c r="M43" s="540"/>
      <c r="N43" s="540">
        <v>1.14051E-2</v>
      </c>
      <c r="O43" s="540"/>
      <c r="P43" s="540">
        <f>+P40</f>
        <v>1.56031E-2</v>
      </c>
      <c r="Q43" s="539"/>
      <c r="R43" s="540">
        <v>1.6075099999999998E-2</v>
      </c>
      <c r="S43" s="528"/>
      <c r="T43" s="528"/>
      <c r="U43" s="522"/>
      <c r="V43" s="539">
        <f>SUMPRODUCT(D43:R43,D35:R35)/V35</f>
        <v>1.0170060850844669E-2</v>
      </c>
      <c r="W43" s="524"/>
      <c r="X43" s="512"/>
    </row>
    <row r="44" spans="1:24" s="513" customFormat="1" x14ac:dyDescent="0.3">
      <c r="A44" s="521"/>
      <c r="B44" s="522" t="s">
        <v>298</v>
      </c>
      <c r="C44" s="541"/>
      <c r="D44" s="540">
        <v>8.0806000000000003E-3</v>
      </c>
      <c r="E44" s="540"/>
      <c r="F44" s="540">
        <f>+F41</f>
        <v>7.8662999999999997E-3</v>
      </c>
      <c r="G44" s="540"/>
      <c r="H44" s="540">
        <v>7.7882999999999997E-3</v>
      </c>
      <c r="I44" s="540"/>
      <c r="J44" s="540">
        <v>8.0303000000000006E-3</v>
      </c>
      <c r="K44" s="540"/>
      <c r="L44" s="540">
        <f>+L41</f>
        <v>1.0266300000000001E-2</v>
      </c>
      <c r="M44" s="540"/>
      <c r="N44" s="540">
        <v>1.04683E-2</v>
      </c>
      <c r="O44" s="540"/>
      <c r="P44" s="540">
        <f>+P41</f>
        <v>1.46663E-2</v>
      </c>
      <c r="Q44" s="539"/>
      <c r="R44" s="540">
        <v>1.51383E-2</v>
      </c>
      <c r="S44" s="528"/>
      <c r="T44" s="528"/>
      <c r="U44" s="522"/>
      <c r="V44" s="522"/>
      <c r="W44" s="524"/>
      <c r="X44" s="512"/>
    </row>
    <row r="45" spans="1:24"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4"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4"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4" s="513" customFormat="1" x14ac:dyDescent="0.3">
      <c r="A48" s="521"/>
      <c r="B48" s="522" t="s">
        <v>299</v>
      </c>
      <c r="C48" s="522"/>
      <c r="D48" s="528" t="s">
        <v>243</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0.36799036960038212</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209</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43327</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89</v>
      </c>
      <c r="S57" s="522"/>
      <c r="T57" s="549">
        <v>43146</v>
      </c>
      <c r="U57" s="550"/>
      <c r="V57" s="549">
        <v>43234</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43235</v>
      </c>
      <c r="U58" s="550"/>
      <c r="V58" s="549">
        <v>43326</v>
      </c>
      <c r="W58" s="524"/>
      <c r="X58" s="512"/>
    </row>
    <row r="59" spans="1:25" s="513" customFormat="1" x14ac:dyDescent="0.3">
      <c r="A59" s="521"/>
      <c r="B59" s="522" t="s">
        <v>263</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262</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43313</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355</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740151</v>
      </c>
      <c r="O68" s="562"/>
      <c r="P68" s="562">
        <f>10707+396</f>
        <v>11103</v>
      </c>
      <c r="Q68" s="562"/>
      <c r="R68" s="562">
        <v>396</v>
      </c>
      <c r="S68" s="562"/>
      <c r="T68" s="562">
        <v>0</v>
      </c>
      <c r="U68" s="562"/>
      <c r="V68" s="563">
        <f>+N68-P68+R68-T68</f>
        <v>729444</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740151</v>
      </c>
      <c r="O71" s="562"/>
      <c r="P71" s="562">
        <f>SUM(P68:P70)</f>
        <v>11103</v>
      </c>
      <c r="Q71" s="562"/>
      <c r="R71" s="562">
        <f>SUM(R68:R70)</f>
        <v>396</v>
      </c>
      <c r="S71" s="562"/>
      <c r="T71" s="562">
        <f>SUM(T68:T70)</f>
        <v>0</v>
      </c>
      <c r="U71" s="562"/>
      <c r="V71" s="562">
        <f>SUM(V68:V70)</f>
        <v>729444</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740151</v>
      </c>
      <c r="O84" s="562"/>
      <c r="P84" s="562"/>
      <c r="Q84" s="562"/>
      <c r="R84" s="562"/>
      <c r="S84" s="562"/>
      <c r="T84" s="562"/>
      <c r="U84" s="562"/>
      <c r="V84" s="562">
        <f>SUM(V71:V83)</f>
        <v>729444</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+T197</f>
        <v>43312</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11103+9</f>
        <v>11112</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4480+2113-1435-595</f>
        <v>4563</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25+22</f>
        <v>47</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43</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345</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11112</v>
      </c>
      <c r="U96" s="522"/>
      <c r="V96" s="562">
        <f>SUM(V88:V95)</f>
        <v>4998</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-5</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11112</v>
      </c>
      <c r="U100" s="522"/>
      <c r="V100" s="562">
        <f>V96+V98+V97+V99</f>
        <v>4993</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-283-58-9</f>
        <v>-350</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256</v>
      </c>
      <c r="C106" s="522"/>
      <c r="D106" s="522"/>
      <c r="E106" s="522"/>
      <c r="F106" s="522"/>
      <c r="G106" s="522"/>
      <c r="H106" s="522"/>
      <c r="I106" s="522"/>
      <c r="J106" s="522"/>
      <c r="K106" s="522"/>
      <c r="L106" s="522"/>
      <c r="M106" s="522"/>
      <c r="N106" s="522"/>
      <c r="O106" s="522"/>
      <c r="P106" s="522"/>
      <c r="Q106" s="522"/>
      <c r="R106" s="522"/>
      <c r="S106" s="522"/>
      <c r="T106" s="522"/>
      <c r="U106" s="522"/>
      <c r="V106" s="563">
        <f>-1214+133</f>
        <v>-1081</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-133</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-250</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-70</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-296</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-67</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-28</v>
      </c>
      <c r="W113" s="422"/>
      <c r="X113" s="405"/>
    </row>
    <row r="114" spans="1:24" x14ac:dyDescent="0.3">
      <c r="A114" s="521">
        <f t="shared" ref="A114:A119"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-9</v>
      </c>
      <c r="U114" s="522"/>
      <c r="V114" s="563">
        <v>9</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-283</v>
      </c>
      <c r="W118" s="422"/>
      <c r="X118" s="405"/>
    </row>
    <row r="119" spans="1:24" x14ac:dyDescent="0.3">
      <c r="A119" s="521">
        <f t="shared" si="0"/>
        <v>14</v>
      </c>
      <c r="B119" s="522" t="s">
        <v>131</v>
      </c>
      <c r="C119" s="522"/>
      <c r="D119" s="522"/>
      <c r="E119" s="522"/>
      <c r="F119" s="522"/>
      <c r="G119" s="522"/>
      <c r="H119" s="522"/>
      <c r="I119" s="522"/>
      <c r="J119" s="522"/>
      <c r="K119" s="522"/>
      <c r="L119" s="522"/>
      <c r="M119" s="522"/>
      <c r="N119" s="522"/>
      <c r="O119" s="522"/>
      <c r="P119" s="522"/>
      <c r="Q119" s="522"/>
      <c r="R119" s="522"/>
      <c r="S119" s="522"/>
      <c r="T119" s="522"/>
      <c r="U119" s="522"/>
      <c r="V119" s="563">
        <f>-V100-SUM(V102:V118)</f>
        <v>-2442</v>
      </c>
      <c r="W119" s="422"/>
      <c r="X119" s="405"/>
    </row>
    <row r="120" spans="1:24" x14ac:dyDescent="0.3">
      <c r="A120" s="420"/>
      <c r="B120" s="501" t="s">
        <v>38</v>
      </c>
      <c r="C120" s="424"/>
      <c r="D120" s="424"/>
      <c r="E120" s="424"/>
      <c r="F120" s="424"/>
      <c r="G120" s="424"/>
      <c r="H120" s="424"/>
      <c r="I120" s="424"/>
      <c r="J120" s="424"/>
      <c r="K120" s="424"/>
      <c r="L120" s="424"/>
      <c r="M120" s="424"/>
      <c r="N120" s="424"/>
      <c r="O120" s="424"/>
      <c r="P120" s="424"/>
      <c r="Q120" s="424"/>
      <c r="R120" s="424"/>
      <c r="S120" s="424"/>
      <c r="T120" s="424"/>
      <c r="U120" s="424"/>
      <c r="V120" s="443"/>
      <c r="W120" s="426"/>
      <c r="X120" s="405"/>
    </row>
    <row r="121" spans="1:24" x14ac:dyDescent="0.3">
      <c r="A121" s="420"/>
      <c r="B121" s="522" t="s">
        <v>179</v>
      </c>
      <c r="C121" s="522"/>
      <c r="D121" s="522"/>
      <c r="E121" s="522"/>
      <c r="F121" s="522"/>
      <c r="G121" s="522"/>
      <c r="H121" s="522"/>
      <c r="I121" s="522"/>
      <c r="J121" s="522"/>
      <c r="K121" s="522"/>
      <c r="L121" s="522"/>
      <c r="M121" s="522"/>
      <c r="N121" s="522"/>
      <c r="O121" s="522"/>
      <c r="P121" s="522"/>
      <c r="Q121" s="522"/>
      <c r="R121" s="522"/>
      <c r="S121" s="522"/>
      <c r="T121" s="562">
        <f>-T181</f>
        <v>0</v>
      </c>
      <c r="U121" s="562"/>
      <c r="V121" s="563"/>
      <c r="W121" s="524"/>
      <c r="X121" s="405"/>
    </row>
    <row r="122" spans="1:24" x14ac:dyDescent="0.3">
      <c r="A122" s="420"/>
      <c r="B122" s="522" t="s">
        <v>180</v>
      </c>
      <c r="C122" s="522"/>
      <c r="D122" s="522"/>
      <c r="E122" s="522"/>
      <c r="F122" s="522"/>
      <c r="G122" s="522"/>
      <c r="H122" s="522"/>
      <c r="I122" s="522"/>
      <c r="J122" s="522"/>
      <c r="K122" s="522"/>
      <c r="L122" s="522"/>
      <c r="M122" s="522"/>
      <c r="N122" s="522"/>
      <c r="O122" s="522"/>
      <c r="P122" s="522"/>
      <c r="Q122" s="522"/>
      <c r="R122" s="522"/>
      <c r="S122" s="522"/>
      <c r="T122" s="562">
        <v>0</v>
      </c>
      <c r="U122" s="562"/>
      <c r="V122" s="563"/>
      <c r="W122" s="524"/>
      <c r="X122" s="405"/>
    </row>
    <row r="123" spans="1:24" x14ac:dyDescent="0.3">
      <c r="A123" s="420"/>
      <c r="B123" s="522" t="s">
        <v>39</v>
      </c>
      <c r="C123" s="522"/>
      <c r="D123" s="522"/>
      <c r="E123" s="522"/>
      <c r="F123" s="522"/>
      <c r="G123" s="522"/>
      <c r="H123" s="522"/>
      <c r="I123" s="522"/>
      <c r="J123" s="522"/>
      <c r="K123" s="522"/>
      <c r="L123" s="522"/>
      <c r="M123" s="522"/>
      <c r="N123" s="522"/>
      <c r="O123" s="522"/>
      <c r="P123" s="522"/>
      <c r="Q123" s="522"/>
      <c r="R123" s="522"/>
      <c r="S123" s="522"/>
      <c r="T123" s="562">
        <f>-S181</f>
        <v>-396</v>
      </c>
      <c r="U123" s="562"/>
      <c r="V123" s="563"/>
      <c r="W123" s="524"/>
      <c r="X123" s="405"/>
    </row>
    <row r="124" spans="1:24" x14ac:dyDescent="0.3">
      <c r="A124" s="420"/>
      <c r="B124" s="522" t="s">
        <v>203</v>
      </c>
      <c r="C124" s="522"/>
      <c r="D124" s="522"/>
      <c r="E124" s="522"/>
      <c r="F124" s="522"/>
      <c r="G124" s="522"/>
      <c r="H124" s="522"/>
      <c r="I124" s="522"/>
      <c r="J124" s="522"/>
      <c r="K124" s="522"/>
      <c r="L124" s="522"/>
      <c r="M124" s="522"/>
      <c r="N124" s="522"/>
      <c r="O124" s="522"/>
      <c r="P124" s="522"/>
      <c r="Q124" s="522"/>
      <c r="R124" s="522"/>
      <c r="S124" s="522"/>
      <c r="T124" s="562">
        <v>-3095</v>
      </c>
      <c r="U124" s="562"/>
      <c r="V124" s="563"/>
      <c r="W124" s="524"/>
      <c r="X124" s="405"/>
    </row>
    <row r="125" spans="1:24" x14ac:dyDescent="0.3">
      <c r="A125" s="420"/>
      <c r="B125" s="522" t="s">
        <v>201</v>
      </c>
      <c r="C125" s="522"/>
      <c r="D125" s="522"/>
      <c r="E125" s="522"/>
      <c r="F125" s="522"/>
      <c r="G125" s="522"/>
      <c r="H125" s="522"/>
      <c r="I125" s="522"/>
      <c r="J125" s="522"/>
      <c r="K125" s="522"/>
      <c r="L125" s="522"/>
      <c r="M125" s="522"/>
      <c r="N125" s="522"/>
      <c r="O125" s="522"/>
      <c r="P125" s="522"/>
      <c r="Q125" s="522"/>
      <c r="R125" s="522"/>
      <c r="S125" s="522"/>
      <c r="T125" s="562">
        <v>-550</v>
      </c>
      <c r="U125" s="562"/>
      <c r="V125" s="563"/>
      <c r="W125" s="524"/>
      <c r="X125" s="405"/>
    </row>
    <row r="126" spans="1:24" x14ac:dyDescent="0.3">
      <c r="A126" s="420"/>
      <c r="B126" s="522" t="s">
        <v>200</v>
      </c>
      <c r="C126" s="522"/>
      <c r="D126" s="522"/>
      <c r="E126" s="522"/>
      <c r="F126" s="522"/>
      <c r="G126" s="522"/>
      <c r="H126" s="522"/>
      <c r="I126" s="522"/>
      <c r="J126" s="522"/>
      <c r="K126" s="522"/>
      <c r="L126" s="522"/>
      <c r="M126" s="522"/>
      <c r="N126" s="522"/>
      <c r="O126" s="522"/>
      <c r="P126" s="522"/>
      <c r="Q126" s="522"/>
      <c r="R126" s="522"/>
      <c r="S126" s="522"/>
      <c r="T126" s="562">
        <v>-641</v>
      </c>
      <c r="U126" s="562"/>
      <c r="V126" s="563"/>
      <c r="W126" s="524"/>
      <c r="X126" s="405"/>
    </row>
    <row r="127" spans="1:24" x14ac:dyDescent="0.3">
      <c r="A127" s="420"/>
      <c r="B127" s="522" t="s">
        <v>260</v>
      </c>
      <c r="C127" s="522"/>
      <c r="D127" s="522"/>
      <c r="E127" s="522"/>
      <c r="F127" s="522"/>
      <c r="G127" s="522"/>
      <c r="H127" s="522"/>
      <c r="I127" s="522"/>
      <c r="J127" s="522"/>
      <c r="K127" s="522"/>
      <c r="L127" s="522"/>
      <c r="M127" s="522"/>
      <c r="N127" s="522"/>
      <c r="O127" s="522"/>
      <c r="P127" s="522"/>
      <c r="Q127" s="522"/>
      <c r="R127" s="522"/>
      <c r="S127" s="522"/>
      <c r="T127" s="562">
        <v>-642</v>
      </c>
      <c r="U127" s="562"/>
      <c r="V127" s="563"/>
      <c r="W127" s="524"/>
      <c r="X127" s="405"/>
    </row>
    <row r="128" spans="1:24" x14ac:dyDescent="0.3">
      <c r="A128" s="420"/>
      <c r="B128" s="522" t="s">
        <v>195</v>
      </c>
      <c r="C128" s="522"/>
      <c r="D128" s="522"/>
      <c r="E128" s="522"/>
      <c r="F128" s="522"/>
      <c r="G128" s="522"/>
      <c r="H128" s="522"/>
      <c r="I128" s="522"/>
      <c r="J128" s="522"/>
      <c r="K128" s="522"/>
      <c r="L128" s="522"/>
      <c r="M128" s="522"/>
      <c r="N128" s="522"/>
      <c r="O128" s="522"/>
      <c r="P128" s="522"/>
      <c r="Q128" s="522"/>
      <c r="R128" s="522"/>
      <c r="S128" s="522"/>
      <c r="T128" s="562">
        <v>-715</v>
      </c>
      <c r="U128" s="562"/>
      <c r="V128" s="563"/>
      <c r="W128" s="524"/>
      <c r="X128" s="405"/>
    </row>
    <row r="129" spans="1:24" x14ac:dyDescent="0.3">
      <c r="A129" s="420"/>
      <c r="B129" s="522" t="s">
        <v>194</v>
      </c>
      <c r="C129" s="522"/>
      <c r="D129" s="522"/>
      <c r="E129" s="522"/>
      <c r="F129" s="522"/>
      <c r="G129" s="522"/>
      <c r="H129" s="522"/>
      <c r="I129" s="522"/>
      <c r="J129" s="522"/>
      <c r="K129" s="522"/>
      <c r="L129" s="522"/>
      <c r="M129" s="522"/>
      <c r="N129" s="522"/>
      <c r="O129" s="522"/>
      <c r="P129" s="522"/>
      <c r="Q129" s="522"/>
      <c r="R129" s="522"/>
      <c r="S129" s="522"/>
      <c r="T129" s="562">
        <v>-2486</v>
      </c>
      <c r="U129" s="562"/>
      <c r="V129" s="563"/>
      <c r="W129" s="524"/>
      <c r="X129" s="405"/>
    </row>
    <row r="130" spans="1:24" x14ac:dyDescent="0.3">
      <c r="A130" s="420"/>
      <c r="B130" s="522" t="s">
        <v>261</v>
      </c>
      <c r="C130" s="522"/>
      <c r="D130" s="522"/>
      <c r="E130" s="522"/>
      <c r="F130" s="522"/>
      <c r="G130" s="522"/>
      <c r="H130" s="522"/>
      <c r="I130" s="522"/>
      <c r="J130" s="522"/>
      <c r="K130" s="522"/>
      <c r="L130" s="522"/>
      <c r="M130" s="522"/>
      <c r="N130" s="522"/>
      <c r="O130" s="522"/>
      <c r="P130" s="522"/>
      <c r="Q130" s="522"/>
      <c r="R130" s="522"/>
      <c r="S130" s="522"/>
      <c r="T130" s="562">
        <v>-486</v>
      </c>
      <c r="U130" s="562"/>
      <c r="V130" s="563"/>
      <c r="W130" s="524"/>
      <c r="X130" s="405"/>
    </row>
    <row r="131" spans="1:24" x14ac:dyDescent="0.3">
      <c r="A131" s="420"/>
      <c r="B131" s="522" t="s">
        <v>193</v>
      </c>
      <c r="C131" s="522"/>
      <c r="D131" s="522"/>
      <c r="E131" s="522"/>
      <c r="F131" s="522"/>
      <c r="G131" s="522"/>
      <c r="H131" s="522"/>
      <c r="I131" s="522"/>
      <c r="J131" s="522"/>
      <c r="K131" s="522"/>
      <c r="L131" s="522"/>
      <c r="M131" s="522"/>
      <c r="N131" s="522"/>
      <c r="O131" s="522"/>
      <c r="P131" s="522"/>
      <c r="Q131" s="522"/>
      <c r="R131" s="522"/>
      <c r="S131" s="522"/>
      <c r="T131" s="562">
        <v>-2092</v>
      </c>
      <c r="U131" s="562"/>
      <c r="V131" s="563"/>
      <c r="W131" s="524"/>
      <c r="X131" s="405"/>
    </row>
    <row r="132" spans="1:24" x14ac:dyDescent="0.3">
      <c r="A132" s="420"/>
      <c r="B132" s="522" t="s">
        <v>40</v>
      </c>
      <c r="C132" s="522"/>
      <c r="D132" s="522"/>
      <c r="E132" s="522"/>
      <c r="F132" s="522"/>
      <c r="G132" s="522"/>
      <c r="H132" s="522"/>
      <c r="I132" s="522"/>
      <c r="J132" s="522"/>
      <c r="K132" s="522"/>
      <c r="L132" s="522"/>
      <c r="M132" s="522"/>
      <c r="N132" s="522"/>
      <c r="O132" s="522"/>
      <c r="P132" s="522"/>
      <c r="Q132" s="522"/>
      <c r="R132" s="522"/>
      <c r="S132" s="522"/>
      <c r="T132" s="562">
        <f>SUM(T121:T131)</f>
        <v>-11103</v>
      </c>
      <c r="U132" s="562"/>
      <c r="V132" s="562">
        <f>SUM(V101:V129)</f>
        <v>-4993</v>
      </c>
      <c r="W132" s="524"/>
      <c r="X132" s="405"/>
    </row>
    <row r="133" spans="1:24" x14ac:dyDescent="0.3">
      <c r="A133" s="420"/>
      <c r="B133" s="522" t="s">
        <v>41</v>
      </c>
      <c r="C133" s="522"/>
      <c r="D133" s="522"/>
      <c r="E133" s="522"/>
      <c r="F133" s="522"/>
      <c r="G133" s="522"/>
      <c r="H133" s="522"/>
      <c r="I133" s="522"/>
      <c r="J133" s="522"/>
      <c r="K133" s="522"/>
      <c r="L133" s="522"/>
      <c r="M133" s="522"/>
      <c r="N133" s="522"/>
      <c r="O133" s="522"/>
      <c r="P133" s="522"/>
      <c r="Q133" s="522"/>
      <c r="R133" s="522"/>
      <c r="S133" s="522"/>
      <c r="T133" s="562">
        <f>T100+T132+T114</f>
        <v>0</v>
      </c>
      <c r="U133" s="562"/>
      <c r="V133" s="562">
        <f>V100+V132</f>
        <v>0</v>
      </c>
      <c r="W133" s="524"/>
      <c r="X133" s="405"/>
    </row>
    <row r="134" spans="1:24" x14ac:dyDescent="0.3">
      <c r="A134" s="407"/>
      <c r="B134" s="552"/>
      <c r="C134" s="552"/>
      <c r="D134" s="552"/>
      <c r="E134" s="552"/>
      <c r="F134" s="552"/>
      <c r="G134" s="552"/>
      <c r="H134" s="552"/>
      <c r="I134" s="552"/>
      <c r="J134" s="552"/>
      <c r="K134" s="552"/>
      <c r="L134" s="552"/>
      <c r="M134" s="552"/>
      <c r="N134" s="552"/>
      <c r="O134" s="552"/>
      <c r="P134" s="552"/>
      <c r="Q134" s="552"/>
      <c r="R134" s="552"/>
      <c r="S134" s="552"/>
      <c r="T134" s="567"/>
      <c r="U134" s="567"/>
      <c r="V134" s="567"/>
      <c r="W134" s="552"/>
      <c r="X134" s="405"/>
    </row>
    <row r="135" spans="1:24" x14ac:dyDescent="0.3">
      <c r="A135" s="407"/>
      <c r="B135" s="510"/>
      <c r="C135" s="510"/>
      <c r="D135" s="510"/>
      <c r="E135" s="510"/>
      <c r="F135" s="510"/>
      <c r="G135" s="510"/>
      <c r="H135" s="510"/>
      <c r="I135" s="510"/>
      <c r="J135" s="510"/>
      <c r="K135" s="510"/>
      <c r="L135" s="510"/>
      <c r="M135" s="510"/>
      <c r="N135" s="510"/>
      <c r="O135" s="510"/>
      <c r="P135" s="510"/>
      <c r="Q135" s="510"/>
      <c r="R135" s="510"/>
      <c r="S135" s="510"/>
      <c r="T135" s="510"/>
      <c r="U135" s="510"/>
      <c r="V135" s="568"/>
      <c r="W135" s="510"/>
      <c r="X135" s="405"/>
    </row>
    <row r="136" spans="1:24" ht="18.600000000000001" thickBot="1" x14ac:dyDescent="0.4">
      <c r="A136" s="430"/>
      <c r="B136" s="558" t="str">
        <f>B64</f>
        <v>PM12 INVESTOR REPORT QUARTER ENDING JULY 2018</v>
      </c>
      <c r="C136" s="559"/>
      <c r="D136" s="559"/>
      <c r="E136" s="559"/>
      <c r="F136" s="559"/>
      <c r="G136" s="559"/>
      <c r="H136" s="559"/>
      <c r="I136" s="559"/>
      <c r="J136" s="559"/>
      <c r="K136" s="559"/>
      <c r="L136" s="559"/>
      <c r="M136" s="559"/>
      <c r="N136" s="559"/>
      <c r="O136" s="559"/>
      <c r="P136" s="559"/>
      <c r="Q136" s="559"/>
      <c r="R136" s="559"/>
      <c r="S136" s="559"/>
      <c r="T136" s="559"/>
      <c r="U136" s="559"/>
      <c r="V136" s="569"/>
      <c r="W136" s="561"/>
      <c r="X136" s="405"/>
    </row>
    <row r="137" spans="1:24" x14ac:dyDescent="0.3">
      <c r="A137" s="444"/>
      <c r="B137" s="445" t="s">
        <v>42</v>
      </c>
      <c r="C137" s="446"/>
      <c r="D137" s="446"/>
      <c r="E137" s="446"/>
      <c r="F137" s="446"/>
      <c r="G137" s="446"/>
      <c r="H137" s="446"/>
      <c r="I137" s="446"/>
      <c r="J137" s="446"/>
      <c r="K137" s="446"/>
      <c r="L137" s="446"/>
      <c r="M137" s="446"/>
      <c r="N137" s="446"/>
      <c r="O137" s="446"/>
      <c r="P137" s="446"/>
      <c r="Q137" s="446"/>
      <c r="R137" s="446"/>
      <c r="S137" s="446"/>
      <c r="T137" s="446"/>
      <c r="U137" s="446"/>
      <c r="V137" s="447"/>
      <c r="W137" s="446"/>
      <c r="X137" s="405"/>
    </row>
    <row r="138" spans="1:24" x14ac:dyDescent="0.3">
      <c r="A138" s="407"/>
      <c r="B138" s="448"/>
      <c r="C138" s="409"/>
      <c r="D138" s="409"/>
      <c r="E138" s="409"/>
      <c r="F138" s="409"/>
      <c r="G138" s="409"/>
      <c r="H138" s="409"/>
      <c r="I138" s="409"/>
      <c r="J138" s="409"/>
      <c r="K138" s="409"/>
      <c r="L138" s="409"/>
      <c r="M138" s="409"/>
      <c r="N138" s="409"/>
      <c r="O138" s="409"/>
      <c r="P138" s="409"/>
      <c r="Q138" s="409"/>
      <c r="R138" s="409"/>
      <c r="S138" s="409"/>
      <c r="T138" s="409"/>
      <c r="U138" s="409"/>
      <c r="V138" s="433"/>
      <c r="W138" s="409"/>
      <c r="X138" s="405"/>
    </row>
    <row r="139" spans="1:24" x14ac:dyDescent="0.3">
      <c r="A139" s="407"/>
      <c r="B139" s="502" t="s">
        <v>43</v>
      </c>
      <c r="C139" s="409"/>
      <c r="D139" s="409"/>
      <c r="E139" s="409"/>
      <c r="F139" s="409"/>
      <c r="G139" s="409"/>
      <c r="H139" s="409"/>
      <c r="I139" s="409"/>
      <c r="J139" s="409"/>
      <c r="K139" s="409"/>
      <c r="L139" s="409"/>
      <c r="M139" s="409"/>
      <c r="N139" s="409"/>
      <c r="O139" s="409"/>
      <c r="P139" s="409"/>
      <c r="Q139" s="409"/>
      <c r="R139" s="409"/>
      <c r="S139" s="409"/>
      <c r="T139" s="409"/>
      <c r="U139" s="409"/>
      <c r="V139" s="433"/>
      <c r="W139" s="409"/>
      <c r="X139" s="405"/>
    </row>
    <row r="140" spans="1:24" s="513" customFormat="1" x14ac:dyDescent="0.3">
      <c r="A140" s="521"/>
      <c r="B140" s="522" t="s">
        <v>44</v>
      </c>
      <c r="C140" s="522"/>
      <c r="D140" s="522"/>
      <c r="E140" s="522"/>
      <c r="F140" s="522"/>
      <c r="G140" s="522"/>
      <c r="H140" s="522"/>
      <c r="I140" s="522"/>
      <c r="J140" s="522"/>
      <c r="K140" s="522"/>
      <c r="L140" s="522"/>
      <c r="M140" s="522"/>
      <c r="N140" s="522"/>
      <c r="O140" s="522"/>
      <c r="P140" s="522"/>
      <c r="Q140" s="522"/>
      <c r="R140" s="522"/>
      <c r="S140" s="522"/>
      <c r="T140" s="522"/>
      <c r="U140" s="522"/>
      <c r="V140" s="563">
        <f>+V34*0.019</f>
        <v>28503.895</v>
      </c>
      <c r="W140" s="524"/>
      <c r="X140" s="512"/>
    </row>
    <row r="141" spans="1:24" s="513" customFormat="1" x14ac:dyDescent="0.3">
      <c r="A141" s="521"/>
      <c r="B141" s="522" t="s">
        <v>45</v>
      </c>
      <c r="C141" s="522"/>
      <c r="D141" s="522"/>
      <c r="E141" s="522"/>
      <c r="F141" s="522"/>
      <c r="G141" s="522"/>
      <c r="H141" s="522"/>
      <c r="I141" s="522"/>
      <c r="J141" s="522"/>
      <c r="K141" s="522"/>
      <c r="L141" s="522"/>
      <c r="M141" s="522"/>
      <c r="N141" s="522"/>
      <c r="O141" s="522"/>
      <c r="P141" s="522"/>
      <c r="Q141" s="522"/>
      <c r="R141" s="522"/>
      <c r="S141" s="522"/>
      <c r="T141" s="522"/>
      <c r="U141" s="522"/>
      <c r="V141" s="563">
        <v>28504</v>
      </c>
      <c r="W141" s="524"/>
      <c r="X141" s="512"/>
    </row>
    <row r="142" spans="1:24" s="513" customFormat="1" x14ac:dyDescent="0.3">
      <c r="A142" s="521"/>
      <c r="B142" s="522" t="s">
        <v>141</v>
      </c>
      <c r="C142" s="522"/>
      <c r="D142" s="522"/>
      <c r="E142" s="522"/>
      <c r="F142" s="522"/>
      <c r="G142" s="522"/>
      <c r="H142" s="522"/>
      <c r="I142" s="522"/>
      <c r="J142" s="522"/>
      <c r="K142" s="522"/>
      <c r="L142" s="522"/>
      <c r="M142" s="522"/>
      <c r="N142" s="522"/>
      <c r="O142" s="522"/>
      <c r="P142" s="522"/>
      <c r="Q142" s="522"/>
      <c r="R142" s="522"/>
      <c r="S142" s="522"/>
      <c r="T142" s="522"/>
      <c r="U142" s="522"/>
      <c r="V142" s="563">
        <v>0</v>
      </c>
      <c r="W142" s="524"/>
      <c r="X142" s="512"/>
    </row>
    <row r="143" spans="1:24" s="513" customFormat="1" x14ac:dyDescent="0.3">
      <c r="A143" s="521"/>
      <c r="B143" s="522" t="s">
        <v>128</v>
      </c>
      <c r="C143" s="522"/>
      <c r="D143" s="522"/>
      <c r="E143" s="522"/>
      <c r="F143" s="522"/>
      <c r="G143" s="522"/>
      <c r="H143" s="522"/>
      <c r="I143" s="522"/>
      <c r="J143" s="522"/>
      <c r="K143" s="522"/>
      <c r="L143" s="522"/>
      <c r="M143" s="522"/>
      <c r="N143" s="522"/>
      <c r="O143" s="522"/>
      <c r="P143" s="522"/>
      <c r="Q143" s="522"/>
      <c r="R143" s="522"/>
      <c r="S143" s="522"/>
      <c r="T143" s="522"/>
      <c r="U143" s="522"/>
      <c r="V143" s="563">
        <v>0</v>
      </c>
      <c r="W143" s="524"/>
      <c r="X143" s="512"/>
    </row>
    <row r="144" spans="1:24" s="513" customFormat="1" x14ac:dyDescent="0.3">
      <c r="A144" s="521"/>
      <c r="B144" s="522" t="s">
        <v>129</v>
      </c>
      <c r="C144" s="522"/>
      <c r="D144" s="522"/>
      <c r="E144" s="522"/>
      <c r="F144" s="522"/>
      <c r="G144" s="522"/>
      <c r="H144" s="522"/>
      <c r="I144" s="522"/>
      <c r="J144" s="522"/>
      <c r="K144" s="522"/>
      <c r="L144" s="522"/>
      <c r="M144" s="522"/>
      <c r="N144" s="522"/>
      <c r="O144" s="522"/>
      <c r="P144" s="522"/>
      <c r="Q144" s="522"/>
      <c r="R144" s="522"/>
      <c r="S144" s="522"/>
      <c r="T144" s="522"/>
      <c r="U144" s="522"/>
      <c r="V144" s="563">
        <v>0</v>
      </c>
      <c r="W144" s="524"/>
      <c r="X144" s="512"/>
    </row>
    <row r="145" spans="1:25" s="513" customFormat="1" x14ac:dyDescent="0.3">
      <c r="A145" s="521"/>
      <c r="B145" s="522" t="s">
        <v>181</v>
      </c>
      <c r="C145" s="522"/>
      <c r="D145" s="522"/>
      <c r="E145" s="522"/>
      <c r="F145" s="522"/>
      <c r="G145" s="522"/>
      <c r="H145" s="522"/>
      <c r="I145" s="522"/>
      <c r="J145" s="522"/>
      <c r="K145" s="522"/>
      <c r="L145" s="522"/>
      <c r="M145" s="522"/>
      <c r="N145" s="522"/>
      <c r="O145" s="522"/>
      <c r="P145" s="522"/>
      <c r="Q145" s="522"/>
      <c r="R145" s="522"/>
      <c r="S145" s="522"/>
      <c r="T145" s="522"/>
      <c r="U145" s="522"/>
      <c r="V145" s="563">
        <v>0</v>
      </c>
      <c r="W145" s="524"/>
      <c r="X145" s="512"/>
    </row>
    <row r="146" spans="1:25" s="513" customFormat="1" x14ac:dyDescent="0.3">
      <c r="A146" s="521"/>
      <c r="B146" s="522" t="s">
        <v>46</v>
      </c>
      <c r="C146" s="522"/>
      <c r="D146" s="522"/>
      <c r="E146" s="522"/>
      <c r="F146" s="522"/>
      <c r="G146" s="522"/>
      <c r="H146" s="522"/>
      <c r="I146" s="522"/>
      <c r="J146" s="522"/>
      <c r="K146" s="522"/>
      <c r="L146" s="522"/>
      <c r="M146" s="522"/>
      <c r="N146" s="522"/>
      <c r="O146" s="522"/>
      <c r="P146" s="522"/>
      <c r="Q146" s="522"/>
      <c r="R146" s="522"/>
      <c r="S146" s="522"/>
      <c r="T146" s="522"/>
      <c r="U146" s="522"/>
      <c r="V146" s="563">
        <v>0</v>
      </c>
      <c r="W146" s="524"/>
      <c r="X146" s="512"/>
    </row>
    <row r="147" spans="1:25" s="513" customFormat="1" x14ac:dyDescent="0.3">
      <c r="A147" s="521"/>
      <c r="B147" s="522" t="s">
        <v>134</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5" s="513" customFormat="1" x14ac:dyDescent="0.3">
      <c r="A148" s="521"/>
      <c r="B148" s="522" t="s">
        <v>230</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c r="Y148" s="570"/>
    </row>
    <row r="149" spans="1:25" s="513" customFormat="1" x14ac:dyDescent="0.3">
      <c r="A149" s="521"/>
      <c r="B149" s="522" t="s">
        <v>47</v>
      </c>
      <c r="C149" s="522"/>
      <c r="D149" s="522"/>
      <c r="E149" s="522"/>
      <c r="F149" s="522"/>
      <c r="G149" s="522"/>
      <c r="H149" s="522"/>
      <c r="I149" s="522"/>
      <c r="J149" s="522"/>
      <c r="K149" s="522"/>
      <c r="L149" s="522"/>
      <c r="M149" s="522"/>
      <c r="N149" s="522"/>
      <c r="O149" s="522"/>
      <c r="P149" s="522"/>
      <c r="Q149" s="522"/>
      <c r="R149" s="522"/>
      <c r="S149" s="522"/>
      <c r="T149" s="522"/>
      <c r="U149" s="522"/>
      <c r="V149" s="563">
        <f>SUM(V141:V148)</f>
        <v>28504</v>
      </c>
      <c r="W149" s="524"/>
      <c r="X149" s="512"/>
    </row>
    <row r="150" spans="1:25" x14ac:dyDescent="0.3">
      <c r="A150" s="420"/>
      <c r="B150" s="424"/>
      <c r="C150" s="424"/>
      <c r="D150" s="424"/>
      <c r="E150" s="424"/>
      <c r="F150" s="424"/>
      <c r="G150" s="424"/>
      <c r="H150" s="424"/>
      <c r="I150" s="424"/>
      <c r="J150" s="424"/>
      <c r="K150" s="424"/>
      <c r="L150" s="424"/>
      <c r="M150" s="424"/>
      <c r="N150" s="424"/>
      <c r="O150" s="424"/>
      <c r="P150" s="424"/>
      <c r="Q150" s="424"/>
      <c r="R150" s="424"/>
      <c r="S150" s="424"/>
      <c r="T150" s="424"/>
      <c r="U150" s="424"/>
      <c r="V150" s="440"/>
      <c r="W150" s="426"/>
      <c r="X150" s="405"/>
    </row>
    <row r="151" spans="1:25" x14ac:dyDescent="0.3">
      <c r="A151" s="420"/>
      <c r="B151" s="501" t="s">
        <v>269</v>
      </c>
      <c r="C151" s="424"/>
      <c r="D151" s="424"/>
      <c r="E151" s="424"/>
      <c r="F151" s="424"/>
      <c r="G151" s="424"/>
      <c r="H151" s="424"/>
      <c r="I151" s="424"/>
      <c r="J151" s="424"/>
      <c r="K151" s="424"/>
      <c r="L151" s="424"/>
      <c r="M151" s="424"/>
      <c r="N151" s="424"/>
      <c r="O151" s="424"/>
      <c r="P151" s="424"/>
      <c r="Q151" s="424"/>
      <c r="R151" s="424"/>
      <c r="S151" s="424"/>
      <c r="T151" s="424"/>
      <c r="U151" s="424"/>
      <c r="V151" s="440"/>
      <c r="W151" s="426"/>
      <c r="X151" s="405"/>
    </row>
    <row r="152" spans="1:25" s="513" customFormat="1" x14ac:dyDescent="0.3">
      <c r="A152" s="521"/>
      <c r="B152" s="522" t="s">
        <v>160</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5" s="513" customFormat="1" x14ac:dyDescent="0.3">
      <c r="A153" s="521"/>
      <c r="B153" s="522" t="s">
        <v>178</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row>
    <row r="154" spans="1:25" s="513" customFormat="1" x14ac:dyDescent="0.3">
      <c r="A154" s="521"/>
      <c r="B154" s="522" t="s">
        <v>270</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row>
    <row r="155" spans="1:25" x14ac:dyDescent="0.3">
      <c r="A155" s="420"/>
      <c r="B155" s="424"/>
      <c r="C155" s="424"/>
      <c r="D155" s="424"/>
      <c r="E155" s="424"/>
      <c r="F155" s="424"/>
      <c r="G155" s="424"/>
      <c r="H155" s="424"/>
      <c r="I155" s="424"/>
      <c r="J155" s="424"/>
      <c r="K155" s="424"/>
      <c r="L155" s="424"/>
      <c r="M155" s="424"/>
      <c r="N155" s="424"/>
      <c r="O155" s="424"/>
      <c r="P155" s="424"/>
      <c r="Q155" s="424"/>
      <c r="R155" s="424"/>
      <c r="S155" s="424"/>
      <c r="T155" s="424"/>
      <c r="U155" s="424"/>
      <c r="V155" s="440"/>
      <c r="W155" s="426"/>
      <c r="X155" s="405"/>
    </row>
    <row r="156" spans="1:25" x14ac:dyDescent="0.3">
      <c r="A156" s="407"/>
      <c r="B156" s="429"/>
      <c r="C156" s="429"/>
      <c r="D156" s="429"/>
      <c r="E156" s="429"/>
      <c r="F156" s="429"/>
      <c r="G156" s="429"/>
      <c r="H156" s="429"/>
      <c r="I156" s="429"/>
      <c r="J156" s="429"/>
      <c r="K156" s="429"/>
      <c r="L156" s="429"/>
      <c r="M156" s="429"/>
      <c r="N156" s="429"/>
      <c r="O156" s="429"/>
      <c r="P156" s="429"/>
      <c r="Q156" s="429"/>
      <c r="R156" s="429"/>
      <c r="S156" s="429"/>
      <c r="T156" s="429"/>
      <c r="U156" s="429"/>
      <c r="V156" s="449"/>
      <c r="W156" s="429"/>
      <c r="X156" s="405"/>
    </row>
    <row r="157" spans="1:25" x14ac:dyDescent="0.3">
      <c r="A157" s="407"/>
      <c r="B157" s="502" t="s">
        <v>24</v>
      </c>
      <c r="C157" s="409"/>
      <c r="D157" s="409"/>
      <c r="E157" s="409"/>
      <c r="F157" s="409"/>
      <c r="G157" s="409"/>
      <c r="H157" s="409"/>
      <c r="I157" s="409"/>
      <c r="J157" s="409"/>
      <c r="K157" s="409"/>
      <c r="L157" s="409"/>
      <c r="M157" s="409"/>
      <c r="N157" s="409"/>
      <c r="O157" s="409"/>
      <c r="P157" s="409"/>
      <c r="Q157" s="409"/>
      <c r="R157" s="409"/>
      <c r="S157" s="409"/>
      <c r="T157" s="409"/>
      <c r="U157" s="409"/>
      <c r="V157" s="433"/>
      <c r="W157" s="409"/>
      <c r="X157" s="405"/>
    </row>
    <row r="158" spans="1:25" s="513" customFormat="1" x14ac:dyDescent="0.3">
      <c r="A158" s="521"/>
      <c r="B158" s="522" t="s">
        <v>48</v>
      </c>
      <c r="C158" s="522"/>
      <c r="D158" s="522"/>
      <c r="E158" s="522"/>
      <c r="F158" s="522"/>
      <c r="G158" s="522"/>
      <c r="H158" s="522"/>
      <c r="I158" s="522"/>
      <c r="J158" s="522"/>
      <c r="K158" s="522"/>
      <c r="L158" s="522"/>
      <c r="M158" s="522"/>
      <c r="N158" s="522"/>
      <c r="O158" s="522"/>
      <c r="P158" s="522"/>
      <c r="Q158" s="522"/>
      <c r="R158" s="522"/>
      <c r="S158" s="522"/>
      <c r="T158" s="522"/>
      <c r="U158" s="522"/>
      <c r="V158" s="571" t="s">
        <v>123</v>
      </c>
      <c r="W158" s="524"/>
      <c r="X158" s="512"/>
    </row>
    <row r="159" spans="1:25" s="513" customFormat="1" x14ac:dyDescent="0.3">
      <c r="A159" s="521"/>
      <c r="B159" s="522" t="s">
        <v>49</v>
      </c>
      <c r="C159" s="522"/>
      <c r="D159" s="522"/>
      <c r="E159" s="522"/>
      <c r="F159" s="522"/>
      <c r="G159" s="522"/>
      <c r="H159" s="522"/>
      <c r="I159" s="522"/>
      <c r="J159" s="522"/>
      <c r="K159" s="522"/>
      <c r="L159" s="522"/>
      <c r="M159" s="522"/>
      <c r="N159" s="522"/>
      <c r="O159" s="522"/>
      <c r="P159" s="522"/>
      <c r="Q159" s="522"/>
      <c r="R159" s="522"/>
      <c r="S159" s="522"/>
      <c r="T159" s="522"/>
      <c r="U159" s="522"/>
      <c r="V159" s="571" t="s">
        <v>123</v>
      </c>
      <c r="W159" s="524"/>
      <c r="X159" s="512"/>
    </row>
    <row r="160" spans="1:25" s="513" customFormat="1" x14ac:dyDescent="0.3">
      <c r="A160" s="521"/>
      <c r="B160" s="522" t="s">
        <v>50</v>
      </c>
      <c r="C160" s="522"/>
      <c r="D160" s="522"/>
      <c r="E160" s="522"/>
      <c r="F160" s="522"/>
      <c r="G160" s="522"/>
      <c r="H160" s="522"/>
      <c r="I160" s="522"/>
      <c r="J160" s="522"/>
      <c r="K160" s="522"/>
      <c r="L160" s="522"/>
      <c r="M160" s="522"/>
      <c r="N160" s="522"/>
      <c r="O160" s="522"/>
      <c r="P160" s="522"/>
      <c r="Q160" s="522"/>
      <c r="R160" s="522"/>
      <c r="S160" s="522"/>
      <c r="T160" s="522"/>
      <c r="U160" s="522"/>
      <c r="V160" s="571" t="s">
        <v>123</v>
      </c>
      <c r="W160" s="524"/>
      <c r="X160" s="512"/>
    </row>
    <row r="161" spans="1:24" s="513" customFormat="1" x14ac:dyDescent="0.3">
      <c r="A161" s="521"/>
      <c r="B161" s="522" t="s">
        <v>51</v>
      </c>
      <c r="C161" s="522"/>
      <c r="D161" s="522"/>
      <c r="E161" s="522"/>
      <c r="F161" s="522"/>
      <c r="G161" s="522"/>
      <c r="H161" s="522"/>
      <c r="I161" s="522"/>
      <c r="J161" s="522"/>
      <c r="K161" s="522"/>
      <c r="L161" s="522"/>
      <c r="M161" s="522"/>
      <c r="N161" s="522"/>
      <c r="O161" s="522"/>
      <c r="P161" s="522"/>
      <c r="Q161" s="522"/>
      <c r="R161" s="522"/>
      <c r="S161" s="522"/>
      <c r="T161" s="522"/>
      <c r="U161" s="522"/>
      <c r="V161" s="571" t="s">
        <v>123</v>
      </c>
      <c r="W161" s="524"/>
      <c r="X161" s="512"/>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52</v>
      </c>
      <c r="C163" s="409"/>
      <c r="D163" s="409"/>
      <c r="E163" s="409"/>
      <c r="F163" s="409"/>
      <c r="G163" s="409"/>
      <c r="H163" s="409"/>
      <c r="I163" s="409"/>
      <c r="J163" s="409"/>
      <c r="K163" s="409"/>
      <c r="L163" s="409"/>
      <c r="M163" s="409"/>
      <c r="N163" s="409"/>
      <c r="O163" s="409"/>
      <c r="P163" s="409"/>
      <c r="Q163" s="409"/>
      <c r="R163" s="409"/>
      <c r="S163" s="409"/>
      <c r="T163" s="409"/>
      <c r="U163" s="409"/>
      <c r="V163" s="450"/>
      <c r="W163" s="409"/>
      <c r="X163" s="405"/>
    </row>
    <row r="164" spans="1:24" s="513" customFormat="1" x14ac:dyDescent="0.3">
      <c r="A164" s="521"/>
      <c r="B164" s="522" t="s">
        <v>53</v>
      </c>
      <c r="C164" s="522"/>
      <c r="D164" s="522"/>
      <c r="E164" s="522"/>
      <c r="F164" s="522"/>
      <c r="G164" s="522"/>
      <c r="H164" s="522"/>
      <c r="I164" s="522"/>
      <c r="J164" s="522"/>
      <c r="K164" s="522"/>
      <c r="L164" s="522"/>
      <c r="M164" s="522"/>
      <c r="N164" s="522"/>
      <c r="O164" s="522"/>
      <c r="P164" s="522"/>
      <c r="Q164" s="522"/>
      <c r="R164" s="522"/>
      <c r="S164" s="522"/>
      <c r="T164" s="522"/>
      <c r="U164" s="522"/>
      <c r="V164" s="563">
        <v>0</v>
      </c>
      <c r="W164" s="524"/>
      <c r="X164" s="512"/>
    </row>
    <row r="165" spans="1:24" s="513" customFormat="1" x14ac:dyDescent="0.3">
      <c r="A165" s="521"/>
      <c r="B165" s="522" t="s">
        <v>54</v>
      </c>
      <c r="C165" s="522"/>
      <c r="D165" s="522"/>
      <c r="E165" s="522"/>
      <c r="F165" s="522"/>
      <c r="G165" s="522"/>
      <c r="H165" s="522"/>
      <c r="I165" s="522"/>
      <c r="J165" s="522"/>
      <c r="K165" s="522"/>
      <c r="L165" s="522"/>
      <c r="M165" s="522"/>
      <c r="N165" s="522"/>
      <c r="O165" s="522"/>
      <c r="P165" s="522"/>
      <c r="Q165" s="522"/>
      <c r="R165" s="522"/>
      <c r="S165" s="522"/>
      <c r="T165" s="522"/>
      <c r="U165" s="522"/>
      <c r="V165" s="563">
        <f>-V114</f>
        <v>-9</v>
      </c>
      <c r="W165" s="524"/>
      <c r="X165" s="512"/>
    </row>
    <row r="166" spans="1:24" s="513" customFormat="1" x14ac:dyDescent="0.3">
      <c r="A166" s="521"/>
      <c r="B166" s="522" t="s">
        <v>55</v>
      </c>
      <c r="C166" s="522"/>
      <c r="D166" s="522"/>
      <c r="E166" s="522"/>
      <c r="F166" s="522"/>
      <c r="G166" s="522"/>
      <c r="H166" s="522"/>
      <c r="I166" s="522"/>
      <c r="J166" s="522"/>
      <c r="K166" s="522"/>
      <c r="L166" s="522"/>
      <c r="M166" s="522"/>
      <c r="N166" s="522"/>
      <c r="O166" s="522"/>
      <c r="P166" s="522"/>
      <c r="Q166" s="522"/>
      <c r="R166" s="522"/>
      <c r="S166" s="522"/>
      <c r="T166" s="522"/>
      <c r="U166" s="522"/>
      <c r="V166" s="563">
        <f>V165+V164</f>
        <v>-9</v>
      </c>
      <c r="W166" s="524"/>
      <c r="X166" s="512"/>
    </row>
    <row r="167" spans="1:24" s="513" customFormat="1" x14ac:dyDescent="0.3">
      <c r="A167" s="521"/>
      <c r="B167" s="572" t="s">
        <v>310</v>
      </c>
      <c r="C167" s="522"/>
      <c r="D167" s="522"/>
      <c r="E167" s="522"/>
      <c r="F167" s="522"/>
      <c r="G167" s="522"/>
      <c r="H167" s="522"/>
      <c r="I167" s="522"/>
      <c r="J167" s="522"/>
      <c r="K167" s="522"/>
      <c r="L167" s="522"/>
      <c r="M167" s="522"/>
      <c r="N167" s="522"/>
      <c r="O167" s="522"/>
      <c r="P167" s="522"/>
      <c r="Q167" s="522"/>
      <c r="R167" s="522"/>
      <c r="S167" s="522"/>
      <c r="T167" s="522"/>
      <c r="U167" s="522"/>
      <c r="V167" s="563">
        <f>V114</f>
        <v>9</v>
      </c>
      <c r="W167" s="524"/>
      <c r="X167" s="512"/>
    </row>
    <row r="168" spans="1:24" s="513" customFormat="1" x14ac:dyDescent="0.3">
      <c r="A168" s="521"/>
      <c r="B168" s="522" t="s">
        <v>56</v>
      </c>
      <c r="C168" s="522"/>
      <c r="D168" s="522"/>
      <c r="E168" s="522"/>
      <c r="F168" s="522"/>
      <c r="G168" s="522"/>
      <c r="H168" s="522"/>
      <c r="I168" s="522"/>
      <c r="J168" s="522"/>
      <c r="K168" s="522"/>
      <c r="L168" s="522"/>
      <c r="M168" s="522"/>
      <c r="N168" s="522"/>
      <c r="O168" s="522"/>
      <c r="P168" s="522"/>
      <c r="Q168" s="522"/>
      <c r="R168" s="522"/>
      <c r="S168" s="522"/>
      <c r="T168" s="522"/>
      <c r="U168" s="522"/>
      <c r="V168" s="563">
        <f>V166+V167</f>
        <v>0</v>
      </c>
      <c r="W168" s="524"/>
      <c r="X168" s="512"/>
    </row>
    <row r="169" spans="1:24" s="513" customFormat="1" x14ac:dyDescent="0.3">
      <c r="A169" s="521"/>
      <c r="B169" s="522" t="s">
        <v>282</v>
      </c>
      <c r="C169" s="522"/>
      <c r="D169" s="522"/>
      <c r="E169" s="522"/>
      <c r="F169" s="522"/>
      <c r="G169" s="522"/>
      <c r="H169" s="522"/>
      <c r="I169" s="522"/>
      <c r="J169" s="522"/>
      <c r="K169" s="522"/>
      <c r="L169" s="522"/>
      <c r="M169" s="522"/>
      <c r="N169" s="522"/>
      <c r="O169" s="522"/>
      <c r="P169" s="522"/>
      <c r="Q169" s="522"/>
      <c r="R169" s="522"/>
      <c r="S169" s="522"/>
      <c r="T169" s="522"/>
      <c r="U169" s="522"/>
      <c r="V169" s="563">
        <f>-V99</f>
        <v>5</v>
      </c>
      <c r="W169" s="524"/>
      <c r="X169" s="512"/>
    </row>
    <row r="170" spans="1:24" ht="16.2" thickBot="1" x14ac:dyDescent="0.35">
      <c r="A170" s="407"/>
      <c r="B170" s="429"/>
      <c r="C170" s="429"/>
      <c r="D170" s="429"/>
      <c r="E170" s="429"/>
      <c r="F170" s="429"/>
      <c r="G170" s="429"/>
      <c r="H170" s="429"/>
      <c r="I170" s="429"/>
      <c r="J170" s="429"/>
      <c r="K170" s="429"/>
      <c r="L170" s="429"/>
      <c r="M170" s="429"/>
      <c r="N170" s="429"/>
      <c r="O170" s="429"/>
      <c r="P170" s="429"/>
      <c r="Q170" s="429"/>
      <c r="R170" s="429"/>
      <c r="S170" s="429"/>
      <c r="T170" s="429"/>
      <c r="U170" s="429"/>
      <c r="V170" s="449"/>
      <c r="W170" s="429"/>
      <c r="X170" s="405"/>
    </row>
    <row r="171" spans="1:24" x14ac:dyDescent="0.3">
      <c r="A171" s="403"/>
      <c r="B171" s="404"/>
      <c r="C171" s="404"/>
      <c r="D171" s="404"/>
      <c r="E171" s="404"/>
      <c r="F171" s="404"/>
      <c r="G171" s="404"/>
      <c r="H171" s="404"/>
      <c r="I171" s="404"/>
      <c r="J171" s="404"/>
      <c r="K171" s="404"/>
      <c r="L171" s="404"/>
      <c r="M171" s="404"/>
      <c r="N171" s="404"/>
      <c r="O171" s="404"/>
      <c r="P171" s="404"/>
      <c r="Q171" s="404"/>
      <c r="R171" s="404"/>
      <c r="S171" s="404"/>
      <c r="T171" s="404"/>
      <c r="U171" s="404"/>
      <c r="V171" s="451"/>
      <c r="W171" s="404"/>
      <c r="X171" s="405"/>
    </row>
    <row r="172" spans="1:24" x14ac:dyDescent="0.3">
      <c r="A172" s="407"/>
      <c r="B172" s="502" t="s">
        <v>57</v>
      </c>
      <c r="C172" s="409"/>
      <c r="D172" s="409"/>
      <c r="E172" s="409"/>
      <c r="F172" s="409"/>
      <c r="G172" s="409"/>
      <c r="H172" s="409"/>
      <c r="I172" s="409"/>
      <c r="J172" s="409"/>
      <c r="K172" s="409"/>
      <c r="L172" s="409"/>
      <c r="M172" s="409"/>
      <c r="N172" s="409"/>
      <c r="O172" s="409"/>
      <c r="P172" s="409"/>
      <c r="Q172" s="409"/>
      <c r="R172" s="409"/>
      <c r="S172" s="409"/>
      <c r="T172" s="409"/>
      <c r="U172" s="409"/>
      <c r="V172" s="433"/>
      <c r="W172" s="409"/>
      <c r="X172" s="405"/>
    </row>
    <row r="173" spans="1:24" x14ac:dyDescent="0.3">
      <c r="A173" s="407"/>
      <c r="B173" s="448"/>
      <c r="C173" s="409"/>
      <c r="D173" s="409"/>
      <c r="E173" s="409"/>
      <c r="F173" s="409"/>
      <c r="G173" s="409"/>
      <c r="H173" s="409"/>
      <c r="I173" s="409"/>
      <c r="J173" s="409"/>
      <c r="K173" s="409"/>
      <c r="L173" s="409"/>
      <c r="M173" s="409"/>
      <c r="N173" s="409"/>
      <c r="O173" s="409"/>
      <c r="P173" s="409"/>
      <c r="Q173" s="409"/>
      <c r="R173" s="409"/>
      <c r="S173" s="409"/>
      <c r="T173" s="409"/>
      <c r="U173" s="409"/>
      <c r="V173" s="433"/>
      <c r="W173" s="409"/>
      <c r="X173" s="405"/>
    </row>
    <row r="174" spans="1:24" s="513" customFormat="1" x14ac:dyDescent="0.3">
      <c r="A174" s="521"/>
      <c r="B174" s="522" t="s">
        <v>58</v>
      </c>
      <c r="C174" s="522"/>
      <c r="D174" s="522"/>
      <c r="E174" s="522"/>
      <c r="F174" s="522"/>
      <c r="G174" s="522"/>
      <c r="H174" s="522"/>
      <c r="I174" s="522"/>
      <c r="J174" s="522"/>
      <c r="K174" s="522"/>
      <c r="L174" s="522"/>
      <c r="M174" s="522"/>
      <c r="N174" s="522"/>
      <c r="O174" s="522"/>
      <c r="P174" s="522"/>
      <c r="Q174" s="522"/>
      <c r="R174" s="522"/>
      <c r="S174" s="522"/>
      <c r="T174" s="522"/>
      <c r="U174" s="522"/>
      <c r="V174" s="563">
        <f>V71</f>
        <v>729444</v>
      </c>
      <c r="W174" s="524"/>
      <c r="X174" s="512"/>
    </row>
    <row r="175" spans="1:24" s="513" customFormat="1" x14ac:dyDescent="0.3">
      <c r="A175" s="521"/>
      <c r="B175" s="522" t="s">
        <v>59</v>
      </c>
      <c r="C175" s="522"/>
      <c r="D175" s="522"/>
      <c r="E175" s="522"/>
      <c r="F175" s="522"/>
      <c r="G175" s="522"/>
      <c r="H175" s="522"/>
      <c r="I175" s="522"/>
      <c r="J175" s="522"/>
      <c r="K175" s="522"/>
      <c r="L175" s="522"/>
      <c r="M175" s="522"/>
      <c r="N175" s="522"/>
      <c r="O175" s="522"/>
      <c r="P175" s="522"/>
      <c r="Q175" s="522"/>
      <c r="R175" s="522"/>
      <c r="S175" s="522"/>
      <c r="T175" s="522"/>
      <c r="U175" s="522"/>
      <c r="V175" s="563">
        <f>V84</f>
        <v>729444</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60</v>
      </c>
      <c r="C178" s="434"/>
      <c r="D178" s="434"/>
      <c r="E178" s="434"/>
      <c r="F178" s="434"/>
      <c r="G178" s="434"/>
      <c r="H178" s="452"/>
      <c r="I178" s="452"/>
      <c r="J178" s="452"/>
      <c r="K178" s="452"/>
      <c r="L178" s="452"/>
      <c r="M178" s="452"/>
      <c r="N178" s="452"/>
      <c r="O178" s="452"/>
      <c r="P178" s="452"/>
      <c r="Q178" s="452"/>
      <c r="R178" s="452"/>
      <c r="S178" s="503" t="s">
        <v>103</v>
      </c>
      <c r="T178" s="503" t="s">
        <v>182</v>
      </c>
      <c r="U178" s="411"/>
      <c r="V178" s="504" t="s">
        <v>119</v>
      </c>
      <c r="W178" s="453"/>
      <c r="X178" s="405"/>
    </row>
    <row r="179" spans="1:24" s="513" customFormat="1" x14ac:dyDescent="0.3">
      <c r="A179" s="521"/>
      <c r="B179" s="522" t="s">
        <v>61</v>
      </c>
      <c r="C179" s="522"/>
      <c r="D179" s="522"/>
      <c r="E179" s="522"/>
      <c r="F179" s="522"/>
      <c r="G179" s="522"/>
      <c r="H179" s="522"/>
      <c r="I179" s="522"/>
      <c r="J179" s="522"/>
      <c r="K179" s="522"/>
      <c r="L179" s="522"/>
      <c r="M179" s="522"/>
      <c r="N179" s="522"/>
      <c r="O179" s="522"/>
      <c r="P179" s="522"/>
      <c r="Q179" s="522"/>
      <c r="R179" s="522"/>
      <c r="S179" s="563">
        <f>+V34*0.16</f>
        <v>240032.80000000002</v>
      </c>
      <c r="T179" s="542"/>
      <c r="U179" s="522"/>
      <c r="V179" s="563"/>
      <c r="W179" s="524"/>
      <c r="X179" s="512"/>
    </row>
    <row r="180" spans="1:24" s="513" customFormat="1" x14ac:dyDescent="0.3">
      <c r="A180" s="521"/>
      <c r="B180" s="522" t="s">
        <v>62</v>
      </c>
      <c r="C180" s="522"/>
      <c r="D180" s="522"/>
      <c r="E180" s="522"/>
      <c r="F180" s="522"/>
      <c r="G180" s="522"/>
      <c r="H180" s="522"/>
      <c r="I180" s="522"/>
      <c r="J180" s="522"/>
      <c r="K180" s="522"/>
      <c r="L180" s="522"/>
      <c r="M180" s="522"/>
      <c r="N180" s="522"/>
      <c r="O180" s="522"/>
      <c r="P180" s="522"/>
      <c r="Q180" s="522"/>
      <c r="R180" s="522"/>
      <c r="S180" s="563">
        <f>+'April 18'!S182</f>
        <v>56376</v>
      </c>
      <c r="T180" s="563">
        <f>+'April 18'!T182</f>
        <v>6370</v>
      </c>
      <c r="U180" s="522"/>
      <c r="V180" s="563">
        <f>S180+T180</f>
        <v>62746</v>
      </c>
      <c r="W180" s="524"/>
      <c r="X180" s="512"/>
    </row>
    <row r="181" spans="1:24" s="513" customFormat="1" x14ac:dyDescent="0.3">
      <c r="A181" s="521"/>
      <c r="B181" s="522" t="s">
        <v>63</v>
      </c>
      <c r="C181" s="522"/>
      <c r="D181" s="522"/>
      <c r="E181" s="522"/>
      <c r="F181" s="522"/>
      <c r="G181" s="522"/>
      <c r="H181" s="522"/>
      <c r="I181" s="522"/>
      <c r="J181" s="522"/>
      <c r="K181" s="522"/>
      <c r="L181" s="522"/>
      <c r="M181" s="522"/>
      <c r="N181" s="522"/>
      <c r="O181" s="522"/>
      <c r="P181" s="522"/>
      <c r="Q181" s="522"/>
      <c r="R181" s="522"/>
      <c r="S181" s="562">
        <v>396</v>
      </c>
      <c r="T181" s="562">
        <v>0</v>
      </c>
      <c r="U181" s="522"/>
      <c r="V181" s="563">
        <f>S181+T181</f>
        <v>396</v>
      </c>
      <c r="W181" s="524"/>
      <c r="X181" s="512"/>
    </row>
    <row r="182" spans="1:24" s="513" customFormat="1" x14ac:dyDescent="0.3">
      <c r="A182" s="521"/>
      <c r="B182" s="522" t="s">
        <v>64</v>
      </c>
      <c r="C182" s="522"/>
      <c r="D182" s="522"/>
      <c r="E182" s="522"/>
      <c r="F182" s="522"/>
      <c r="G182" s="522"/>
      <c r="H182" s="522"/>
      <c r="I182" s="522"/>
      <c r="J182" s="522"/>
      <c r="K182" s="522"/>
      <c r="L182" s="522"/>
      <c r="M182" s="522"/>
      <c r="N182" s="522"/>
      <c r="O182" s="522"/>
      <c r="P182" s="522"/>
      <c r="Q182" s="522"/>
      <c r="R182" s="522"/>
      <c r="S182" s="563">
        <f>S180+S181</f>
        <v>56772</v>
      </c>
      <c r="T182" s="563">
        <f>T181+T180</f>
        <v>6370</v>
      </c>
      <c r="U182" s="522"/>
      <c r="V182" s="563">
        <f>S182+T182</f>
        <v>63142</v>
      </c>
      <c r="W182" s="524"/>
      <c r="X182" s="512"/>
    </row>
    <row r="183" spans="1:24" s="513" customFormat="1" x14ac:dyDescent="0.3">
      <c r="A183" s="521"/>
      <c r="B183" s="522" t="s">
        <v>65</v>
      </c>
      <c r="C183" s="522"/>
      <c r="D183" s="522"/>
      <c r="E183" s="522"/>
      <c r="F183" s="522"/>
      <c r="G183" s="522"/>
      <c r="H183" s="522"/>
      <c r="I183" s="522"/>
      <c r="J183" s="522"/>
      <c r="K183" s="522"/>
      <c r="L183" s="522"/>
      <c r="M183" s="522"/>
      <c r="N183" s="522"/>
      <c r="O183" s="522"/>
      <c r="P183" s="522"/>
      <c r="Q183" s="522"/>
      <c r="R183" s="522"/>
      <c r="S183" s="563">
        <f>S179-S182-T182</f>
        <v>176890.80000000002</v>
      </c>
      <c r="T183" s="542"/>
      <c r="U183" s="522"/>
      <c r="V183" s="563"/>
      <c r="W183" s="524"/>
      <c r="X183" s="512"/>
    </row>
    <row r="184" spans="1:24" ht="16.2" thickBot="1" x14ac:dyDescent="0.35">
      <c r="A184" s="407"/>
      <c r="B184" s="429"/>
      <c r="C184" s="429"/>
      <c r="D184" s="429"/>
      <c r="E184" s="429"/>
      <c r="F184" s="429"/>
      <c r="G184" s="429"/>
      <c r="H184" s="429"/>
      <c r="I184" s="429"/>
      <c r="J184" s="429"/>
      <c r="K184" s="429"/>
      <c r="L184" s="429"/>
      <c r="M184" s="429"/>
      <c r="N184" s="429"/>
      <c r="O184" s="429"/>
      <c r="P184" s="429"/>
      <c r="Q184" s="429"/>
      <c r="R184" s="429"/>
      <c r="S184" s="429"/>
      <c r="T184" s="429"/>
      <c r="U184" s="429"/>
      <c r="V184" s="449"/>
      <c r="W184" s="429"/>
      <c r="X184" s="405"/>
    </row>
    <row r="185" spans="1:24" x14ac:dyDescent="0.3">
      <c r="A185" s="403"/>
      <c r="B185" s="404"/>
      <c r="C185" s="404"/>
      <c r="D185" s="404"/>
      <c r="E185" s="404"/>
      <c r="F185" s="404"/>
      <c r="G185" s="404"/>
      <c r="H185" s="404"/>
      <c r="I185" s="404"/>
      <c r="J185" s="404"/>
      <c r="K185" s="404"/>
      <c r="L185" s="404"/>
      <c r="M185" s="404"/>
      <c r="N185" s="404"/>
      <c r="O185" s="404"/>
      <c r="P185" s="404"/>
      <c r="Q185" s="404"/>
      <c r="R185" s="404"/>
      <c r="S185" s="404"/>
      <c r="T185" s="404"/>
      <c r="U185" s="404"/>
      <c r="V185" s="451"/>
      <c r="W185" s="404"/>
      <c r="X185" s="405"/>
    </row>
    <row r="186" spans="1:24" x14ac:dyDescent="0.3">
      <c r="A186" s="407"/>
      <c r="B186" s="502" t="s">
        <v>66</v>
      </c>
      <c r="C186" s="409"/>
      <c r="D186" s="409"/>
      <c r="E186" s="409"/>
      <c r="F186" s="409"/>
      <c r="G186" s="409"/>
      <c r="H186" s="409"/>
      <c r="I186" s="409"/>
      <c r="J186" s="409"/>
      <c r="K186" s="409"/>
      <c r="L186" s="409"/>
      <c r="M186" s="409"/>
      <c r="N186" s="409"/>
      <c r="O186" s="409"/>
      <c r="P186" s="409"/>
      <c r="Q186" s="409"/>
      <c r="R186" s="409"/>
      <c r="S186" s="409"/>
      <c r="T186" s="409"/>
      <c r="U186" s="409"/>
      <c r="V186" s="454"/>
      <c r="W186" s="409"/>
      <c r="X186" s="405"/>
    </row>
    <row r="187" spans="1:24" s="513" customFormat="1" x14ac:dyDescent="0.3">
      <c r="A187" s="521"/>
      <c r="B187" s="522" t="s">
        <v>67</v>
      </c>
      <c r="C187" s="522"/>
      <c r="D187" s="522"/>
      <c r="E187" s="522"/>
      <c r="F187" s="522"/>
      <c r="G187" s="522"/>
      <c r="H187" s="522"/>
      <c r="I187" s="522"/>
      <c r="J187" s="522"/>
      <c r="K187" s="522"/>
      <c r="L187" s="522"/>
      <c r="M187" s="522"/>
      <c r="N187" s="522"/>
      <c r="O187" s="522"/>
      <c r="P187" s="522"/>
      <c r="Q187" s="522"/>
      <c r="R187" s="522"/>
      <c r="S187" s="522"/>
      <c r="T187" s="522"/>
      <c r="U187" s="522"/>
      <c r="V187" s="571">
        <f>(V100+V102+V103+V104+V105)/-(V106+V107)</f>
        <v>3.8228995057660624</v>
      </c>
      <c r="W187" s="524" t="s">
        <v>120</v>
      </c>
      <c r="X187" s="512"/>
    </row>
    <row r="188" spans="1:24" s="513" customFormat="1" x14ac:dyDescent="0.3">
      <c r="A188" s="521"/>
      <c r="B188" s="522" t="s">
        <v>68</v>
      </c>
      <c r="C188" s="522"/>
      <c r="D188" s="522"/>
      <c r="E188" s="522"/>
      <c r="F188" s="522"/>
      <c r="G188" s="522"/>
      <c r="H188" s="522"/>
      <c r="I188" s="522"/>
      <c r="J188" s="522"/>
      <c r="K188" s="522"/>
      <c r="L188" s="522"/>
      <c r="M188" s="522"/>
      <c r="N188" s="522"/>
      <c r="O188" s="522"/>
      <c r="P188" s="522"/>
      <c r="Q188" s="522"/>
      <c r="R188" s="522"/>
      <c r="S188" s="522"/>
      <c r="T188" s="522"/>
      <c r="U188" s="522"/>
      <c r="V188" s="573">
        <v>1.94</v>
      </c>
      <c r="W188" s="524" t="s">
        <v>120</v>
      </c>
      <c r="X188" s="512"/>
    </row>
    <row r="189" spans="1:24" s="513" customFormat="1" x14ac:dyDescent="0.3">
      <c r="A189" s="521"/>
      <c r="B189" s="522" t="s">
        <v>69</v>
      </c>
      <c r="C189" s="522"/>
      <c r="D189" s="522"/>
      <c r="E189" s="522"/>
      <c r="F189" s="522"/>
      <c r="G189" s="522"/>
      <c r="H189" s="522"/>
      <c r="I189" s="522"/>
      <c r="J189" s="522"/>
      <c r="K189" s="522"/>
      <c r="L189" s="522"/>
      <c r="M189" s="522"/>
      <c r="N189" s="522"/>
      <c r="O189" s="522"/>
      <c r="P189" s="522"/>
      <c r="Q189" s="522"/>
      <c r="R189" s="522"/>
      <c r="S189" s="522"/>
      <c r="T189" s="522"/>
      <c r="U189" s="522"/>
      <c r="V189" s="571">
        <f>(V100+V102+V103+V104+V105+V106+V107)/-(V108+V109)</f>
        <v>10.709375</v>
      </c>
      <c r="W189" s="524" t="s">
        <v>120</v>
      </c>
      <c r="X189" s="512"/>
    </row>
    <row r="190" spans="1:24" s="513" customFormat="1" x14ac:dyDescent="0.3">
      <c r="A190" s="521"/>
      <c r="B190" s="522" t="s">
        <v>70</v>
      </c>
      <c r="C190" s="522"/>
      <c r="D190" s="522"/>
      <c r="E190" s="522"/>
      <c r="F190" s="522"/>
      <c r="G190" s="522"/>
      <c r="H190" s="522"/>
      <c r="I190" s="522"/>
      <c r="J190" s="522"/>
      <c r="K190" s="522"/>
      <c r="L190" s="522"/>
      <c r="M190" s="522"/>
      <c r="N190" s="522"/>
      <c r="O190" s="522"/>
      <c r="P190" s="522"/>
      <c r="Q190" s="522"/>
      <c r="R190" s="522"/>
      <c r="S190" s="522"/>
      <c r="T190" s="522"/>
      <c r="U190" s="522"/>
      <c r="V190" s="573">
        <v>7.59</v>
      </c>
      <c r="W190" s="524" t="s">
        <v>120</v>
      </c>
      <c r="X190" s="512"/>
    </row>
    <row r="191" spans="1:24" s="513" customFormat="1" x14ac:dyDescent="0.3">
      <c r="A191" s="521"/>
      <c r="B191" s="522" t="s">
        <v>204</v>
      </c>
      <c r="C191" s="522"/>
      <c r="D191" s="522"/>
      <c r="E191" s="522"/>
      <c r="F191" s="522"/>
      <c r="G191" s="522"/>
      <c r="H191" s="522"/>
      <c r="I191" s="522"/>
      <c r="J191" s="522"/>
      <c r="K191" s="522"/>
      <c r="L191" s="522"/>
      <c r="M191" s="522"/>
      <c r="N191" s="522"/>
      <c r="O191" s="522"/>
      <c r="P191" s="522"/>
      <c r="Q191" s="522"/>
      <c r="R191" s="522"/>
      <c r="S191" s="522"/>
      <c r="T191" s="522"/>
      <c r="U191" s="522"/>
      <c r="V191" s="571">
        <f>(V100+V102+V103+V104+V105+V106+V107+V108+V109)/-(V110+V111)</f>
        <v>8.5592286501377419</v>
      </c>
      <c r="W191" s="524" t="s">
        <v>120</v>
      </c>
      <c r="X191" s="512"/>
    </row>
    <row r="192" spans="1:24" s="513" customFormat="1" x14ac:dyDescent="0.3">
      <c r="A192" s="521"/>
      <c r="B192" s="522" t="s">
        <v>205</v>
      </c>
      <c r="C192" s="522"/>
      <c r="D192" s="522"/>
      <c r="E192" s="522"/>
      <c r="F192" s="522"/>
      <c r="G192" s="522"/>
      <c r="H192" s="522"/>
      <c r="I192" s="522"/>
      <c r="J192" s="522"/>
      <c r="K192" s="522"/>
      <c r="L192" s="522"/>
      <c r="M192" s="522"/>
      <c r="N192" s="522"/>
      <c r="O192" s="522"/>
      <c r="P192" s="522"/>
      <c r="Q192" s="522"/>
      <c r="R192" s="522"/>
      <c r="S192" s="522"/>
      <c r="T192" s="522"/>
      <c r="U192" s="522"/>
      <c r="V192" s="573">
        <v>6.95</v>
      </c>
      <c r="W192" s="524" t="s">
        <v>120</v>
      </c>
      <c r="X192" s="512"/>
    </row>
    <row r="193" spans="1:24" s="513" customFormat="1" x14ac:dyDescent="0.3">
      <c r="A193" s="521"/>
      <c r="B193" s="522"/>
      <c r="C193" s="522"/>
      <c r="D193" s="522"/>
      <c r="E193" s="522"/>
      <c r="F193" s="522"/>
      <c r="G193" s="522"/>
      <c r="H193" s="522"/>
      <c r="I193" s="522"/>
      <c r="J193" s="522"/>
      <c r="K193" s="522"/>
      <c r="L193" s="522"/>
      <c r="M193" s="522"/>
      <c r="N193" s="522"/>
      <c r="O193" s="522"/>
      <c r="P193" s="522"/>
      <c r="Q193" s="522"/>
      <c r="R193" s="522"/>
      <c r="S193" s="522"/>
      <c r="T193" s="522"/>
      <c r="U193" s="522"/>
      <c r="V193" s="522"/>
      <c r="W193" s="524"/>
      <c r="X193" s="512"/>
    </row>
    <row r="194" spans="1:24" s="513" customFormat="1" x14ac:dyDescent="0.3">
      <c r="A194" s="509"/>
      <c r="B194" s="552"/>
      <c r="C194" s="552"/>
      <c r="D194" s="552"/>
      <c r="E194" s="552"/>
      <c r="F194" s="552"/>
      <c r="G194" s="552"/>
      <c r="H194" s="552"/>
      <c r="I194" s="552"/>
      <c r="J194" s="552"/>
      <c r="K194" s="552"/>
      <c r="L194" s="552"/>
      <c r="M194" s="552"/>
      <c r="N194" s="552"/>
      <c r="O194" s="552"/>
      <c r="P194" s="552"/>
      <c r="Q194" s="552"/>
      <c r="R194" s="552"/>
      <c r="S194" s="552"/>
      <c r="T194" s="552"/>
      <c r="U194" s="552"/>
      <c r="V194" s="552"/>
      <c r="W194" s="552"/>
      <c r="X194" s="512"/>
    </row>
    <row r="195" spans="1:24" s="513" customFormat="1" x14ac:dyDescent="0.3">
      <c r="A195" s="509"/>
      <c r="B195" s="510"/>
      <c r="C195" s="510"/>
      <c r="D195" s="510"/>
      <c r="E195" s="510"/>
      <c r="F195" s="510"/>
      <c r="G195" s="510"/>
      <c r="H195" s="510"/>
      <c r="I195" s="510"/>
      <c r="J195" s="510"/>
      <c r="K195" s="510"/>
      <c r="L195" s="510"/>
      <c r="M195" s="510"/>
      <c r="N195" s="510"/>
      <c r="O195" s="510"/>
      <c r="P195" s="510"/>
      <c r="Q195" s="510"/>
      <c r="R195" s="510"/>
      <c r="S195" s="510"/>
      <c r="T195" s="510"/>
      <c r="U195" s="510"/>
      <c r="V195" s="510"/>
      <c r="W195" s="510"/>
      <c r="X195" s="512"/>
    </row>
    <row r="196" spans="1:24" s="513" customFormat="1" ht="18.600000000000001" thickBot="1" x14ac:dyDescent="0.4">
      <c r="A196" s="557"/>
      <c r="B196" s="558" t="str">
        <f>B136</f>
        <v>PM12 INVESTOR REPORT QUARTER ENDING JULY 2018</v>
      </c>
      <c r="C196" s="559"/>
      <c r="D196" s="559"/>
      <c r="E196" s="559"/>
      <c r="F196" s="559"/>
      <c r="G196" s="559"/>
      <c r="H196" s="559"/>
      <c r="I196" s="559"/>
      <c r="J196" s="559"/>
      <c r="K196" s="559"/>
      <c r="L196" s="559"/>
      <c r="M196" s="559"/>
      <c r="N196" s="559"/>
      <c r="O196" s="559"/>
      <c r="P196" s="559"/>
      <c r="Q196" s="559"/>
      <c r="R196" s="559"/>
      <c r="S196" s="559"/>
      <c r="T196" s="559"/>
      <c r="U196" s="559"/>
      <c r="V196" s="559"/>
      <c r="W196" s="561"/>
      <c r="X196" s="512"/>
    </row>
    <row r="197" spans="1:24" x14ac:dyDescent="0.3">
      <c r="A197" s="444"/>
      <c r="B197" s="445" t="s">
        <v>71</v>
      </c>
      <c r="C197" s="455"/>
      <c r="D197" s="455"/>
      <c r="E197" s="455"/>
      <c r="F197" s="455"/>
      <c r="G197" s="456"/>
      <c r="H197" s="456"/>
      <c r="I197" s="456"/>
      <c r="J197" s="456"/>
      <c r="K197" s="456"/>
      <c r="L197" s="456"/>
      <c r="M197" s="456"/>
      <c r="N197" s="456"/>
      <c r="O197" s="456"/>
      <c r="P197" s="456"/>
      <c r="Q197" s="456"/>
      <c r="R197" s="456"/>
      <c r="S197" s="456"/>
      <c r="T197" s="456">
        <v>43312</v>
      </c>
      <c r="U197" s="446"/>
      <c r="V197" s="446"/>
      <c r="W197" s="446"/>
      <c r="X197" s="405"/>
    </row>
    <row r="198" spans="1:24" x14ac:dyDescent="0.3">
      <c r="A198" s="457"/>
      <c r="B198" s="458"/>
      <c r="C198" s="459"/>
      <c r="D198" s="459"/>
      <c r="E198" s="459"/>
      <c r="F198" s="459"/>
      <c r="G198" s="460"/>
      <c r="H198" s="460"/>
      <c r="I198" s="460"/>
      <c r="J198" s="460"/>
      <c r="K198" s="460"/>
      <c r="L198" s="460"/>
      <c r="M198" s="460"/>
      <c r="N198" s="460"/>
      <c r="O198" s="460"/>
      <c r="P198" s="460"/>
      <c r="Q198" s="460"/>
      <c r="R198" s="460"/>
      <c r="S198" s="460"/>
      <c r="T198" s="460"/>
      <c r="U198" s="409"/>
      <c r="V198" s="409"/>
      <c r="W198" s="409"/>
      <c r="X198" s="405"/>
    </row>
    <row r="199" spans="1:24" s="513" customFormat="1" x14ac:dyDescent="0.3">
      <c r="A199" s="521"/>
      <c r="B199" s="522" t="s">
        <v>72</v>
      </c>
      <c r="C199" s="574"/>
      <c r="D199" s="574"/>
      <c r="E199" s="574"/>
      <c r="F199" s="574"/>
      <c r="G199" s="546"/>
      <c r="H199" s="546"/>
      <c r="I199" s="546"/>
      <c r="J199" s="546"/>
      <c r="K199" s="546"/>
      <c r="L199" s="546"/>
      <c r="M199" s="546"/>
      <c r="N199" s="546"/>
      <c r="O199" s="546"/>
      <c r="P199" s="546"/>
      <c r="Q199" s="546"/>
      <c r="R199" s="546"/>
      <c r="S199" s="546"/>
      <c r="T199" s="539">
        <v>5.2060000000000002E-2</v>
      </c>
      <c r="U199" s="522"/>
      <c r="V199" s="522"/>
      <c r="W199" s="524"/>
      <c r="X199" s="512"/>
    </row>
    <row r="200" spans="1:24" s="513" customFormat="1" x14ac:dyDescent="0.3">
      <c r="A200" s="521"/>
      <c r="B200" s="522" t="s">
        <v>156</v>
      </c>
      <c r="C200" s="574"/>
      <c r="D200" s="574"/>
      <c r="E200" s="574"/>
      <c r="F200" s="574"/>
      <c r="G200" s="546"/>
      <c r="H200" s="546"/>
      <c r="I200" s="546"/>
      <c r="J200" s="546"/>
      <c r="K200" s="546"/>
      <c r="L200" s="546"/>
      <c r="M200" s="546"/>
      <c r="N200" s="546"/>
      <c r="O200" s="546"/>
      <c r="P200" s="546"/>
      <c r="Q200" s="546"/>
      <c r="R200" s="546"/>
      <c r="S200" s="546"/>
      <c r="T200" s="539">
        <f>'Oct 06'!T197</f>
        <v>4.8538814772447772E-2</v>
      </c>
      <c r="U200" s="522"/>
      <c r="V200" s="522"/>
      <c r="W200" s="524"/>
      <c r="X200" s="512"/>
    </row>
    <row r="201" spans="1:24" s="513" customFormat="1" x14ac:dyDescent="0.3">
      <c r="A201" s="521"/>
      <c r="B201" s="522" t="s">
        <v>73</v>
      </c>
      <c r="C201" s="574"/>
      <c r="D201" s="574"/>
      <c r="E201" s="574"/>
      <c r="F201" s="574"/>
      <c r="G201" s="546"/>
      <c r="H201" s="546"/>
      <c r="I201" s="546"/>
      <c r="J201" s="546"/>
      <c r="K201" s="546"/>
      <c r="L201" s="546"/>
      <c r="M201" s="546"/>
      <c r="N201" s="546"/>
      <c r="O201" s="546"/>
      <c r="P201" s="546"/>
      <c r="Q201" s="546"/>
      <c r="R201" s="546"/>
      <c r="S201" s="546"/>
      <c r="T201" s="539">
        <f>T199-T200</f>
        <v>3.5211852275522301E-3</v>
      </c>
      <c r="U201" s="522"/>
      <c r="V201" s="522"/>
      <c r="W201" s="524"/>
      <c r="X201" s="512"/>
    </row>
    <row r="202" spans="1:24" s="513" customFormat="1" x14ac:dyDescent="0.3">
      <c r="A202" s="521"/>
      <c r="B202" s="522" t="s">
        <v>74</v>
      </c>
      <c r="C202" s="574"/>
      <c r="D202" s="574"/>
      <c r="E202" s="574"/>
      <c r="F202" s="574"/>
      <c r="G202" s="546"/>
      <c r="H202" s="546"/>
      <c r="I202" s="546"/>
      <c r="J202" s="546"/>
      <c r="K202" s="546"/>
      <c r="L202" s="546"/>
      <c r="M202" s="546"/>
      <c r="N202" s="546"/>
      <c r="O202" s="546"/>
      <c r="P202" s="546"/>
      <c r="Q202" s="546"/>
      <c r="R202" s="546"/>
      <c r="S202" s="546"/>
      <c r="T202" s="539">
        <v>2.3730000000000001E-2</v>
      </c>
      <c r="U202" s="522"/>
      <c r="V202" s="522"/>
      <c r="W202" s="524"/>
      <c r="X202" s="512"/>
    </row>
    <row r="203" spans="1:24" s="513" customFormat="1" x14ac:dyDescent="0.3">
      <c r="A203" s="521"/>
      <c r="B203" s="522" t="s">
        <v>225</v>
      </c>
      <c r="C203" s="574"/>
      <c r="D203" s="574"/>
      <c r="E203" s="574"/>
      <c r="F203" s="574"/>
      <c r="G203" s="546"/>
      <c r="H203" s="546"/>
      <c r="I203" s="546"/>
      <c r="J203" s="546"/>
      <c r="K203" s="546"/>
      <c r="L203" s="546"/>
      <c r="M203" s="546"/>
      <c r="N203" s="546"/>
      <c r="O203" s="546"/>
      <c r="P203" s="546"/>
      <c r="Q203" s="546"/>
      <c r="R203" s="546"/>
      <c r="S203" s="546"/>
      <c r="T203" s="539">
        <f>V43</f>
        <v>1.0170060850844669E-2</v>
      </c>
      <c r="U203" s="522"/>
      <c r="V203" s="522"/>
      <c r="W203" s="524"/>
      <c r="X203" s="512"/>
    </row>
    <row r="204" spans="1:24" s="513" customFormat="1" x14ac:dyDescent="0.3">
      <c r="A204" s="521"/>
      <c r="B204" s="522" t="s">
        <v>75</v>
      </c>
      <c r="C204" s="574"/>
      <c r="D204" s="574"/>
      <c r="E204" s="574"/>
      <c r="F204" s="574"/>
      <c r="G204" s="546"/>
      <c r="H204" s="546"/>
      <c r="I204" s="546"/>
      <c r="J204" s="546"/>
      <c r="K204" s="546"/>
      <c r="L204" s="546"/>
      <c r="M204" s="546"/>
      <c r="N204" s="546"/>
      <c r="O204" s="546"/>
      <c r="P204" s="546"/>
      <c r="Q204" s="546"/>
      <c r="R204" s="546"/>
      <c r="S204" s="546"/>
      <c r="T204" s="539">
        <f>T202-T203</f>
        <v>1.3559939149155332E-2</v>
      </c>
      <c r="U204" s="522"/>
      <c r="V204" s="522"/>
      <c r="W204" s="524"/>
      <c r="X204" s="512"/>
    </row>
    <row r="205" spans="1:24" s="513" customFormat="1" x14ac:dyDescent="0.3">
      <c r="A205" s="521"/>
      <c r="B205" s="522" t="s">
        <v>271</v>
      </c>
      <c r="C205" s="574"/>
      <c r="D205" s="574"/>
      <c r="E205" s="574"/>
      <c r="F205" s="574"/>
      <c r="G205" s="546"/>
      <c r="H205" s="546"/>
      <c r="I205" s="546"/>
      <c r="J205" s="546"/>
      <c r="K205" s="546"/>
      <c r="L205" s="546"/>
      <c r="M205" s="546"/>
      <c r="N205" s="546"/>
      <c r="O205" s="546"/>
      <c r="P205" s="546"/>
      <c r="Q205" s="546"/>
      <c r="R205" s="546"/>
      <c r="S205" s="546"/>
      <c r="T205" s="539">
        <f>+V100/N71</f>
        <v>6.7459207648169093E-3</v>
      </c>
      <c r="U205" s="522"/>
      <c r="V205" s="522"/>
      <c r="W205" s="524"/>
      <c r="X205" s="512"/>
    </row>
    <row r="206" spans="1:24" s="513" customFormat="1" x14ac:dyDescent="0.3">
      <c r="A206" s="521"/>
      <c r="B206" s="522" t="s">
        <v>214</v>
      </c>
      <c r="C206" s="574"/>
      <c r="D206" s="574"/>
      <c r="E206" s="574"/>
      <c r="F206" s="574"/>
      <c r="G206" s="546"/>
      <c r="H206" s="546"/>
      <c r="I206" s="546"/>
      <c r="J206" s="546"/>
      <c r="K206" s="546"/>
      <c r="L206" s="546"/>
      <c r="M206" s="546"/>
      <c r="N206" s="546"/>
      <c r="O206" s="546"/>
      <c r="P206" s="546"/>
      <c r="Q206" s="546"/>
      <c r="R206" s="546"/>
      <c r="S206" s="546"/>
      <c r="T206" s="575">
        <v>50710</v>
      </c>
      <c r="U206" s="522"/>
      <c r="V206" s="522"/>
      <c r="W206" s="524"/>
      <c r="X206" s="512"/>
    </row>
    <row r="207" spans="1:24" s="513" customFormat="1" x14ac:dyDescent="0.3">
      <c r="A207" s="521"/>
      <c r="B207" s="522" t="s">
        <v>215</v>
      </c>
      <c r="C207" s="574"/>
      <c r="D207" s="574"/>
      <c r="E207" s="574"/>
      <c r="F207" s="574"/>
      <c r="G207" s="546"/>
      <c r="H207" s="546"/>
      <c r="I207" s="546"/>
      <c r="J207" s="546"/>
      <c r="K207" s="546"/>
      <c r="L207" s="546"/>
      <c r="M207" s="546"/>
      <c r="N207" s="546"/>
      <c r="O207" s="546"/>
      <c r="P207" s="546"/>
      <c r="Q207" s="546"/>
      <c r="R207" s="546"/>
      <c r="S207" s="546"/>
      <c r="T207" s="575">
        <v>50710</v>
      </c>
      <c r="U207" s="522"/>
      <c r="V207" s="522"/>
      <c r="W207" s="524"/>
      <c r="X207" s="512"/>
    </row>
    <row r="208" spans="1:24" s="513" customFormat="1" x14ac:dyDescent="0.3">
      <c r="A208" s="521"/>
      <c r="B208" s="522" t="s">
        <v>216</v>
      </c>
      <c r="C208" s="574"/>
      <c r="D208" s="574"/>
      <c r="E208" s="574"/>
      <c r="F208" s="574"/>
      <c r="G208" s="546"/>
      <c r="H208" s="546"/>
      <c r="I208" s="546"/>
      <c r="J208" s="546"/>
      <c r="K208" s="546"/>
      <c r="L208" s="546"/>
      <c r="M208" s="546"/>
      <c r="N208" s="546"/>
      <c r="O208" s="546"/>
      <c r="P208" s="546"/>
      <c r="Q208" s="546"/>
      <c r="R208" s="546"/>
      <c r="S208" s="546"/>
      <c r="T208" s="575">
        <v>50710</v>
      </c>
      <c r="U208" s="522"/>
      <c r="V208" s="522"/>
      <c r="W208" s="524"/>
      <c r="X208" s="512"/>
    </row>
    <row r="209" spans="1:24" s="513" customFormat="1" x14ac:dyDescent="0.3">
      <c r="A209" s="521"/>
      <c r="B209" s="522" t="s">
        <v>76</v>
      </c>
      <c r="C209" s="574"/>
      <c r="D209" s="574"/>
      <c r="E209" s="574"/>
      <c r="F209" s="574"/>
      <c r="G209" s="546"/>
      <c r="H209" s="546"/>
      <c r="I209" s="546"/>
      <c r="J209" s="546"/>
      <c r="K209" s="546"/>
      <c r="L209" s="546"/>
      <c r="M209" s="546"/>
      <c r="N209" s="546"/>
      <c r="O209" s="546"/>
      <c r="P209" s="546"/>
      <c r="Q209" s="546"/>
      <c r="R209" s="546"/>
      <c r="S209" s="546"/>
      <c r="T209" s="544">
        <v>21.06</v>
      </c>
      <c r="U209" s="522" t="s">
        <v>115</v>
      </c>
      <c r="V209" s="522"/>
      <c r="W209" s="524"/>
      <c r="X209" s="512"/>
    </row>
    <row r="210" spans="1:24" s="513" customFormat="1" x14ac:dyDescent="0.3">
      <c r="A210" s="521"/>
      <c r="B210" s="522" t="s">
        <v>77</v>
      </c>
      <c r="C210" s="574"/>
      <c r="D210" s="574"/>
      <c r="E210" s="574"/>
      <c r="F210" s="574"/>
      <c r="G210" s="546"/>
      <c r="H210" s="546"/>
      <c r="I210" s="546"/>
      <c r="J210" s="546"/>
      <c r="K210" s="546"/>
      <c r="L210" s="546"/>
      <c r="M210" s="546"/>
      <c r="N210" s="546"/>
      <c r="O210" s="546"/>
      <c r="P210" s="546"/>
      <c r="Q210" s="546"/>
      <c r="R210" s="546"/>
      <c r="S210" s="546"/>
      <c r="T210" s="544">
        <v>9.75</v>
      </c>
      <c r="U210" s="522" t="s">
        <v>115</v>
      </c>
      <c r="V210" s="522"/>
      <c r="W210" s="524"/>
      <c r="X210" s="512"/>
    </row>
    <row r="211" spans="1:24" s="513" customFormat="1" x14ac:dyDescent="0.3">
      <c r="A211" s="521"/>
      <c r="B211" s="522" t="s">
        <v>78</v>
      </c>
      <c r="C211" s="574"/>
      <c r="D211" s="574"/>
      <c r="E211" s="574"/>
      <c r="F211" s="574"/>
      <c r="G211" s="546"/>
      <c r="H211" s="546"/>
      <c r="I211" s="546"/>
      <c r="J211" s="546"/>
      <c r="K211" s="546"/>
      <c r="L211" s="546"/>
      <c r="M211" s="546"/>
      <c r="N211" s="546"/>
      <c r="O211" s="546"/>
      <c r="P211" s="546"/>
      <c r="Q211" s="546"/>
      <c r="R211" s="546"/>
      <c r="S211" s="546"/>
      <c r="T211" s="539">
        <f>P68/N68</f>
        <v>1.500099304060928E-2</v>
      </c>
      <c r="U211" s="522"/>
      <c r="V211" s="522"/>
      <c r="W211" s="524"/>
      <c r="X211" s="512"/>
    </row>
    <row r="212" spans="1:24" s="513" customFormat="1" x14ac:dyDescent="0.3">
      <c r="A212" s="521"/>
      <c r="B212" s="522" t="s">
        <v>79</v>
      </c>
      <c r="C212" s="574"/>
      <c r="D212" s="574"/>
      <c r="E212" s="574"/>
      <c r="F212" s="574"/>
      <c r="G212" s="546"/>
      <c r="H212" s="546"/>
      <c r="I212" s="546"/>
      <c r="J212" s="546"/>
      <c r="K212" s="546"/>
      <c r="L212" s="546"/>
      <c r="M212" s="546"/>
      <c r="N212" s="546"/>
      <c r="O212" s="546"/>
      <c r="P212" s="546"/>
      <c r="Q212" s="546"/>
      <c r="R212" s="546"/>
      <c r="S212" s="546"/>
      <c r="T212" s="539">
        <v>6.2199999999999998E-2</v>
      </c>
      <c r="U212" s="522"/>
      <c r="V212" s="522"/>
      <c r="W212" s="524"/>
      <c r="X212" s="512"/>
    </row>
    <row r="213" spans="1:24" x14ac:dyDescent="0.3">
      <c r="A213" s="457"/>
      <c r="B213" s="461"/>
      <c r="C213" s="461"/>
      <c r="D213" s="461"/>
      <c r="E213" s="461"/>
      <c r="F213" s="461"/>
      <c r="G213" s="429"/>
      <c r="H213" s="429"/>
      <c r="I213" s="429"/>
      <c r="J213" s="429"/>
      <c r="K213" s="429"/>
      <c r="L213" s="429"/>
      <c r="M213" s="429"/>
      <c r="N213" s="429"/>
      <c r="O213" s="429"/>
      <c r="P213" s="429"/>
      <c r="Q213" s="429"/>
      <c r="R213" s="429"/>
      <c r="S213" s="429"/>
      <c r="T213" s="449"/>
      <c r="U213" s="429"/>
      <c r="V213" s="462"/>
      <c r="W213" s="429"/>
      <c r="X213" s="405"/>
    </row>
    <row r="214" spans="1:24" x14ac:dyDescent="0.3">
      <c r="A214" s="463"/>
      <c r="B214" s="464" t="s">
        <v>80</v>
      </c>
      <c r="C214" s="465"/>
      <c r="D214" s="465"/>
      <c r="E214" s="465"/>
      <c r="F214" s="466"/>
      <c r="G214" s="465"/>
      <c r="H214" s="465"/>
      <c r="I214" s="465"/>
      <c r="J214" s="465"/>
      <c r="K214" s="465"/>
      <c r="L214" s="465"/>
      <c r="M214" s="465"/>
      <c r="N214" s="465"/>
      <c r="O214" s="465"/>
      <c r="P214" s="465"/>
      <c r="Q214" s="465"/>
      <c r="R214" s="465"/>
      <c r="S214" s="465" t="s">
        <v>104</v>
      </c>
      <c r="T214" s="466" t="s">
        <v>111</v>
      </c>
      <c r="U214" s="467"/>
      <c r="V214" s="467"/>
      <c r="W214" s="468"/>
      <c r="X214" s="405"/>
    </row>
    <row r="215" spans="1:24" x14ac:dyDescent="0.3">
      <c r="A215" s="469"/>
      <c r="B215" s="552" t="s">
        <v>81</v>
      </c>
      <c r="C215" s="567"/>
      <c r="D215" s="567"/>
      <c r="E215" s="567"/>
      <c r="F215" s="552"/>
      <c r="G215" s="552"/>
      <c r="H215" s="576"/>
      <c r="I215" s="576"/>
      <c r="J215" s="576"/>
      <c r="K215" s="576"/>
      <c r="L215" s="576"/>
      <c r="M215" s="576"/>
      <c r="N215" s="576"/>
      <c r="O215" s="576"/>
      <c r="P215" s="576"/>
      <c r="Q215" s="576"/>
      <c r="R215" s="576"/>
      <c r="S215" s="576">
        <v>3</v>
      </c>
      <c r="T215" s="577">
        <v>396</v>
      </c>
      <c r="U215" s="429"/>
      <c r="V215" s="462"/>
      <c r="W215" s="470"/>
      <c r="X215" s="405"/>
    </row>
    <row r="216" spans="1:24" x14ac:dyDescent="0.3">
      <c r="A216" s="471"/>
      <c r="B216" s="522" t="s">
        <v>150</v>
      </c>
      <c r="C216" s="562"/>
      <c r="D216" s="562"/>
      <c r="E216" s="562"/>
      <c r="F216" s="522"/>
      <c r="G216" s="522"/>
      <c r="H216" s="528"/>
      <c r="I216" s="528"/>
      <c r="J216" s="528"/>
      <c r="K216" s="528"/>
      <c r="L216" s="528"/>
      <c r="M216" s="528"/>
      <c r="N216" s="528"/>
      <c r="O216" s="528"/>
      <c r="P216" s="528"/>
      <c r="Q216" s="528"/>
      <c r="R216" s="528"/>
      <c r="S216" s="578">
        <f>+R268</f>
        <v>77</v>
      </c>
      <c r="T216" s="579">
        <f>+T268</f>
        <v>13303</v>
      </c>
      <c r="U216" s="424"/>
      <c r="V216" s="474"/>
      <c r="W216" s="475"/>
      <c r="X216" s="405"/>
    </row>
    <row r="217" spans="1:24" x14ac:dyDescent="0.3">
      <c r="A217" s="471"/>
      <c r="B217" s="522" t="s">
        <v>82</v>
      </c>
      <c r="C217" s="562"/>
      <c r="D217" s="562"/>
      <c r="E217" s="562"/>
      <c r="F217" s="522"/>
      <c r="G217" s="522"/>
      <c r="H217" s="528"/>
      <c r="I217" s="528"/>
      <c r="J217" s="528"/>
      <c r="K217" s="528"/>
      <c r="L217" s="528"/>
      <c r="M217" s="528"/>
      <c r="N217" s="528"/>
      <c r="O217" s="528"/>
      <c r="P217" s="528"/>
      <c r="Q217" s="528"/>
      <c r="R217" s="528"/>
      <c r="S217" s="578">
        <f>+R280</f>
        <v>0</v>
      </c>
      <c r="T217" s="579">
        <f>+T280</f>
        <v>0</v>
      </c>
      <c r="U217" s="424"/>
      <c r="V217" s="474"/>
      <c r="W217" s="475"/>
      <c r="X217" s="405"/>
    </row>
    <row r="218" spans="1:24" x14ac:dyDescent="0.3">
      <c r="A218" s="471"/>
      <c r="B218" s="493" t="s">
        <v>83</v>
      </c>
      <c r="C218" s="472"/>
      <c r="D218" s="472"/>
      <c r="E218" s="472"/>
      <c r="F218" s="424"/>
      <c r="G218" s="424"/>
      <c r="H218" s="424"/>
      <c r="I218" s="424"/>
      <c r="J218" s="424"/>
      <c r="K218" s="424"/>
      <c r="L218" s="424"/>
      <c r="M218" s="424"/>
      <c r="N218" s="424"/>
      <c r="O218" s="424"/>
      <c r="P218" s="424"/>
      <c r="Q218" s="424"/>
      <c r="R218" s="424"/>
      <c r="S218" s="421"/>
      <c r="T218" s="579">
        <v>0</v>
      </c>
      <c r="U218" s="424"/>
      <c r="V218" s="474"/>
      <c r="W218" s="475"/>
      <c r="X218" s="405"/>
    </row>
    <row r="219" spans="1:24" x14ac:dyDescent="0.3">
      <c r="A219" s="471"/>
      <c r="B219" s="493" t="s">
        <v>84</v>
      </c>
      <c r="C219" s="472"/>
      <c r="D219" s="472"/>
      <c r="E219" s="472"/>
      <c r="F219" s="424"/>
      <c r="G219" s="424"/>
      <c r="H219" s="424"/>
      <c r="I219" s="424"/>
      <c r="J219" s="424"/>
      <c r="K219" s="424"/>
      <c r="L219" s="424"/>
      <c r="M219" s="424"/>
      <c r="N219" s="424"/>
      <c r="O219" s="424"/>
      <c r="P219" s="424"/>
      <c r="Q219" s="424"/>
      <c r="R219" s="424"/>
      <c r="S219" s="421"/>
      <c r="T219" s="580" t="s">
        <v>112</v>
      </c>
      <c r="U219" s="424"/>
      <c r="V219" s="474"/>
      <c r="W219" s="475"/>
      <c r="X219" s="405"/>
    </row>
    <row r="220" spans="1:24" x14ac:dyDescent="0.3">
      <c r="A220" s="476"/>
      <c r="B220" s="493" t="s">
        <v>85</v>
      </c>
      <c r="C220" s="477"/>
      <c r="D220" s="477"/>
      <c r="E220" s="477"/>
      <c r="F220" s="477"/>
      <c r="G220" s="424"/>
      <c r="H220" s="424"/>
      <c r="I220" s="424"/>
      <c r="J220" s="424"/>
      <c r="K220" s="424"/>
      <c r="L220" s="424"/>
      <c r="M220" s="424"/>
      <c r="N220" s="424"/>
      <c r="O220" s="424"/>
      <c r="P220" s="424"/>
      <c r="Q220" s="424"/>
      <c r="R220" s="424"/>
      <c r="S220" s="421"/>
      <c r="T220" s="473"/>
      <c r="U220" s="424"/>
      <c r="V220" s="474"/>
      <c r="W220" s="478"/>
      <c r="X220" s="405"/>
    </row>
    <row r="221" spans="1:24" s="513" customFormat="1" x14ac:dyDescent="0.3">
      <c r="A221" s="581"/>
      <c r="B221" s="522" t="s">
        <v>86</v>
      </c>
      <c r="C221" s="522"/>
      <c r="D221" s="522"/>
      <c r="E221" s="522"/>
      <c r="F221" s="522"/>
      <c r="G221" s="522"/>
      <c r="H221" s="522"/>
      <c r="I221" s="522"/>
      <c r="J221" s="522"/>
      <c r="K221" s="522"/>
      <c r="L221" s="522"/>
      <c r="M221" s="522"/>
      <c r="N221" s="522"/>
      <c r="O221" s="522"/>
      <c r="P221" s="522"/>
      <c r="Q221" s="522"/>
      <c r="R221" s="522"/>
      <c r="S221" s="528"/>
      <c r="T221" s="579">
        <f>+V165</f>
        <v>-9</v>
      </c>
      <c r="U221" s="522"/>
      <c r="V221" s="582"/>
      <c r="W221" s="583"/>
      <c r="X221" s="512"/>
    </row>
    <row r="222" spans="1:24" s="513" customFormat="1" x14ac:dyDescent="0.3">
      <c r="A222" s="584"/>
      <c r="B222" s="522" t="s">
        <v>87</v>
      </c>
      <c r="C222" s="562"/>
      <c r="D222" s="562"/>
      <c r="E222" s="562"/>
      <c r="F222" s="562"/>
      <c r="G222" s="522"/>
      <c r="H222" s="522"/>
      <c r="I222" s="522"/>
      <c r="J222" s="522"/>
      <c r="K222" s="522"/>
      <c r="L222" s="522"/>
      <c r="M222" s="522"/>
      <c r="N222" s="522"/>
      <c r="O222" s="522"/>
      <c r="P222" s="522"/>
      <c r="Q222" s="522"/>
      <c r="R222" s="522"/>
      <c r="S222" s="528"/>
      <c r="T222" s="579">
        <f>'April 18'!T222+'July 18'!T221</f>
        <v>7233</v>
      </c>
      <c r="U222" s="522"/>
      <c r="V222" s="582"/>
      <c r="W222" s="583"/>
      <c r="X222" s="512"/>
    </row>
    <row r="223" spans="1:24" x14ac:dyDescent="0.3">
      <c r="A223" s="476"/>
      <c r="B223" s="493" t="s">
        <v>292</v>
      </c>
      <c r="C223" s="477"/>
      <c r="D223" s="477"/>
      <c r="E223" s="477"/>
      <c r="F223" s="477"/>
      <c r="G223" s="424"/>
      <c r="H223" s="424"/>
      <c r="I223" s="424"/>
      <c r="J223" s="424"/>
      <c r="K223" s="424"/>
      <c r="L223" s="424"/>
      <c r="M223" s="424"/>
      <c r="N223" s="424"/>
      <c r="O223" s="424"/>
      <c r="P223" s="424"/>
      <c r="Q223" s="424"/>
      <c r="R223" s="424"/>
      <c r="S223" s="423"/>
      <c r="T223" s="473"/>
      <c r="U223" s="424"/>
      <c r="V223" s="474"/>
      <c r="W223" s="478"/>
      <c r="X223" s="405"/>
    </row>
    <row r="224" spans="1:24" s="513" customFormat="1" x14ac:dyDescent="0.3">
      <c r="A224" s="581"/>
      <c r="B224" s="522" t="s">
        <v>290</v>
      </c>
      <c r="C224" s="522"/>
      <c r="D224" s="522"/>
      <c r="E224" s="522"/>
      <c r="F224" s="522"/>
      <c r="G224" s="522"/>
      <c r="H224" s="522"/>
      <c r="I224" s="522"/>
      <c r="J224" s="522"/>
      <c r="K224" s="522"/>
      <c r="L224" s="522"/>
      <c r="M224" s="522"/>
      <c r="N224" s="522"/>
      <c r="O224" s="522"/>
      <c r="P224" s="522"/>
      <c r="Q224" s="522"/>
      <c r="R224" s="522"/>
      <c r="S224" s="528">
        <v>0</v>
      </c>
      <c r="T224" s="579">
        <v>0</v>
      </c>
      <c r="U224" s="522"/>
      <c r="V224" s="582"/>
      <c r="W224" s="583"/>
      <c r="X224" s="512"/>
    </row>
    <row r="225" spans="1:25" s="513" customFormat="1" x14ac:dyDescent="0.3">
      <c r="A225" s="584"/>
      <c r="B225" s="522" t="s">
        <v>88</v>
      </c>
      <c r="C225" s="542"/>
      <c r="D225" s="542"/>
      <c r="E225" s="542"/>
      <c r="F225" s="585"/>
      <c r="G225" s="522"/>
      <c r="H225" s="522"/>
      <c r="I225" s="522"/>
      <c r="J225" s="522"/>
      <c r="K225" s="522"/>
      <c r="L225" s="522"/>
      <c r="M225" s="522"/>
      <c r="N225" s="522"/>
      <c r="O225" s="522"/>
      <c r="P225" s="522"/>
      <c r="Q225" s="522"/>
      <c r="R225" s="522"/>
      <c r="S225" s="522"/>
      <c r="T225" s="580">
        <v>0</v>
      </c>
      <c r="U225" s="522"/>
      <c r="V225" s="582"/>
      <c r="W225" s="583"/>
      <c r="X225" s="512"/>
    </row>
    <row r="226" spans="1:25" s="513" customFormat="1" x14ac:dyDescent="0.3">
      <c r="A226" s="584"/>
      <c r="B226" s="522" t="s">
        <v>89</v>
      </c>
      <c r="C226" s="542"/>
      <c r="D226" s="542"/>
      <c r="E226" s="542"/>
      <c r="F226" s="585"/>
      <c r="G226" s="522"/>
      <c r="H226" s="522"/>
      <c r="I226" s="522"/>
      <c r="J226" s="522"/>
      <c r="K226" s="522"/>
      <c r="L226" s="522"/>
      <c r="M226" s="522"/>
      <c r="N226" s="522"/>
      <c r="O226" s="522"/>
      <c r="P226" s="522"/>
      <c r="Q226" s="522"/>
      <c r="R226" s="522"/>
      <c r="S226" s="522"/>
      <c r="T226" s="580">
        <v>0</v>
      </c>
      <c r="U226" s="522"/>
      <c r="V226" s="582"/>
      <c r="W226" s="583"/>
      <c r="X226" s="512"/>
    </row>
    <row r="227" spans="1:25" x14ac:dyDescent="0.3">
      <c r="A227" s="471"/>
      <c r="B227" s="493" t="s">
        <v>223</v>
      </c>
      <c r="C227" s="479"/>
      <c r="D227" s="479"/>
      <c r="E227" s="479"/>
      <c r="F227" s="480"/>
      <c r="G227" s="424"/>
      <c r="H227" s="424"/>
      <c r="I227" s="424"/>
      <c r="J227" s="424"/>
      <c r="K227" s="424"/>
      <c r="L227" s="424"/>
      <c r="M227" s="424"/>
      <c r="N227" s="424"/>
      <c r="O227" s="424"/>
      <c r="P227" s="424"/>
      <c r="Q227" s="424"/>
      <c r="R227" s="424"/>
      <c r="S227" s="421"/>
      <c r="T227" s="481"/>
      <c r="U227" s="424"/>
      <c r="V227" s="474"/>
      <c r="W227" s="478"/>
      <c r="X227" s="405"/>
    </row>
    <row r="228" spans="1:25" s="513" customFormat="1" x14ac:dyDescent="0.3">
      <c r="A228" s="584"/>
      <c r="B228" s="522" t="s">
        <v>290</v>
      </c>
      <c r="C228" s="542"/>
      <c r="D228" s="542"/>
      <c r="E228" s="542"/>
      <c r="F228" s="585"/>
      <c r="G228" s="522"/>
      <c r="H228" s="522"/>
      <c r="I228" s="522"/>
      <c r="J228" s="522"/>
      <c r="K228" s="522"/>
      <c r="L228" s="522"/>
      <c r="M228" s="522"/>
      <c r="N228" s="522"/>
      <c r="O228" s="522"/>
      <c r="P228" s="522"/>
      <c r="Q228" s="522"/>
      <c r="R228" s="522"/>
      <c r="S228" s="528">
        <v>0</v>
      </c>
      <c r="T228" s="579">
        <v>0</v>
      </c>
      <c r="U228" s="522"/>
      <c r="V228" s="582"/>
      <c r="W228" s="583"/>
      <c r="X228" s="512"/>
    </row>
    <row r="229" spans="1:25" s="513" customFormat="1" x14ac:dyDescent="0.3">
      <c r="A229" s="584"/>
      <c r="B229" s="522" t="s">
        <v>224</v>
      </c>
      <c r="C229" s="542"/>
      <c r="D229" s="542"/>
      <c r="E229" s="542"/>
      <c r="F229" s="585"/>
      <c r="G229" s="522"/>
      <c r="H229" s="522"/>
      <c r="I229" s="522"/>
      <c r="J229" s="522"/>
      <c r="K229" s="522"/>
      <c r="L229" s="522"/>
      <c r="M229" s="522"/>
      <c r="N229" s="522"/>
      <c r="O229" s="522"/>
      <c r="P229" s="522"/>
      <c r="Q229" s="522"/>
      <c r="R229" s="522"/>
      <c r="S229" s="522"/>
      <c r="T229" s="580">
        <v>0</v>
      </c>
      <c r="U229" s="522"/>
      <c r="V229" s="582"/>
      <c r="W229" s="583"/>
      <c r="X229" s="512"/>
    </row>
    <row r="230" spans="1:25" x14ac:dyDescent="0.3">
      <c r="A230" s="471"/>
      <c r="B230" s="477"/>
      <c r="C230" s="479"/>
      <c r="D230" s="479"/>
      <c r="E230" s="479"/>
      <c r="F230" s="480"/>
      <c r="G230" s="424"/>
      <c r="H230" s="424"/>
      <c r="I230" s="424"/>
      <c r="J230" s="424"/>
      <c r="K230" s="424"/>
      <c r="L230" s="424"/>
      <c r="M230" s="424"/>
      <c r="N230" s="424"/>
      <c r="O230" s="424"/>
      <c r="P230" s="424"/>
      <c r="Q230" s="424"/>
      <c r="R230" s="424"/>
      <c r="S230" s="421"/>
      <c r="T230" s="481"/>
      <c r="U230" s="424"/>
      <c r="V230" s="474"/>
      <c r="W230" s="478"/>
      <c r="X230" s="405"/>
    </row>
    <row r="231" spans="1:25" x14ac:dyDescent="0.3">
      <c r="A231" s="471"/>
      <c r="B231" s="477"/>
      <c r="C231" s="479"/>
      <c r="D231" s="479"/>
      <c r="E231" s="479"/>
      <c r="F231" s="480"/>
      <c r="G231" s="424"/>
      <c r="H231" s="424"/>
      <c r="I231" s="424"/>
      <c r="J231" s="424"/>
      <c r="K231" s="424"/>
      <c r="L231" s="424"/>
      <c r="M231" s="424"/>
      <c r="N231" s="424"/>
      <c r="O231" s="424"/>
      <c r="P231" s="424"/>
      <c r="Q231" s="424"/>
      <c r="R231" s="424"/>
      <c r="S231" s="424"/>
      <c r="T231" s="482"/>
      <c r="U231" s="424"/>
      <c r="V231" s="474"/>
      <c r="W231" s="478"/>
      <c r="X231" s="405"/>
    </row>
    <row r="232" spans="1:25" ht="18" x14ac:dyDescent="0.35">
      <c r="A232" s="471"/>
      <c r="B232" s="505" t="s">
        <v>174</v>
      </c>
      <c r="C232" s="479"/>
      <c r="D232" s="479"/>
      <c r="E232" s="479"/>
      <c r="F232" s="480"/>
      <c r="G232" s="424"/>
      <c r="H232" s="424"/>
      <c r="I232" s="424"/>
      <c r="J232" s="424"/>
      <c r="K232" s="424"/>
      <c r="L232" s="424"/>
      <c r="M232" s="424"/>
      <c r="N232" s="424"/>
      <c r="O232" s="424"/>
      <c r="P232" s="606" t="s">
        <v>349</v>
      </c>
      <c r="Q232" s="424"/>
      <c r="R232" s="424"/>
      <c r="S232" s="424"/>
      <c r="T232" s="482"/>
      <c r="U232" s="424"/>
      <c r="V232" s="474"/>
      <c r="W232" s="478"/>
      <c r="X232" s="405"/>
    </row>
    <row r="233" spans="1:25" x14ac:dyDescent="0.3">
      <c r="A233" s="469"/>
      <c r="B233" s="461"/>
      <c r="C233" s="483"/>
      <c r="D233" s="483"/>
      <c r="E233" s="483"/>
      <c r="F233" s="484"/>
      <c r="G233" s="429"/>
      <c r="H233" s="429"/>
      <c r="I233" s="429"/>
      <c r="J233" s="429"/>
      <c r="K233" s="429"/>
      <c r="L233" s="429"/>
      <c r="M233" s="429"/>
      <c r="N233" s="429"/>
      <c r="O233" s="429"/>
      <c r="P233" s="429"/>
      <c r="Q233" s="429"/>
      <c r="R233" s="429"/>
      <c r="S233" s="429"/>
      <c r="T233" s="485"/>
      <c r="U233" s="429"/>
      <c r="V233" s="462"/>
      <c r="W233" s="486"/>
      <c r="X233" s="405"/>
    </row>
    <row r="234" spans="1:25" x14ac:dyDescent="0.3">
      <c r="A234" s="418"/>
      <c r="B234" s="464" t="s">
        <v>304</v>
      </c>
      <c r="C234" s="465"/>
      <c r="D234" s="465"/>
      <c r="E234" s="465"/>
      <c r="F234" s="466"/>
      <c r="G234" s="465"/>
      <c r="H234" s="465"/>
      <c r="I234" s="465"/>
      <c r="J234" s="465"/>
      <c r="K234" s="465"/>
      <c r="L234" s="465"/>
      <c r="M234" s="465"/>
      <c r="N234" s="465"/>
      <c r="O234" s="465"/>
      <c r="P234" s="465"/>
      <c r="Q234" s="465"/>
      <c r="R234" s="466" t="s">
        <v>104</v>
      </c>
      <c r="S234" s="465" t="s">
        <v>105</v>
      </c>
      <c r="T234" s="466" t="s">
        <v>113</v>
      </c>
      <c r="U234" s="465" t="s">
        <v>105</v>
      </c>
      <c r="V234" s="467"/>
      <c r="W234" s="487"/>
      <c r="X234" s="405"/>
    </row>
    <row r="235" spans="1:25" s="513" customFormat="1" x14ac:dyDescent="0.3">
      <c r="A235" s="509"/>
      <c r="B235" s="567" t="s">
        <v>90</v>
      </c>
      <c r="C235" s="586"/>
      <c r="D235" s="586"/>
      <c r="E235" s="586"/>
      <c r="F235" s="552"/>
      <c r="G235" s="586"/>
      <c r="H235" s="586"/>
      <c r="I235" s="586"/>
      <c r="J235" s="586"/>
      <c r="K235" s="586"/>
      <c r="L235" s="586"/>
      <c r="M235" s="586"/>
      <c r="N235" s="586"/>
      <c r="O235" s="586"/>
      <c r="P235" s="586"/>
      <c r="Q235" s="586"/>
      <c r="R235" s="587">
        <f t="shared" ref="R235:R242" si="1">+R247+R259+R271</f>
        <v>5473</v>
      </c>
      <c r="S235" s="588">
        <f t="shared" ref="S235:S242" si="2">R235/$R$244</f>
        <v>0.9909469491218541</v>
      </c>
      <c r="T235" s="589">
        <f t="shared" ref="T235:T242" si="3">+T247+T259+T271</f>
        <v>716706</v>
      </c>
      <c r="U235" s="588">
        <f t="shared" ref="U235:U242" si="4">T235/$T$244</f>
        <v>0.98253738463816276</v>
      </c>
      <c r="V235" s="590"/>
      <c r="W235" s="591"/>
      <c r="X235" s="512"/>
    </row>
    <row r="236" spans="1:25" s="513" customFormat="1" x14ac:dyDescent="0.3">
      <c r="A236" s="521"/>
      <c r="B236" s="562" t="s">
        <v>91</v>
      </c>
      <c r="C236" s="592"/>
      <c r="D236" s="592"/>
      <c r="E236" s="592"/>
      <c r="F236" s="522"/>
      <c r="G236" s="593"/>
      <c r="H236" s="592"/>
      <c r="I236" s="592"/>
      <c r="J236" s="592"/>
      <c r="K236" s="592"/>
      <c r="L236" s="592"/>
      <c r="M236" s="592"/>
      <c r="N236" s="592"/>
      <c r="O236" s="592"/>
      <c r="P236" s="592"/>
      <c r="Q236" s="592"/>
      <c r="R236" s="562">
        <f t="shared" si="1"/>
        <v>12</v>
      </c>
      <c r="S236" s="593">
        <f t="shared" si="2"/>
        <v>2.1727322107550242E-3</v>
      </c>
      <c r="T236" s="563">
        <f t="shared" si="3"/>
        <v>2483</v>
      </c>
      <c r="U236" s="593">
        <f t="shared" si="4"/>
        <v>3.4039624700456786E-3</v>
      </c>
      <c r="V236" s="582"/>
      <c r="W236" s="583"/>
      <c r="X236" s="512"/>
      <c r="Y236" s="570"/>
    </row>
    <row r="237" spans="1:25" s="513" customFormat="1" x14ac:dyDescent="0.3">
      <c r="A237" s="521"/>
      <c r="B237" s="562" t="s">
        <v>92</v>
      </c>
      <c r="C237" s="592"/>
      <c r="D237" s="592"/>
      <c r="E237" s="592"/>
      <c r="F237" s="522"/>
      <c r="G237" s="593"/>
      <c r="H237" s="592"/>
      <c r="I237" s="592"/>
      <c r="J237" s="592"/>
      <c r="K237" s="592"/>
      <c r="L237" s="592"/>
      <c r="M237" s="592"/>
      <c r="N237" s="592"/>
      <c r="O237" s="592"/>
      <c r="P237" s="592"/>
      <c r="Q237" s="592"/>
      <c r="R237" s="562">
        <f t="shared" si="1"/>
        <v>30</v>
      </c>
      <c r="S237" s="593">
        <f t="shared" si="2"/>
        <v>5.4318305268875608E-3</v>
      </c>
      <c r="T237" s="563">
        <f t="shared" si="3"/>
        <v>9020</v>
      </c>
      <c r="U237" s="593">
        <f t="shared" si="4"/>
        <v>1.2365582553287161E-2</v>
      </c>
      <c r="V237" s="582"/>
      <c r="W237" s="583"/>
      <c r="X237" s="512"/>
    </row>
    <row r="238" spans="1:25" s="513" customFormat="1" x14ac:dyDescent="0.3">
      <c r="A238" s="521"/>
      <c r="B238" s="562" t="s">
        <v>161</v>
      </c>
      <c r="C238" s="592"/>
      <c r="D238" s="592"/>
      <c r="E238" s="592"/>
      <c r="F238" s="522"/>
      <c r="G238" s="593"/>
      <c r="H238" s="592"/>
      <c r="I238" s="592"/>
      <c r="J238" s="592"/>
      <c r="K238" s="592"/>
      <c r="L238" s="592"/>
      <c r="M238" s="592"/>
      <c r="N238" s="592"/>
      <c r="O238" s="592"/>
      <c r="P238" s="592"/>
      <c r="Q238" s="592"/>
      <c r="R238" s="562">
        <f t="shared" si="1"/>
        <v>5</v>
      </c>
      <c r="S238" s="593">
        <f t="shared" si="2"/>
        <v>9.0530508781459351E-4</v>
      </c>
      <c r="T238" s="563">
        <f t="shared" si="3"/>
        <v>853</v>
      </c>
      <c r="U238" s="593">
        <f t="shared" si="4"/>
        <v>1.1693838046512139E-3</v>
      </c>
      <c r="V238" s="582"/>
      <c r="W238" s="583"/>
      <c r="X238" s="512"/>
      <c r="Y238" s="570"/>
    </row>
    <row r="239" spans="1:25" s="513" customFormat="1" x14ac:dyDescent="0.3">
      <c r="A239" s="521"/>
      <c r="B239" s="562" t="s">
        <v>162</v>
      </c>
      <c r="C239" s="592"/>
      <c r="D239" s="592"/>
      <c r="E239" s="592"/>
      <c r="F239" s="522"/>
      <c r="G239" s="593"/>
      <c r="H239" s="592"/>
      <c r="I239" s="592"/>
      <c r="J239" s="592"/>
      <c r="K239" s="592"/>
      <c r="L239" s="592"/>
      <c r="M239" s="592"/>
      <c r="N239" s="592"/>
      <c r="O239" s="592"/>
      <c r="P239" s="592"/>
      <c r="Q239" s="592"/>
      <c r="R239" s="562">
        <f t="shared" si="1"/>
        <v>0</v>
      </c>
      <c r="S239" s="593">
        <f t="shared" si="2"/>
        <v>0</v>
      </c>
      <c r="T239" s="563">
        <f t="shared" si="3"/>
        <v>0</v>
      </c>
      <c r="U239" s="593">
        <f t="shared" si="4"/>
        <v>0</v>
      </c>
      <c r="V239" s="582"/>
      <c r="W239" s="583"/>
      <c r="X239" s="512"/>
    </row>
    <row r="240" spans="1:25" s="513" customFormat="1" x14ac:dyDescent="0.3">
      <c r="A240" s="521"/>
      <c r="B240" s="562" t="s">
        <v>163</v>
      </c>
      <c r="C240" s="592"/>
      <c r="D240" s="592"/>
      <c r="E240" s="592"/>
      <c r="F240" s="522"/>
      <c r="G240" s="593"/>
      <c r="H240" s="592"/>
      <c r="I240" s="592"/>
      <c r="J240" s="592"/>
      <c r="K240" s="592"/>
      <c r="L240" s="592"/>
      <c r="M240" s="592"/>
      <c r="N240" s="592"/>
      <c r="O240" s="592"/>
      <c r="P240" s="592"/>
      <c r="Q240" s="592"/>
      <c r="R240" s="562">
        <f t="shared" si="1"/>
        <v>1</v>
      </c>
      <c r="S240" s="593">
        <f t="shared" si="2"/>
        <v>1.810610175629187E-4</v>
      </c>
      <c r="T240" s="563">
        <f t="shared" si="3"/>
        <v>113</v>
      </c>
      <c r="U240" s="593">
        <f t="shared" si="4"/>
        <v>1.5491250870526045E-4</v>
      </c>
      <c r="V240" s="582"/>
      <c r="W240" s="583"/>
      <c r="X240" s="512"/>
      <c r="Y240" s="570"/>
    </row>
    <row r="241" spans="1:25" s="513" customFormat="1" x14ac:dyDescent="0.3">
      <c r="A241" s="521"/>
      <c r="B241" s="562" t="s">
        <v>164</v>
      </c>
      <c r="C241" s="592"/>
      <c r="D241" s="592"/>
      <c r="E241" s="592"/>
      <c r="F241" s="522"/>
      <c r="G241" s="593"/>
      <c r="H241" s="592"/>
      <c r="I241" s="592"/>
      <c r="J241" s="592"/>
      <c r="K241" s="592"/>
      <c r="L241" s="592"/>
      <c r="M241" s="592"/>
      <c r="N241" s="592"/>
      <c r="O241" s="592"/>
      <c r="P241" s="592"/>
      <c r="Q241" s="592"/>
      <c r="R241" s="562">
        <f t="shared" si="1"/>
        <v>2</v>
      </c>
      <c r="S241" s="593">
        <f t="shared" si="2"/>
        <v>3.6212203512583739E-4</v>
      </c>
      <c r="T241" s="563">
        <f t="shared" si="3"/>
        <v>269</v>
      </c>
      <c r="U241" s="593">
        <f t="shared" si="4"/>
        <v>3.687740251479209E-4</v>
      </c>
      <c r="V241" s="582"/>
      <c r="W241" s="583"/>
      <c r="X241" s="512"/>
    </row>
    <row r="242" spans="1:25" s="513" customFormat="1" x14ac:dyDescent="0.3">
      <c r="A242" s="521"/>
      <c r="B242" s="562" t="s">
        <v>165</v>
      </c>
      <c r="C242" s="592"/>
      <c r="D242" s="592"/>
      <c r="E242" s="592"/>
      <c r="F242" s="522"/>
      <c r="G242" s="593"/>
      <c r="H242" s="592"/>
      <c r="I242" s="592"/>
      <c r="J242" s="592"/>
      <c r="K242" s="592"/>
      <c r="L242" s="592"/>
      <c r="M242" s="592"/>
      <c r="N242" s="592"/>
      <c r="O242" s="592"/>
      <c r="P242" s="592"/>
      <c r="Q242" s="592"/>
      <c r="R242" s="562">
        <f t="shared" si="1"/>
        <v>0</v>
      </c>
      <c r="S242" s="593">
        <f t="shared" si="2"/>
        <v>0</v>
      </c>
      <c r="T242" s="563">
        <f t="shared" si="3"/>
        <v>0</v>
      </c>
      <c r="U242" s="593">
        <f t="shared" si="4"/>
        <v>0</v>
      </c>
      <c r="V242" s="582"/>
      <c r="W242" s="583"/>
      <c r="X242" s="512"/>
      <c r="Y242" s="570"/>
    </row>
    <row r="243" spans="1:25" s="513" customFormat="1" x14ac:dyDescent="0.3">
      <c r="A243" s="521"/>
      <c r="B243" s="562"/>
      <c r="C243" s="592"/>
      <c r="D243" s="592"/>
      <c r="E243" s="592"/>
      <c r="F243" s="522"/>
      <c r="G243" s="593"/>
      <c r="H243" s="592"/>
      <c r="I243" s="592"/>
      <c r="J243" s="592"/>
      <c r="K243" s="592"/>
      <c r="L243" s="592"/>
      <c r="M243" s="592"/>
      <c r="N243" s="592"/>
      <c r="O243" s="592"/>
      <c r="P243" s="592"/>
      <c r="Q243" s="592"/>
      <c r="R243" s="562"/>
      <c r="S243" s="593"/>
      <c r="T243" s="563"/>
      <c r="U243" s="593"/>
      <c r="V243" s="582"/>
      <c r="W243" s="583"/>
      <c r="X243" s="512"/>
    </row>
    <row r="244" spans="1:25" s="513" customFormat="1" x14ac:dyDescent="0.3">
      <c r="A244" s="521"/>
      <c r="B244" s="522" t="s">
        <v>119</v>
      </c>
      <c r="C244" s="522"/>
      <c r="D244" s="522"/>
      <c r="E244" s="522"/>
      <c r="F244" s="522"/>
      <c r="G244" s="522"/>
      <c r="H244" s="594"/>
      <c r="I244" s="594"/>
      <c r="J244" s="594"/>
      <c r="K244" s="594"/>
      <c r="L244" s="594"/>
      <c r="M244" s="594"/>
      <c r="N244" s="594"/>
      <c r="O244" s="594"/>
      <c r="P244" s="594"/>
      <c r="Q244" s="594"/>
      <c r="R244" s="562">
        <f>SUM(R235:R243)</f>
        <v>5523</v>
      </c>
      <c r="S244" s="593">
        <f>SUM(S235:S243)</f>
        <v>1</v>
      </c>
      <c r="T244" s="563">
        <f>SUM(T235:T243)</f>
        <v>729444</v>
      </c>
      <c r="U244" s="593">
        <f>SUM(U235:U243)</f>
        <v>1</v>
      </c>
      <c r="V244" s="522"/>
      <c r="W244" s="524"/>
      <c r="X244" s="512"/>
    </row>
    <row r="245" spans="1:25" x14ac:dyDescent="0.3">
      <c r="A245" s="469"/>
      <c r="B245" s="461"/>
      <c r="C245" s="483"/>
      <c r="D245" s="483"/>
      <c r="E245" s="483"/>
      <c r="F245" s="484"/>
      <c r="G245" s="429"/>
      <c r="H245" s="429"/>
      <c r="I245" s="429"/>
      <c r="J245" s="429"/>
      <c r="K245" s="429"/>
      <c r="L245" s="429"/>
      <c r="M245" s="429"/>
      <c r="N245" s="429"/>
      <c r="O245" s="429"/>
      <c r="P245" s="429"/>
      <c r="Q245" s="429"/>
      <c r="R245" s="429"/>
      <c r="S245" s="429"/>
      <c r="T245" s="485"/>
      <c r="U245" s="429"/>
      <c r="V245" s="462"/>
      <c r="W245" s="486"/>
      <c r="X245" s="405"/>
    </row>
    <row r="246" spans="1:25" x14ac:dyDescent="0.3">
      <c r="A246" s="418"/>
      <c r="B246" s="464" t="s">
        <v>167</v>
      </c>
      <c r="C246" s="465"/>
      <c r="D246" s="465"/>
      <c r="E246" s="465"/>
      <c r="F246" s="466"/>
      <c r="G246" s="465"/>
      <c r="H246" s="465"/>
      <c r="I246" s="465"/>
      <c r="J246" s="465"/>
      <c r="K246" s="465"/>
      <c r="L246" s="465"/>
      <c r="M246" s="465"/>
      <c r="N246" s="465"/>
      <c r="O246" s="465"/>
      <c r="P246" s="465"/>
      <c r="Q246" s="465"/>
      <c r="R246" s="466" t="s">
        <v>104</v>
      </c>
      <c r="S246" s="465" t="s">
        <v>105</v>
      </c>
      <c r="T246" s="466" t="s">
        <v>113</v>
      </c>
      <c r="U246" s="465" t="s">
        <v>105</v>
      </c>
      <c r="V246" s="467"/>
      <c r="W246" s="487"/>
      <c r="X246" s="405"/>
    </row>
    <row r="247" spans="1:25" s="513" customFormat="1" x14ac:dyDescent="0.3">
      <c r="A247" s="509"/>
      <c r="B247" s="567" t="s">
        <v>90</v>
      </c>
      <c r="C247" s="586"/>
      <c r="D247" s="586"/>
      <c r="E247" s="586"/>
      <c r="F247" s="552"/>
      <c r="G247" s="586"/>
      <c r="H247" s="586"/>
      <c r="I247" s="586"/>
      <c r="J247" s="586"/>
      <c r="K247" s="586"/>
      <c r="L247" s="586"/>
      <c r="M247" s="586"/>
      <c r="N247" s="586"/>
      <c r="O247" s="586"/>
      <c r="P247" s="586"/>
      <c r="Q247" s="586"/>
      <c r="R247" s="567">
        <v>5399</v>
      </c>
      <c r="S247" s="595">
        <f t="shared" ref="S247:S254" si="5">R247/$R$256</f>
        <v>0.99136981270657365</v>
      </c>
      <c r="T247" s="596">
        <v>703785</v>
      </c>
      <c r="U247" s="595">
        <f t="shared" ref="U247:U254" si="6">T247/$T$256</f>
        <v>0.98274641446307365</v>
      </c>
      <c r="V247" s="590"/>
      <c r="W247" s="591"/>
      <c r="X247" s="512"/>
    </row>
    <row r="248" spans="1:25" s="513" customFormat="1" x14ac:dyDescent="0.3">
      <c r="A248" s="521"/>
      <c r="B248" s="562" t="s">
        <v>91</v>
      </c>
      <c r="C248" s="592"/>
      <c r="D248" s="592"/>
      <c r="E248" s="592"/>
      <c r="F248" s="522"/>
      <c r="G248" s="593"/>
      <c r="H248" s="592"/>
      <c r="I248" s="592"/>
      <c r="J248" s="592"/>
      <c r="K248" s="592"/>
      <c r="L248" s="592"/>
      <c r="M248" s="592"/>
      <c r="N248" s="592"/>
      <c r="O248" s="592"/>
      <c r="P248" s="592"/>
      <c r="Q248" s="592"/>
      <c r="R248" s="562">
        <v>12</v>
      </c>
      <c r="S248" s="593">
        <f t="shared" si="5"/>
        <v>2.2034520749173708E-3</v>
      </c>
      <c r="T248" s="563">
        <v>2483</v>
      </c>
      <c r="U248" s="593">
        <f t="shared" si="6"/>
        <v>3.4671943095005032E-3</v>
      </c>
      <c r="V248" s="582"/>
      <c r="W248" s="583"/>
      <c r="X248" s="512"/>
      <c r="Y248" s="570"/>
    </row>
    <row r="249" spans="1:25" s="513" customFormat="1" x14ac:dyDescent="0.3">
      <c r="A249" s="521"/>
      <c r="B249" s="562" t="s">
        <v>92</v>
      </c>
      <c r="C249" s="592"/>
      <c r="D249" s="592"/>
      <c r="E249" s="592"/>
      <c r="F249" s="522"/>
      <c r="G249" s="593"/>
      <c r="H249" s="592"/>
      <c r="I249" s="592"/>
      <c r="J249" s="592"/>
      <c r="K249" s="592"/>
      <c r="L249" s="592"/>
      <c r="M249" s="592"/>
      <c r="N249" s="592"/>
      <c r="O249" s="592"/>
      <c r="P249" s="592"/>
      <c r="Q249" s="592"/>
      <c r="R249" s="562">
        <v>30</v>
      </c>
      <c r="S249" s="593">
        <f t="shared" si="5"/>
        <v>5.508630187293426E-3</v>
      </c>
      <c r="T249" s="563">
        <v>9020</v>
      </c>
      <c r="U249" s="593">
        <f t="shared" si="6"/>
        <v>1.2595285006723536E-2</v>
      </c>
      <c r="V249" s="582"/>
      <c r="W249" s="583"/>
      <c r="X249" s="512"/>
    </row>
    <row r="250" spans="1:25" s="513" customFormat="1" x14ac:dyDescent="0.3">
      <c r="A250" s="521"/>
      <c r="B250" s="562" t="s">
        <v>161</v>
      </c>
      <c r="C250" s="592"/>
      <c r="D250" s="592"/>
      <c r="E250" s="592"/>
      <c r="F250" s="522"/>
      <c r="G250" s="593"/>
      <c r="H250" s="592"/>
      <c r="I250" s="592"/>
      <c r="J250" s="592"/>
      <c r="K250" s="592"/>
      <c r="L250" s="592"/>
      <c r="M250" s="592"/>
      <c r="N250" s="592"/>
      <c r="O250" s="592"/>
      <c r="P250" s="592"/>
      <c r="Q250" s="592"/>
      <c r="R250" s="562">
        <v>5</v>
      </c>
      <c r="S250" s="593">
        <f t="shared" si="5"/>
        <v>9.1810503121557104E-4</v>
      </c>
      <c r="T250" s="563">
        <v>853</v>
      </c>
      <c r="U250" s="593">
        <f t="shared" si="6"/>
        <v>1.1911062207023478E-3</v>
      </c>
      <c r="V250" s="582"/>
      <c r="W250" s="583"/>
      <c r="X250" s="512"/>
      <c r="Y250" s="570"/>
    </row>
    <row r="251" spans="1:25" s="513" customFormat="1" x14ac:dyDescent="0.3">
      <c r="A251" s="521"/>
      <c r="B251" s="562" t="s">
        <v>162</v>
      </c>
      <c r="C251" s="592"/>
      <c r="D251" s="592"/>
      <c r="E251" s="592"/>
      <c r="F251" s="522"/>
      <c r="G251" s="593"/>
      <c r="H251" s="592"/>
      <c r="I251" s="592"/>
      <c r="J251" s="592"/>
      <c r="K251" s="592"/>
      <c r="L251" s="592"/>
      <c r="M251" s="592"/>
      <c r="N251" s="592"/>
      <c r="O251" s="592"/>
      <c r="P251" s="592"/>
      <c r="Q251" s="592"/>
      <c r="R251" s="562">
        <v>0</v>
      </c>
      <c r="S251" s="593">
        <f t="shared" si="5"/>
        <v>0</v>
      </c>
      <c r="T251" s="563">
        <v>0</v>
      </c>
      <c r="U251" s="593">
        <f t="shared" si="6"/>
        <v>0</v>
      </c>
      <c r="V251" s="582"/>
      <c r="W251" s="583"/>
      <c r="X251" s="512"/>
    </row>
    <row r="252" spans="1:25" s="513" customFormat="1" x14ac:dyDescent="0.3">
      <c r="A252" s="521"/>
      <c r="B252" s="562" t="s">
        <v>163</v>
      </c>
      <c r="C252" s="592"/>
      <c r="D252" s="592"/>
      <c r="E252" s="592"/>
      <c r="F252" s="522"/>
      <c r="G252" s="593"/>
      <c r="H252" s="592"/>
      <c r="I252" s="592"/>
      <c r="J252" s="592"/>
      <c r="K252" s="592"/>
      <c r="L252" s="592"/>
      <c r="M252" s="592"/>
      <c r="N252" s="592"/>
      <c r="O252" s="592"/>
      <c r="P252" s="592"/>
      <c r="Q252" s="592"/>
      <c r="R252" s="562">
        <v>0</v>
      </c>
      <c r="S252" s="593">
        <f t="shared" si="5"/>
        <v>0</v>
      </c>
      <c r="T252" s="563">
        <v>0</v>
      </c>
      <c r="U252" s="593">
        <f t="shared" si="6"/>
        <v>0</v>
      </c>
      <c r="V252" s="582"/>
      <c r="W252" s="583"/>
      <c r="X252" s="512"/>
      <c r="Y252" s="570"/>
    </row>
    <row r="253" spans="1:25" s="513" customFormat="1" x14ac:dyDescent="0.3">
      <c r="A253" s="521"/>
      <c r="B253" s="562" t="s">
        <v>164</v>
      </c>
      <c r="C253" s="592"/>
      <c r="D253" s="592"/>
      <c r="E253" s="592"/>
      <c r="F253" s="522"/>
      <c r="G253" s="593"/>
      <c r="H253" s="592"/>
      <c r="I253" s="592"/>
      <c r="J253" s="592"/>
      <c r="K253" s="592"/>
      <c r="L253" s="592"/>
      <c r="M253" s="592"/>
      <c r="N253" s="592"/>
      <c r="O253" s="592"/>
      <c r="P253" s="592"/>
      <c r="Q253" s="592"/>
      <c r="R253" s="562">
        <v>0</v>
      </c>
      <c r="S253" s="593">
        <f t="shared" si="5"/>
        <v>0</v>
      </c>
      <c r="T253" s="563">
        <v>0</v>
      </c>
      <c r="U253" s="593">
        <f t="shared" si="6"/>
        <v>0</v>
      </c>
      <c r="V253" s="582"/>
      <c r="W253" s="583"/>
      <c r="X253" s="512"/>
    </row>
    <row r="254" spans="1:25" s="513" customFormat="1" x14ac:dyDescent="0.3">
      <c r="A254" s="521"/>
      <c r="B254" s="562" t="s">
        <v>165</v>
      </c>
      <c r="C254" s="592"/>
      <c r="D254" s="592"/>
      <c r="E254" s="592"/>
      <c r="F254" s="522"/>
      <c r="G254" s="593"/>
      <c r="H254" s="592"/>
      <c r="I254" s="592"/>
      <c r="J254" s="592"/>
      <c r="K254" s="592"/>
      <c r="L254" s="592"/>
      <c r="M254" s="592"/>
      <c r="N254" s="592"/>
      <c r="O254" s="592"/>
      <c r="P254" s="592"/>
      <c r="Q254" s="592"/>
      <c r="R254" s="562">
        <v>0</v>
      </c>
      <c r="S254" s="593">
        <f t="shared" si="5"/>
        <v>0</v>
      </c>
      <c r="T254" s="563">
        <v>0</v>
      </c>
      <c r="U254" s="593">
        <f t="shared" si="6"/>
        <v>0</v>
      </c>
      <c r="V254" s="582"/>
      <c r="W254" s="583"/>
      <c r="X254" s="512"/>
      <c r="Y254" s="570"/>
    </row>
    <row r="255" spans="1:25" s="513" customFormat="1" x14ac:dyDescent="0.3">
      <c r="A255" s="521"/>
      <c r="B255" s="562"/>
      <c r="C255" s="592"/>
      <c r="D255" s="592"/>
      <c r="E255" s="592"/>
      <c r="F255" s="522"/>
      <c r="G255" s="593"/>
      <c r="H255" s="592"/>
      <c r="I255" s="592"/>
      <c r="J255" s="592"/>
      <c r="K255" s="592"/>
      <c r="L255" s="592"/>
      <c r="M255" s="592"/>
      <c r="N255" s="592"/>
      <c r="O255" s="592"/>
      <c r="P255" s="592"/>
      <c r="Q255" s="592"/>
      <c r="R255" s="562"/>
      <c r="S255" s="593"/>
      <c r="T255" s="563"/>
      <c r="U255" s="593"/>
      <c r="V255" s="582"/>
      <c r="W255" s="583"/>
      <c r="X255" s="512"/>
    </row>
    <row r="256" spans="1:25" s="513" customFormat="1" x14ac:dyDescent="0.3">
      <c r="A256" s="521"/>
      <c r="B256" s="522" t="s">
        <v>119</v>
      </c>
      <c r="C256" s="522"/>
      <c r="D256" s="522"/>
      <c r="E256" s="522"/>
      <c r="F256" s="522"/>
      <c r="G256" s="522"/>
      <c r="H256" s="594"/>
      <c r="I256" s="594"/>
      <c r="J256" s="594"/>
      <c r="K256" s="594"/>
      <c r="L256" s="594"/>
      <c r="M256" s="594"/>
      <c r="N256" s="594"/>
      <c r="O256" s="594"/>
      <c r="P256" s="594"/>
      <c r="Q256" s="594"/>
      <c r="R256" s="562">
        <f>SUM(R247:R255)</f>
        <v>5446</v>
      </c>
      <c r="S256" s="593">
        <f>SUM(S247:S255)</f>
        <v>1</v>
      </c>
      <c r="T256" s="563">
        <f>SUM(T247:T255)</f>
        <v>716141</v>
      </c>
      <c r="U256" s="593">
        <f>SUM(U247:U255)</f>
        <v>1</v>
      </c>
      <c r="V256" s="522"/>
      <c r="W256" s="524"/>
      <c r="X256" s="512"/>
    </row>
    <row r="257" spans="1:24" x14ac:dyDescent="0.3">
      <c r="A257" s="407"/>
      <c r="B257" s="429"/>
      <c r="C257" s="429"/>
      <c r="D257" s="429"/>
      <c r="E257" s="429"/>
      <c r="F257" s="429"/>
      <c r="G257" s="429"/>
      <c r="H257" s="488"/>
      <c r="I257" s="488"/>
      <c r="J257" s="488"/>
      <c r="K257" s="488"/>
      <c r="L257" s="488"/>
      <c r="M257" s="488"/>
      <c r="N257" s="488"/>
      <c r="O257" s="488"/>
      <c r="P257" s="488"/>
      <c r="Q257" s="488"/>
      <c r="R257" s="435"/>
      <c r="S257" s="489"/>
      <c r="T257" s="490"/>
      <c r="U257" s="489"/>
      <c r="V257" s="429"/>
      <c r="W257" s="429"/>
      <c r="X257" s="405"/>
    </row>
    <row r="258" spans="1:24" x14ac:dyDescent="0.3">
      <c r="A258" s="418"/>
      <c r="B258" s="464" t="s">
        <v>283</v>
      </c>
      <c r="C258" s="465"/>
      <c r="D258" s="465"/>
      <c r="E258" s="465"/>
      <c r="F258" s="466"/>
      <c r="G258" s="465"/>
      <c r="H258" s="465"/>
      <c r="I258" s="465"/>
      <c r="J258" s="465"/>
      <c r="K258" s="465"/>
      <c r="L258" s="465"/>
      <c r="M258" s="465"/>
      <c r="N258" s="465"/>
      <c r="O258" s="465"/>
      <c r="P258" s="465"/>
      <c r="Q258" s="465"/>
      <c r="R258" s="466" t="s">
        <v>104</v>
      </c>
      <c r="S258" s="465" t="s">
        <v>105</v>
      </c>
      <c r="T258" s="466" t="s">
        <v>113</v>
      </c>
      <c r="U258" s="465" t="s">
        <v>105</v>
      </c>
      <c r="V258" s="467"/>
      <c r="W258" s="468"/>
      <c r="X258" s="405"/>
    </row>
    <row r="259" spans="1:24" s="513" customFormat="1" x14ac:dyDescent="0.3">
      <c r="A259" s="509"/>
      <c r="B259" s="567" t="s">
        <v>90</v>
      </c>
      <c r="C259" s="586"/>
      <c r="D259" s="586"/>
      <c r="E259" s="586"/>
      <c r="F259" s="552"/>
      <c r="G259" s="586"/>
      <c r="H259" s="586"/>
      <c r="I259" s="586"/>
      <c r="J259" s="586"/>
      <c r="K259" s="586"/>
      <c r="L259" s="586"/>
      <c r="M259" s="586"/>
      <c r="N259" s="586"/>
      <c r="O259" s="586"/>
      <c r="P259" s="586"/>
      <c r="Q259" s="586"/>
      <c r="R259" s="567">
        <v>74</v>
      </c>
      <c r="S259" s="595">
        <f t="shared" ref="S259:S266" si="7">R259/$R$268</f>
        <v>0.96103896103896103</v>
      </c>
      <c r="T259" s="596">
        <v>12921</v>
      </c>
      <c r="U259" s="595">
        <f t="shared" ref="U259:U266" si="8">T259/$T$268</f>
        <v>0.97128467263023377</v>
      </c>
      <c r="V259" s="552"/>
      <c r="W259" s="552"/>
      <c r="X259" s="512"/>
    </row>
    <row r="260" spans="1:24" s="513" customFormat="1" x14ac:dyDescent="0.3">
      <c r="A260" s="521"/>
      <c r="B260" s="562" t="s">
        <v>91</v>
      </c>
      <c r="C260" s="592"/>
      <c r="D260" s="592"/>
      <c r="E260" s="592"/>
      <c r="F260" s="522"/>
      <c r="G260" s="593"/>
      <c r="H260" s="592"/>
      <c r="I260" s="592"/>
      <c r="J260" s="592"/>
      <c r="K260" s="592"/>
      <c r="L260" s="592"/>
      <c r="M260" s="592"/>
      <c r="N260" s="592"/>
      <c r="O260" s="592"/>
      <c r="P260" s="592"/>
      <c r="Q260" s="592"/>
      <c r="R260" s="562">
        <v>0</v>
      </c>
      <c r="S260" s="593">
        <f t="shared" si="7"/>
        <v>0</v>
      </c>
      <c r="T260" s="563">
        <v>0</v>
      </c>
      <c r="U260" s="593">
        <f t="shared" si="8"/>
        <v>0</v>
      </c>
      <c r="V260" s="522"/>
      <c r="W260" s="524"/>
      <c r="X260" s="512"/>
    </row>
    <row r="261" spans="1:24" s="513" customFormat="1" x14ac:dyDescent="0.3">
      <c r="A261" s="521"/>
      <c r="B261" s="562" t="s">
        <v>92</v>
      </c>
      <c r="C261" s="592"/>
      <c r="D261" s="592"/>
      <c r="E261" s="592"/>
      <c r="F261" s="522"/>
      <c r="G261" s="593"/>
      <c r="H261" s="592"/>
      <c r="I261" s="592"/>
      <c r="J261" s="592"/>
      <c r="K261" s="592"/>
      <c r="L261" s="592"/>
      <c r="M261" s="592"/>
      <c r="N261" s="592"/>
      <c r="O261" s="592"/>
      <c r="P261" s="592"/>
      <c r="Q261" s="592"/>
      <c r="R261" s="562">
        <v>0</v>
      </c>
      <c r="S261" s="593">
        <f t="shared" si="7"/>
        <v>0</v>
      </c>
      <c r="T261" s="563">
        <v>0</v>
      </c>
      <c r="U261" s="593">
        <f t="shared" si="8"/>
        <v>0</v>
      </c>
      <c r="V261" s="522"/>
      <c r="W261" s="524"/>
      <c r="X261" s="512"/>
    </row>
    <row r="262" spans="1:24" s="513" customFormat="1" x14ac:dyDescent="0.3">
      <c r="A262" s="521"/>
      <c r="B262" s="562" t="s">
        <v>161</v>
      </c>
      <c r="C262" s="592"/>
      <c r="D262" s="592"/>
      <c r="E262" s="592"/>
      <c r="F262" s="522"/>
      <c r="G262" s="593"/>
      <c r="H262" s="592"/>
      <c r="I262" s="592"/>
      <c r="J262" s="592"/>
      <c r="K262" s="592"/>
      <c r="L262" s="592"/>
      <c r="M262" s="592"/>
      <c r="N262" s="592"/>
      <c r="O262" s="592"/>
      <c r="P262" s="592"/>
      <c r="Q262" s="592"/>
      <c r="R262" s="562">
        <v>0</v>
      </c>
      <c r="S262" s="593">
        <f t="shared" si="7"/>
        <v>0</v>
      </c>
      <c r="T262" s="563">
        <v>0</v>
      </c>
      <c r="U262" s="593">
        <f t="shared" si="8"/>
        <v>0</v>
      </c>
      <c r="V262" s="522"/>
      <c r="W262" s="524"/>
      <c r="X262" s="512"/>
    </row>
    <row r="263" spans="1:24" s="513" customFormat="1" x14ac:dyDescent="0.3">
      <c r="A263" s="521"/>
      <c r="B263" s="562" t="s">
        <v>162</v>
      </c>
      <c r="C263" s="592"/>
      <c r="D263" s="592"/>
      <c r="E263" s="592"/>
      <c r="F263" s="522"/>
      <c r="G263" s="593"/>
      <c r="H263" s="592"/>
      <c r="I263" s="592"/>
      <c r="J263" s="592"/>
      <c r="K263" s="592"/>
      <c r="L263" s="592"/>
      <c r="M263" s="592"/>
      <c r="N263" s="592"/>
      <c r="O263" s="592"/>
      <c r="P263" s="592"/>
      <c r="Q263" s="592"/>
      <c r="R263" s="562">
        <v>0</v>
      </c>
      <c r="S263" s="593">
        <f t="shared" si="7"/>
        <v>0</v>
      </c>
      <c r="T263" s="563">
        <v>0</v>
      </c>
      <c r="U263" s="593">
        <f t="shared" si="8"/>
        <v>0</v>
      </c>
      <c r="V263" s="522"/>
      <c r="W263" s="524"/>
      <c r="X263" s="512"/>
    </row>
    <row r="264" spans="1:24" s="513" customFormat="1" x14ac:dyDescent="0.3">
      <c r="A264" s="521"/>
      <c r="B264" s="562" t="s">
        <v>163</v>
      </c>
      <c r="C264" s="592"/>
      <c r="D264" s="592"/>
      <c r="E264" s="592"/>
      <c r="F264" s="522"/>
      <c r="G264" s="593"/>
      <c r="H264" s="592"/>
      <c r="I264" s="592"/>
      <c r="J264" s="592"/>
      <c r="K264" s="592"/>
      <c r="L264" s="592"/>
      <c r="M264" s="592"/>
      <c r="N264" s="592"/>
      <c r="O264" s="592"/>
      <c r="P264" s="592"/>
      <c r="Q264" s="592"/>
      <c r="R264" s="562">
        <v>1</v>
      </c>
      <c r="S264" s="593">
        <f t="shared" si="7"/>
        <v>1.2987012987012988E-2</v>
      </c>
      <c r="T264" s="563">
        <v>113</v>
      </c>
      <c r="U264" s="593">
        <f t="shared" si="8"/>
        <v>8.4943245884386981E-3</v>
      </c>
      <c r="V264" s="522"/>
      <c r="W264" s="524"/>
      <c r="X264" s="512"/>
    </row>
    <row r="265" spans="1:24" s="513" customFormat="1" x14ac:dyDescent="0.3">
      <c r="A265" s="521"/>
      <c r="B265" s="562" t="s">
        <v>164</v>
      </c>
      <c r="C265" s="592"/>
      <c r="D265" s="592"/>
      <c r="E265" s="592"/>
      <c r="F265" s="522"/>
      <c r="G265" s="593"/>
      <c r="H265" s="592"/>
      <c r="I265" s="592"/>
      <c r="J265" s="592"/>
      <c r="K265" s="592"/>
      <c r="L265" s="592"/>
      <c r="M265" s="592"/>
      <c r="N265" s="592"/>
      <c r="O265" s="592"/>
      <c r="P265" s="592"/>
      <c r="Q265" s="592"/>
      <c r="R265" s="562">
        <v>2</v>
      </c>
      <c r="S265" s="593">
        <f t="shared" si="7"/>
        <v>2.5974025974025976E-2</v>
      </c>
      <c r="T265" s="563">
        <v>269</v>
      </c>
      <c r="U265" s="593">
        <f t="shared" si="8"/>
        <v>2.0221002781327518E-2</v>
      </c>
      <c r="V265" s="522"/>
      <c r="W265" s="524"/>
      <c r="X265" s="512"/>
    </row>
    <row r="266" spans="1:24" s="513" customFormat="1" x14ac:dyDescent="0.3">
      <c r="A266" s="521"/>
      <c r="B266" s="562" t="s">
        <v>165</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4" s="513" customFormat="1" x14ac:dyDescent="0.3">
      <c r="A267" s="521"/>
      <c r="B267" s="562"/>
      <c r="C267" s="592"/>
      <c r="D267" s="592"/>
      <c r="E267" s="592"/>
      <c r="F267" s="522"/>
      <c r="G267" s="593"/>
      <c r="H267" s="592"/>
      <c r="I267" s="592"/>
      <c r="J267" s="592"/>
      <c r="K267" s="592"/>
      <c r="L267" s="592"/>
      <c r="M267" s="592"/>
      <c r="N267" s="592"/>
      <c r="O267" s="592"/>
      <c r="P267" s="592"/>
      <c r="Q267" s="592"/>
      <c r="R267" s="562"/>
      <c r="S267" s="593"/>
      <c r="T267" s="563"/>
      <c r="U267" s="593"/>
      <c r="V267" s="522"/>
      <c r="W267" s="524"/>
      <c r="X267" s="512"/>
    </row>
    <row r="268" spans="1:24" s="513" customFormat="1" x14ac:dyDescent="0.3">
      <c r="A268" s="521"/>
      <c r="B268" s="522" t="s">
        <v>119</v>
      </c>
      <c r="C268" s="522"/>
      <c r="D268" s="522"/>
      <c r="E268" s="522"/>
      <c r="F268" s="522"/>
      <c r="G268" s="522"/>
      <c r="H268" s="594"/>
      <c r="I268" s="594"/>
      <c r="J268" s="594"/>
      <c r="K268" s="594"/>
      <c r="L268" s="594"/>
      <c r="M268" s="594"/>
      <c r="N268" s="594"/>
      <c r="O268" s="594"/>
      <c r="P268" s="594"/>
      <c r="Q268" s="594"/>
      <c r="R268" s="562">
        <f>SUM(R259:R267)</f>
        <v>77</v>
      </c>
      <c r="S268" s="593">
        <f>SUM(S259:S267)</f>
        <v>1</v>
      </c>
      <c r="T268" s="563">
        <f>SUM(T259:T267)</f>
        <v>13303</v>
      </c>
      <c r="U268" s="593">
        <f>SUM(U259:U267)</f>
        <v>1</v>
      </c>
      <c r="V268" s="522"/>
      <c r="W268" s="524"/>
      <c r="X268" s="512"/>
    </row>
    <row r="269" spans="1:24" x14ac:dyDescent="0.3">
      <c r="A269" s="407"/>
      <c r="B269" s="429"/>
      <c r="C269" s="429"/>
      <c r="D269" s="429"/>
      <c r="E269" s="429"/>
      <c r="F269" s="429"/>
      <c r="G269" s="429"/>
      <c r="H269" s="488"/>
      <c r="I269" s="488"/>
      <c r="J269" s="488"/>
      <c r="K269" s="488"/>
      <c r="L269" s="488"/>
      <c r="M269" s="488"/>
      <c r="N269" s="488"/>
      <c r="O269" s="488"/>
      <c r="P269" s="488"/>
      <c r="Q269" s="488"/>
      <c r="R269" s="435"/>
      <c r="S269" s="489"/>
      <c r="T269" s="490"/>
      <c r="U269" s="489"/>
      <c r="V269" s="429"/>
      <c r="W269" s="429"/>
      <c r="X269" s="405"/>
    </row>
    <row r="270" spans="1:24" x14ac:dyDescent="0.3">
      <c r="A270" s="418"/>
      <c r="B270" s="464" t="s">
        <v>169</v>
      </c>
      <c r="C270" s="467"/>
      <c r="D270" s="467"/>
      <c r="E270" s="467"/>
      <c r="F270" s="467"/>
      <c r="G270" s="467"/>
      <c r="H270" s="491"/>
      <c r="I270" s="491"/>
      <c r="J270" s="491"/>
      <c r="K270" s="491"/>
      <c r="L270" s="491"/>
      <c r="M270" s="491"/>
      <c r="N270" s="491"/>
      <c r="O270" s="491"/>
      <c r="P270" s="491"/>
      <c r="Q270" s="491"/>
      <c r="R270" s="466" t="s">
        <v>104</v>
      </c>
      <c r="S270" s="465" t="s">
        <v>105</v>
      </c>
      <c r="T270" s="466" t="s">
        <v>113</v>
      </c>
      <c r="U270" s="465" t="s">
        <v>105</v>
      </c>
      <c r="V270" s="467"/>
      <c r="W270" s="468"/>
      <c r="X270" s="405"/>
    </row>
    <row r="271" spans="1:24" s="513" customFormat="1" x14ac:dyDescent="0.3">
      <c r="A271" s="509"/>
      <c r="B271" s="567" t="s">
        <v>90</v>
      </c>
      <c r="C271" s="552"/>
      <c r="D271" s="552"/>
      <c r="E271" s="552"/>
      <c r="F271" s="552"/>
      <c r="G271" s="552"/>
      <c r="H271" s="597"/>
      <c r="I271" s="597"/>
      <c r="J271" s="597"/>
      <c r="K271" s="597"/>
      <c r="L271" s="597"/>
      <c r="M271" s="597"/>
      <c r="N271" s="597"/>
      <c r="O271" s="597"/>
      <c r="P271" s="597"/>
      <c r="Q271" s="597"/>
      <c r="R271" s="567">
        <v>0</v>
      </c>
      <c r="S271" s="595">
        <v>0</v>
      </c>
      <c r="T271" s="596">
        <v>0</v>
      </c>
      <c r="U271" s="595">
        <v>0</v>
      </c>
      <c r="V271" s="552"/>
      <c r="W271" s="552"/>
      <c r="X271" s="512"/>
    </row>
    <row r="272" spans="1:24" s="513" customFormat="1" x14ac:dyDescent="0.3">
      <c r="A272" s="521"/>
      <c r="B272" s="562" t="s">
        <v>91</v>
      </c>
      <c r="C272" s="522"/>
      <c r="D272" s="522"/>
      <c r="E272" s="522"/>
      <c r="F272" s="522"/>
      <c r="G272" s="522"/>
      <c r="H272" s="594"/>
      <c r="I272" s="594"/>
      <c r="J272" s="594"/>
      <c r="K272" s="594"/>
      <c r="L272" s="594"/>
      <c r="M272" s="594"/>
      <c r="N272" s="594"/>
      <c r="O272" s="594"/>
      <c r="P272" s="594"/>
      <c r="Q272" s="594"/>
      <c r="R272" s="562">
        <v>0</v>
      </c>
      <c r="S272" s="593">
        <v>0</v>
      </c>
      <c r="T272" s="563">
        <v>0</v>
      </c>
      <c r="U272" s="593">
        <v>0</v>
      </c>
      <c r="V272" s="522"/>
      <c r="W272" s="524"/>
      <c r="X272" s="512"/>
    </row>
    <row r="273" spans="1:24" s="513" customFormat="1" x14ac:dyDescent="0.3">
      <c r="A273" s="521"/>
      <c r="B273" s="562" t="s">
        <v>92</v>
      </c>
      <c r="C273" s="522"/>
      <c r="D273" s="522"/>
      <c r="E273" s="522"/>
      <c r="F273" s="522"/>
      <c r="G273" s="522"/>
      <c r="H273" s="594"/>
      <c r="I273" s="594"/>
      <c r="J273" s="594"/>
      <c r="K273" s="594"/>
      <c r="L273" s="594"/>
      <c r="M273" s="594"/>
      <c r="N273" s="594"/>
      <c r="O273" s="594"/>
      <c r="P273" s="594"/>
      <c r="Q273" s="594"/>
      <c r="R273" s="562">
        <v>0</v>
      </c>
      <c r="S273" s="593">
        <v>0</v>
      </c>
      <c r="T273" s="563">
        <v>0</v>
      </c>
      <c r="U273" s="593">
        <v>0</v>
      </c>
      <c r="V273" s="522"/>
      <c r="W273" s="524"/>
      <c r="X273" s="512"/>
    </row>
    <row r="274" spans="1:24" s="513" customFormat="1" x14ac:dyDescent="0.3">
      <c r="A274" s="521"/>
      <c r="B274" s="562" t="s">
        <v>161</v>
      </c>
      <c r="C274" s="522"/>
      <c r="D274" s="522"/>
      <c r="E274" s="522"/>
      <c r="F274" s="522"/>
      <c r="G274" s="522"/>
      <c r="H274" s="594"/>
      <c r="I274" s="594"/>
      <c r="J274" s="594"/>
      <c r="K274" s="594"/>
      <c r="L274" s="594"/>
      <c r="M274" s="594"/>
      <c r="N274" s="594"/>
      <c r="O274" s="594"/>
      <c r="P274" s="594"/>
      <c r="Q274" s="594"/>
      <c r="R274" s="562">
        <v>0</v>
      </c>
      <c r="S274" s="593">
        <v>0</v>
      </c>
      <c r="T274" s="563">
        <v>0</v>
      </c>
      <c r="U274" s="593">
        <v>0</v>
      </c>
      <c r="V274" s="522"/>
      <c r="W274" s="524"/>
      <c r="X274" s="512"/>
    </row>
    <row r="275" spans="1:24" s="513" customFormat="1" x14ac:dyDescent="0.3">
      <c r="A275" s="521"/>
      <c r="B275" s="562" t="s">
        <v>162</v>
      </c>
      <c r="C275" s="522"/>
      <c r="D275" s="522"/>
      <c r="E275" s="522"/>
      <c r="F275" s="522"/>
      <c r="G275" s="522"/>
      <c r="H275" s="594"/>
      <c r="I275" s="594"/>
      <c r="J275" s="594"/>
      <c r="K275" s="594"/>
      <c r="L275" s="594"/>
      <c r="M275" s="594"/>
      <c r="N275" s="594"/>
      <c r="O275" s="594"/>
      <c r="P275" s="594"/>
      <c r="Q275" s="594"/>
      <c r="R275" s="562">
        <v>0</v>
      </c>
      <c r="S275" s="593">
        <v>0</v>
      </c>
      <c r="T275" s="563">
        <v>0</v>
      </c>
      <c r="U275" s="593">
        <v>0</v>
      </c>
      <c r="V275" s="522"/>
      <c r="W275" s="524"/>
      <c r="X275" s="512"/>
    </row>
    <row r="276" spans="1:24" s="513" customFormat="1" x14ac:dyDescent="0.3">
      <c r="A276" s="521"/>
      <c r="B276" s="562" t="s">
        <v>163</v>
      </c>
      <c r="C276" s="522"/>
      <c r="D276" s="522"/>
      <c r="E276" s="522"/>
      <c r="F276" s="522"/>
      <c r="G276" s="522"/>
      <c r="H276" s="594"/>
      <c r="I276" s="594"/>
      <c r="J276" s="594"/>
      <c r="K276" s="594"/>
      <c r="L276" s="594"/>
      <c r="M276" s="594"/>
      <c r="N276" s="594"/>
      <c r="O276" s="594"/>
      <c r="P276" s="594"/>
      <c r="Q276" s="594"/>
      <c r="R276" s="562">
        <v>0</v>
      </c>
      <c r="S276" s="593">
        <v>0</v>
      </c>
      <c r="T276" s="563">
        <v>0</v>
      </c>
      <c r="U276" s="593">
        <v>0</v>
      </c>
      <c r="V276" s="522"/>
      <c r="W276" s="524"/>
      <c r="X276" s="512"/>
    </row>
    <row r="277" spans="1:24" s="513" customFormat="1" x14ac:dyDescent="0.3">
      <c r="A277" s="521"/>
      <c r="B277" s="562" t="s">
        <v>164</v>
      </c>
      <c r="C277" s="522"/>
      <c r="D277" s="522"/>
      <c r="E277" s="522"/>
      <c r="F277" s="522"/>
      <c r="G277" s="522"/>
      <c r="H277" s="594"/>
      <c r="I277" s="594"/>
      <c r="J277" s="594"/>
      <c r="K277" s="594"/>
      <c r="L277" s="594"/>
      <c r="M277" s="594"/>
      <c r="N277" s="594"/>
      <c r="O277" s="594"/>
      <c r="P277" s="594"/>
      <c r="Q277" s="594"/>
      <c r="R277" s="562">
        <v>0</v>
      </c>
      <c r="S277" s="593">
        <v>0</v>
      </c>
      <c r="T277" s="563">
        <v>0</v>
      </c>
      <c r="U277" s="593">
        <v>0</v>
      </c>
      <c r="V277" s="522"/>
      <c r="W277" s="524"/>
      <c r="X277" s="512"/>
    </row>
    <row r="278" spans="1:24" s="513" customFormat="1" x14ac:dyDescent="0.3">
      <c r="A278" s="521"/>
      <c r="B278" s="562" t="s">
        <v>165</v>
      </c>
      <c r="C278" s="522"/>
      <c r="D278" s="522"/>
      <c r="E278" s="522"/>
      <c r="F278" s="522"/>
      <c r="G278" s="522"/>
      <c r="H278" s="594"/>
      <c r="I278" s="594"/>
      <c r="J278" s="594"/>
      <c r="K278" s="594"/>
      <c r="L278" s="594"/>
      <c r="M278" s="594"/>
      <c r="N278" s="594"/>
      <c r="O278" s="594"/>
      <c r="P278" s="594"/>
      <c r="Q278" s="594"/>
      <c r="R278" s="562">
        <v>0</v>
      </c>
      <c r="S278" s="593">
        <v>0</v>
      </c>
      <c r="T278" s="563">
        <v>0</v>
      </c>
      <c r="U278" s="593">
        <v>0</v>
      </c>
      <c r="V278" s="522"/>
      <c r="W278" s="524"/>
      <c r="X278" s="512"/>
    </row>
    <row r="279" spans="1:24" s="513" customFormat="1" x14ac:dyDescent="0.3">
      <c r="A279" s="521"/>
      <c r="B279" s="562"/>
      <c r="C279" s="522"/>
      <c r="D279" s="522"/>
      <c r="E279" s="522"/>
      <c r="F279" s="522"/>
      <c r="G279" s="522"/>
      <c r="H279" s="594"/>
      <c r="I279" s="594"/>
      <c r="J279" s="594"/>
      <c r="K279" s="594"/>
      <c r="L279" s="594"/>
      <c r="M279" s="594"/>
      <c r="N279" s="594"/>
      <c r="O279" s="594"/>
      <c r="P279" s="594"/>
      <c r="Q279" s="594"/>
      <c r="R279" s="562"/>
      <c r="S279" s="593"/>
      <c r="T279" s="563"/>
      <c r="U279" s="593"/>
      <c r="V279" s="522"/>
      <c r="W279" s="524"/>
      <c r="X279" s="512"/>
    </row>
    <row r="280" spans="1:24" s="513" customFormat="1" x14ac:dyDescent="0.3">
      <c r="A280" s="521"/>
      <c r="B280" s="522" t="s">
        <v>119</v>
      </c>
      <c r="C280" s="522"/>
      <c r="D280" s="522"/>
      <c r="E280" s="522"/>
      <c r="F280" s="522"/>
      <c r="G280" s="522"/>
      <c r="H280" s="594"/>
      <c r="I280" s="594"/>
      <c r="J280" s="594"/>
      <c r="K280" s="594"/>
      <c r="L280" s="594"/>
      <c r="M280" s="594"/>
      <c r="N280" s="594"/>
      <c r="O280" s="594"/>
      <c r="P280" s="594"/>
      <c r="Q280" s="594"/>
      <c r="R280" s="562">
        <f>SUM(R271:R278)</f>
        <v>0</v>
      </c>
      <c r="S280" s="593">
        <f>SUM(S271:S279)</f>
        <v>0</v>
      </c>
      <c r="T280" s="563">
        <f>SUM(T271:T278)</f>
        <v>0</v>
      </c>
      <c r="U280" s="593">
        <f>SUM(U271:U279)</f>
        <v>0</v>
      </c>
      <c r="V280" s="522"/>
      <c r="W280" s="524"/>
      <c r="X280" s="512"/>
    </row>
    <row r="281" spans="1:24" s="513" customFormat="1" x14ac:dyDescent="0.3">
      <c r="A281" s="521"/>
      <c r="B281" s="522"/>
      <c r="C281" s="522"/>
      <c r="D281" s="522"/>
      <c r="E281" s="522"/>
      <c r="F281" s="522"/>
      <c r="G281" s="522"/>
      <c r="H281" s="594"/>
      <c r="I281" s="594"/>
      <c r="J281" s="594"/>
      <c r="K281" s="594"/>
      <c r="L281" s="594"/>
      <c r="M281" s="594"/>
      <c r="N281" s="594"/>
      <c r="O281" s="594"/>
      <c r="P281" s="594"/>
      <c r="Q281" s="594"/>
      <c r="R281" s="562"/>
      <c r="S281" s="593"/>
      <c r="T281" s="563"/>
      <c r="U281" s="593"/>
      <c r="V281" s="522"/>
      <c r="W281" s="524"/>
      <c r="X281" s="512"/>
    </row>
    <row r="282" spans="1:24" s="513" customFormat="1" x14ac:dyDescent="0.3">
      <c r="A282" s="521"/>
      <c r="B282" s="527" t="s">
        <v>170</v>
      </c>
      <c r="C282" s="522"/>
      <c r="D282" s="522"/>
      <c r="E282" s="522"/>
      <c r="F282" s="522"/>
      <c r="G282" s="522"/>
      <c r="H282" s="594"/>
      <c r="I282" s="594"/>
      <c r="J282" s="594"/>
      <c r="K282" s="594"/>
      <c r="L282" s="594"/>
      <c r="M282" s="594"/>
      <c r="N282" s="594"/>
      <c r="O282" s="594"/>
      <c r="P282" s="594"/>
      <c r="Q282" s="594"/>
      <c r="R282" s="598">
        <f>R280+R268+R256</f>
        <v>5523</v>
      </c>
      <c r="S282" s="593"/>
      <c r="T282" s="599">
        <f>+T280+T268+T256</f>
        <v>729444</v>
      </c>
      <c r="U282" s="593"/>
      <c r="V282" s="522"/>
      <c r="W282" s="524"/>
      <c r="X282" s="512"/>
    </row>
    <row r="283" spans="1:24" s="513" customFormat="1" x14ac:dyDescent="0.3">
      <c r="A283" s="509"/>
      <c r="B283" s="552"/>
      <c r="C283" s="552"/>
      <c r="D283" s="552"/>
      <c r="E283" s="552"/>
      <c r="F283" s="552"/>
      <c r="G283" s="552"/>
      <c r="H283" s="597"/>
      <c r="I283" s="597"/>
      <c r="J283" s="597"/>
      <c r="K283" s="597"/>
      <c r="L283" s="597"/>
      <c r="M283" s="597"/>
      <c r="N283" s="597"/>
      <c r="O283" s="597"/>
      <c r="P283" s="597"/>
      <c r="Q283" s="597"/>
      <c r="R283" s="597"/>
      <c r="S283" s="597"/>
      <c r="T283" s="596"/>
      <c r="U283" s="597"/>
      <c r="V283" s="552"/>
      <c r="W283" s="552"/>
      <c r="X283" s="512"/>
    </row>
    <row r="284" spans="1:24" s="513" customFormat="1" x14ac:dyDescent="0.3">
      <c r="A284" s="509"/>
      <c r="B284" s="510"/>
      <c r="C284" s="510"/>
      <c r="D284" s="510"/>
      <c r="E284" s="510"/>
      <c r="F284" s="510"/>
      <c r="G284" s="510"/>
      <c r="H284" s="600"/>
      <c r="I284" s="600"/>
      <c r="J284" s="600"/>
      <c r="K284" s="600"/>
      <c r="L284" s="600"/>
      <c r="M284" s="600"/>
      <c r="N284" s="600"/>
      <c r="O284" s="600"/>
      <c r="P284" s="600"/>
      <c r="Q284" s="600"/>
      <c r="R284" s="600"/>
      <c r="S284" s="600"/>
      <c r="T284" s="601"/>
      <c r="U284" s="600"/>
      <c r="V284" s="510"/>
      <c r="W284" s="510"/>
      <c r="X284" s="512"/>
    </row>
    <row r="285" spans="1:24" s="513" customFormat="1" x14ac:dyDescent="0.3">
      <c r="A285" s="509"/>
      <c r="B285" s="508" t="s">
        <v>93</v>
      </c>
      <c r="C285" s="510"/>
      <c r="D285" s="510"/>
      <c r="E285" s="510"/>
      <c r="F285" s="516" t="s">
        <v>99</v>
      </c>
      <c r="G285" s="510"/>
      <c r="H285" s="508" t="s">
        <v>101</v>
      </c>
      <c r="I285" s="510"/>
      <c r="J285" s="510"/>
      <c r="K285" s="510"/>
      <c r="L285" s="510"/>
      <c r="M285" s="510"/>
      <c r="N285" s="510"/>
      <c r="O285" s="510"/>
      <c r="P285" s="510"/>
      <c r="Q285" s="510"/>
      <c r="R285" s="510"/>
      <c r="S285" s="510"/>
      <c r="T285" s="510"/>
      <c r="U285" s="510"/>
      <c r="V285" s="510"/>
      <c r="W285" s="510"/>
      <c r="X285" s="512"/>
    </row>
    <row r="286" spans="1:24" s="513" customFormat="1" x14ac:dyDescent="0.3">
      <c r="A286" s="509"/>
      <c r="B286" s="510"/>
      <c r="C286" s="510"/>
      <c r="D286" s="510"/>
      <c r="E286" s="510"/>
      <c r="F286" s="510"/>
      <c r="G286" s="510"/>
      <c r="H286" s="510"/>
      <c r="I286" s="510"/>
      <c r="J286" s="510"/>
      <c r="K286" s="510"/>
      <c r="L286" s="510"/>
      <c r="M286" s="510"/>
      <c r="N286" s="510"/>
      <c r="O286" s="510"/>
      <c r="P286" s="510"/>
      <c r="Q286" s="510"/>
      <c r="R286" s="510"/>
      <c r="S286" s="510"/>
      <c r="T286" s="510"/>
      <c r="U286" s="510"/>
      <c r="V286" s="510"/>
      <c r="W286" s="510"/>
      <c r="X286" s="512"/>
    </row>
    <row r="287" spans="1:24" s="513" customFormat="1" x14ac:dyDescent="0.3">
      <c r="A287" s="509"/>
      <c r="B287" s="508" t="s">
        <v>327</v>
      </c>
      <c r="C287" s="508"/>
      <c r="D287" s="508"/>
      <c r="E287" s="508"/>
      <c r="F287" s="602" t="s">
        <v>278</v>
      </c>
      <c r="G287" s="508"/>
      <c r="H287" s="402" t="s">
        <v>350</v>
      </c>
      <c r="I287" s="510"/>
      <c r="J287" s="510"/>
      <c r="K287" s="510"/>
      <c r="L287" s="510"/>
      <c r="M287" s="510"/>
      <c r="N287" s="510"/>
      <c r="O287" s="510"/>
      <c r="P287" s="510"/>
      <c r="Q287" s="510"/>
      <c r="R287" s="510"/>
      <c r="S287" s="510"/>
      <c r="T287" s="510"/>
      <c r="U287" s="510"/>
      <c r="V287" s="510"/>
      <c r="W287" s="510"/>
      <c r="X287" s="512"/>
    </row>
    <row r="288" spans="1:24" s="513" customFormat="1" x14ac:dyDescent="0.3">
      <c r="A288" s="509"/>
      <c r="B288" s="508" t="s">
        <v>328</v>
      </c>
      <c r="C288" s="508"/>
      <c r="D288" s="508"/>
      <c r="E288" s="508"/>
      <c r="F288" s="602" t="s">
        <v>152</v>
      </c>
      <c r="G288" s="508"/>
      <c r="H288" s="402" t="s">
        <v>351</v>
      </c>
      <c r="I288" s="510"/>
      <c r="J288" s="510"/>
      <c r="K288" s="510"/>
      <c r="L288" s="510"/>
      <c r="M288" s="510"/>
      <c r="N288" s="510"/>
      <c r="O288" s="510"/>
      <c r="P288" s="510"/>
      <c r="Q288" s="510"/>
      <c r="R288" s="510"/>
      <c r="S288" s="510"/>
      <c r="T288" s="510"/>
      <c r="U288" s="510"/>
      <c r="V288" s="510"/>
      <c r="W288" s="510"/>
      <c r="X288" s="512"/>
    </row>
    <row r="289" spans="1:24" s="513" customFormat="1" x14ac:dyDescent="0.3">
      <c r="A289" s="509"/>
      <c r="B289" s="508"/>
      <c r="C289" s="508"/>
      <c r="D289" s="508"/>
      <c r="E289" s="508"/>
      <c r="F289" s="508"/>
      <c r="G289" s="508"/>
      <c r="H289" s="510"/>
      <c r="I289" s="510"/>
      <c r="J289" s="510"/>
      <c r="K289" s="510"/>
      <c r="L289" s="510"/>
      <c r="M289" s="510"/>
      <c r="N289" s="510"/>
      <c r="O289" s="510"/>
      <c r="P289" s="510"/>
      <c r="Q289" s="510"/>
      <c r="R289" s="510"/>
      <c r="S289" s="510"/>
      <c r="T289" s="510"/>
      <c r="U289" s="510"/>
      <c r="V289" s="510"/>
      <c r="W289" s="510"/>
      <c r="X289" s="512"/>
    </row>
    <row r="290" spans="1:24" s="513" customFormat="1" ht="18.600000000000001" thickBot="1" x14ac:dyDescent="0.4">
      <c r="A290" s="509"/>
      <c r="B290" s="603" t="str">
        <f>B196</f>
        <v>PM12 INVESTOR REPORT QUARTER ENDING JULY 2018</v>
      </c>
      <c r="C290" s="508"/>
      <c r="D290" s="508"/>
      <c r="E290" s="508"/>
      <c r="F290" s="508"/>
      <c r="G290" s="508"/>
      <c r="H290" s="510"/>
      <c r="I290" s="510"/>
      <c r="J290" s="510"/>
      <c r="K290" s="510"/>
      <c r="L290" s="510"/>
      <c r="M290" s="510"/>
      <c r="N290" s="510"/>
      <c r="O290" s="510"/>
      <c r="P290" s="510"/>
      <c r="Q290" s="510"/>
      <c r="R290" s="510"/>
      <c r="S290" s="510"/>
      <c r="T290" s="510"/>
      <c r="U290" s="510"/>
      <c r="V290" s="510"/>
      <c r="W290" s="510"/>
      <c r="X290" s="512"/>
    </row>
    <row r="291" spans="1:24" x14ac:dyDescent="0.3">
      <c r="A291" s="492"/>
      <c r="B291" s="492"/>
      <c r="C291" s="492"/>
      <c r="D291" s="492"/>
      <c r="E291" s="492"/>
      <c r="F291" s="492"/>
      <c r="G291" s="492"/>
      <c r="H291" s="492"/>
      <c r="I291" s="492"/>
      <c r="J291" s="492"/>
      <c r="K291" s="492"/>
      <c r="L291" s="492"/>
      <c r="M291" s="492"/>
      <c r="N291" s="492"/>
      <c r="O291" s="492"/>
      <c r="P291" s="492"/>
      <c r="Q291" s="492"/>
      <c r="R291" s="492"/>
      <c r="S291" s="492"/>
      <c r="T291" s="492"/>
      <c r="U291" s="492"/>
      <c r="V291" s="492"/>
      <c r="W291" s="492"/>
    </row>
  </sheetData>
  <hyperlinks>
    <hyperlink ref="I9" r:id="rId1" xr:uid="{00000000-0004-0000-2F00-000000000000}"/>
    <hyperlink ref="P232" r:id="rId2" xr:uid="{00000000-0004-0000-2F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89CB31"/>
  </sheetPr>
  <dimension ref="A1:Y291"/>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0.67010000000000003</v>
      </c>
      <c r="T16" s="516" t="s">
        <v>145</v>
      </c>
      <c r="U16" s="515">
        <v>0.32990000000000003</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43426</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219</v>
      </c>
      <c r="E26" s="526"/>
      <c r="F26" s="526" t="s">
        <v>146</v>
      </c>
      <c r="G26" s="526"/>
      <c r="H26" s="526" t="s">
        <v>146</v>
      </c>
      <c r="I26" s="526"/>
      <c r="J26" s="526" t="s">
        <v>146</v>
      </c>
      <c r="K26" s="526"/>
      <c r="L26" s="613" t="s">
        <v>189</v>
      </c>
      <c r="M26" s="613"/>
      <c r="N26" s="613" t="s">
        <v>189</v>
      </c>
      <c r="O26" s="526"/>
      <c r="P26" s="526" t="s">
        <v>147</v>
      </c>
      <c r="Q26" s="526"/>
      <c r="R26" s="526" t="s">
        <v>147</v>
      </c>
      <c r="S26" s="526"/>
      <c r="T26" s="523"/>
      <c r="U26" s="522"/>
      <c r="V26" s="522"/>
      <c r="W26" s="524"/>
      <c r="X26" s="512"/>
    </row>
    <row r="27" spans="1:25" s="513" customFormat="1" x14ac:dyDescent="0.3">
      <c r="A27" s="521"/>
      <c r="B27" s="527" t="s">
        <v>197</v>
      </c>
      <c r="C27" s="523"/>
      <c r="D27" s="526" t="s">
        <v>314</v>
      </c>
      <c r="E27" s="526"/>
      <c r="F27" s="526" t="s">
        <v>148</v>
      </c>
      <c r="G27" s="526"/>
      <c r="H27" s="526" t="s">
        <v>148</v>
      </c>
      <c r="I27" s="526"/>
      <c r="J27" s="526" t="s">
        <v>148</v>
      </c>
      <c r="K27" s="526"/>
      <c r="L27" s="526" t="s">
        <v>149</v>
      </c>
      <c r="M27" s="526"/>
      <c r="N27" s="526" t="s">
        <v>149</v>
      </c>
      <c r="O27" s="526"/>
      <c r="P27" s="526" t="s">
        <v>337</v>
      </c>
      <c r="Q27" s="526"/>
      <c r="R27" s="526" t="s">
        <v>337</v>
      </c>
      <c r="S27" s="523"/>
      <c r="T27" s="528"/>
      <c r="U27" s="522"/>
      <c r="V27" s="522"/>
      <c r="W27" s="524"/>
      <c r="X27" s="512"/>
    </row>
    <row r="28" spans="1:25" s="513" customFormat="1" x14ac:dyDescent="0.3">
      <c r="A28" s="521"/>
      <c r="B28" s="527" t="s">
        <v>198</v>
      </c>
      <c r="C28" s="523"/>
      <c r="D28" s="526" t="s">
        <v>312</v>
      </c>
      <c r="E28" s="526"/>
      <c r="F28" s="526" t="s">
        <v>148</v>
      </c>
      <c r="G28" s="526"/>
      <c r="H28" s="526" t="s">
        <v>148</v>
      </c>
      <c r="I28" s="526"/>
      <c r="J28" s="526" t="s">
        <v>148</v>
      </c>
      <c r="K28" s="526"/>
      <c r="L28" s="526" t="s">
        <v>148</v>
      </c>
      <c r="M28" s="526"/>
      <c r="N28" s="526" t="s">
        <v>148</v>
      </c>
      <c r="O28" s="526"/>
      <c r="P28" s="526" t="s">
        <v>149</v>
      </c>
      <c r="Q28" s="526"/>
      <c r="R28" s="526" t="s">
        <v>149</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533">
        <f>D31*D38</f>
        <v>616108.05000000005</v>
      </c>
      <c r="E32" s="529"/>
      <c r="F32" s="530">
        <f>F31*F38</f>
        <v>59557.416000000005</v>
      </c>
      <c r="G32" s="530"/>
      <c r="H32" s="534">
        <f>H31*H38</f>
        <v>100631.496</v>
      </c>
      <c r="I32" s="534"/>
      <c r="J32" s="533">
        <f>J31*J38</f>
        <v>127739.7357</v>
      </c>
      <c r="K32" s="530"/>
      <c r="L32" s="530">
        <f>L31*L38</f>
        <v>24284.799999999999</v>
      </c>
      <c r="M32" s="530"/>
      <c r="N32" s="534">
        <f>N31*N38</f>
        <v>122395.39200000001</v>
      </c>
      <c r="O32" s="530"/>
      <c r="P32" s="530">
        <f>P31*P38</f>
        <v>16513.664000000001</v>
      </c>
      <c r="Q32" s="530"/>
      <c r="R32" s="534">
        <f>R31*R38</f>
        <v>102967.55200000001</v>
      </c>
      <c r="S32" s="530"/>
      <c r="T32" s="530"/>
      <c r="U32" s="529"/>
      <c r="V32" s="530"/>
      <c r="W32" s="531"/>
      <c r="X32" s="512"/>
    </row>
    <row r="33" spans="1:24" s="513" customFormat="1" x14ac:dyDescent="0.3">
      <c r="A33" s="521"/>
      <c r="B33" s="527" t="s">
        <v>139</v>
      </c>
      <c r="C33" s="529"/>
      <c r="D33" s="536">
        <f>D37*D31</f>
        <v>604891.79999999993</v>
      </c>
      <c r="E33" s="532"/>
      <c r="F33" s="535">
        <f>F37*F31</f>
        <v>58473.192999999999</v>
      </c>
      <c r="G33" s="535"/>
      <c r="H33" s="537">
        <f>H31*H37</f>
        <v>98799.532999999996</v>
      </c>
      <c r="I33" s="537"/>
      <c r="J33" s="536">
        <f>J37*J31</f>
        <v>125414.2332</v>
      </c>
      <c r="K33" s="535"/>
      <c r="L33" s="535">
        <f>L37*L31</f>
        <v>23842.695</v>
      </c>
      <c r="M33" s="535"/>
      <c r="N33" s="537">
        <f>N37*N31</f>
        <v>120167.1828</v>
      </c>
      <c r="O33" s="535"/>
      <c r="P33" s="535">
        <f>P37*P31</f>
        <v>16213.0326</v>
      </c>
      <c r="Q33" s="535"/>
      <c r="R33" s="537">
        <f>R37*R31</f>
        <v>101093.02679999999</v>
      </c>
      <c r="S33" s="530"/>
      <c r="T33" s="530"/>
      <c r="U33" s="529"/>
      <c r="V33" s="530"/>
      <c r="W33" s="531"/>
      <c r="X33" s="512"/>
    </row>
    <row r="34" spans="1:24"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4" s="513" customFormat="1" x14ac:dyDescent="0.3">
      <c r="A35" s="525"/>
      <c r="B35" s="522" t="s">
        <v>294</v>
      </c>
      <c r="C35" s="532"/>
      <c r="D35" s="530">
        <f>D34*D38</f>
        <v>334841.17079790001</v>
      </c>
      <c r="E35" s="529"/>
      <c r="F35" s="530">
        <f>F34*F38</f>
        <v>59557.416000000005</v>
      </c>
      <c r="G35" s="530"/>
      <c r="H35" s="530">
        <f>H34*H38</f>
        <v>69401.230012800006</v>
      </c>
      <c r="I35" s="530"/>
      <c r="J35" s="530">
        <f>J34*J38</f>
        <v>69423.876551399997</v>
      </c>
      <c r="K35" s="530"/>
      <c r="L35" s="530">
        <f>L34*L38</f>
        <v>24284.799999999999</v>
      </c>
      <c r="M35" s="530"/>
      <c r="N35" s="530">
        <f>N34*N38</f>
        <v>84411.050623999996</v>
      </c>
      <c r="O35" s="530"/>
      <c r="P35" s="530">
        <f>P34*P38</f>
        <v>16513.664000000001</v>
      </c>
      <c r="Q35" s="530"/>
      <c r="R35" s="530">
        <f>R34*R38</f>
        <v>71011.669376000005</v>
      </c>
      <c r="S35" s="530"/>
      <c r="T35" s="530"/>
      <c r="U35" s="529"/>
      <c r="V35" s="530">
        <f>SUM(C35:R35)-1</f>
        <v>729443.87736210017</v>
      </c>
      <c r="W35" s="531"/>
      <c r="X35" s="512"/>
    </row>
    <row r="36" spans="1:24" s="513" customFormat="1" x14ac:dyDescent="0.3">
      <c r="A36" s="525"/>
      <c r="B36" s="527" t="s">
        <v>295</v>
      </c>
      <c r="C36" s="532"/>
      <c r="D36" s="535">
        <f>D34*D37</f>
        <v>328745.38568040001</v>
      </c>
      <c r="E36" s="532"/>
      <c r="F36" s="535">
        <f>F34*F37</f>
        <v>58473.192999999999</v>
      </c>
      <c r="G36" s="535"/>
      <c r="H36" s="535">
        <f>H34*H37</f>
        <v>68137.803644400003</v>
      </c>
      <c r="I36" s="535"/>
      <c r="J36" s="535">
        <f>J34*J37</f>
        <v>68160.014546399994</v>
      </c>
      <c r="K36" s="535"/>
      <c r="L36" s="535">
        <f>L34*L37</f>
        <v>23842.695</v>
      </c>
      <c r="M36" s="535"/>
      <c r="N36" s="535">
        <f>N34*N37</f>
        <v>82874.346696599998</v>
      </c>
      <c r="O36" s="535"/>
      <c r="P36" s="535">
        <f>P34*P37</f>
        <v>16213.0326</v>
      </c>
      <c r="Q36" s="535"/>
      <c r="R36" s="535">
        <f>R34*R37</f>
        <v>69718.901303399995</v>
      </c>
      <c r="S36" s="538"/>
      <c r="T36" s="538"/>
      <c r="U36" s="529"/>
      <c r="V36" s="535">
        <f>SUM(C36:R36)</f>
        <v>716165.37247120007</v>
      </c>
      <c r="W36" s="531"/>
      <c r="X36" s="512"/>
    </row>
    <row r="37" spans="1:24" x14ac:dyDescent="0.3">
      <c r="A37" s="420"/>
      <c r="B37" s="493" t="s">
        <v>135</v>
      </c>
      <c r="C37" s="494"/>
      <c r="D37" s="495">
        <v>0.40326119999999999</v>
      </c>
      <c r="E37" s="496"/>
      <c r="F37" s="495">
        <v>0.40326339999999999</v>
      </c>
      <c r="G37" s="495"/>
      <c r="H37" s="495">
        <v>0.40326339999999999</v>
      </c>
      <c r="I37" s="495"/>
      <c r="J37" s="495">
        <v>0.40326119999999999</v>
      </c>
      <c r="K37" s="495"/>
      <c r="L37" s="495">
        <v>0.95370779999999999</v>
      </c>
      <c r="M37" s="495"/>
      <c r="N37" s="495">
        <v>0.95370779999999999</v>
      </c>
      <c r="O37" s="495"/>
      <c r="P37" s="495">
        <v>0.95370779999999999</v>
      </c>
      <c r="Q37" s="495"/>
      <c r="R37" s="495">
        <v>0.95370779999999999</v>
      </c>
      <c r="S37" s="425"/>
      <c r="T37" s="425"/>
      <c r="U37" s="424"/>
      <c r="V37" s="424"/>
      <c r="W37" s="426"/>
      <c r="X37" s="405"/>
    </row>
    <row r="38" spans="1:24" x14ac:dyDescent="0.3">
      <c r="A38" s="420"/>
      <c r="B38" s="493" t="s">
        <v>136</v>
      </c>
      <c r="C38" s="494"/>
      <c r="D38" s="495">
        <v>0.41073870000000001</v>
      </c>
      <c r="E38" s="496"/>
      <c r="F38" s="495">
        <v>0.41074080000000002</v>
      </c>
      <c r="G38" s="495"/>
      <c r="H38" s="495">
        <v>0.41074080000000002</v>
      </c>
      <c r="I38" s="495"/>
      <c r="J38" s="495">
        <v>0.41073870000000001</v>
      </c>
      <c r="K38" s="495"/>
      <c r="L38" s="495">
        <v>0.97139200000000003</v>
      </c>
      <c r="M38" s="495"/>
      <c r="N38" s="495">
        <v>0.97139200000000003</v>
      </c>
      <c r="O38" s="495"/>
      <c r="P38" s="495">
        <v>0.97139200000000003</v>
      </c>
      <c r="Q38" s="495"/>
      <c r="R38" s="495">
        <v>0.97139200000000003</v>
      </c>
      <c r="S38" s="427"/>
      <c r="T38" s="428"/>
      <c r="U38" s="424"/>
      <c r="V38" s="427"/>
      <c r="W38" s="426"/>
      <c r="X38" s="405"/>
    </row>
    <row r="39" spans="1:24"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4" s="513" customFormat="1" x14ac:dyDescent="0.3">
      <c r="A40" s="521"/>
      <c r="B40" s="522" t="s">
        <v>12</v>
      </c>
      <c r="C40" s="522"/>
      <c r="D40" s="540">
        <v>2.5194999999999999E-2</v>
      </c>
      <c r="E40" s="522"/>
      <c r="F40" s="540">
        <v>1.04175E-2</v>
      </c>
      <c r="G40" s="539"/>
      <c r="H40" s="540">
        <v>0</v>
      </c>
      <c r="I40" s="540"/>
      <c r="J40" s="540">
        <v>2.5337499999999999E-2</v>
      </c>
      <c r="K40" s="539"/>
      <c r="L40" s="540">
        <v>1.2817500000000001E-2</v>
      </c>
      <c r="M40" s="539"/>
      <c r="N40" s="540">
        <v>1.6100000000000001E-3</v>
      </c>
      <c r="O40" s="539"/>
      <c r="P40" s="540">
        <v>1.72175E-2</v>
      </c>
      <c r="Q40" s="539"/>
      <c r="R40" s="540">
        <v>6.0099999999999997E-3</v>
      </c>
      <c r="S40" s="539"/>
      <c r="T40" s="540"/>
      <c r="U40" s="522"/>
      <c r="V40" s="528"/>
      <c r="W40" s="524"/>
      <c r="X40" s="512"/>
    </row>
    <row r="41" spans="1:24" s="513" customFormat="1" x14ac:dyDescent="0.3">
      <c r="A41" s="521"/>
      <c r="B41" s="522" t="s">
        <v>13</v>
      </c>
      <c r="C41" s="522"/>
      <c r="D41" s="540">
        <v>2.3116299999999999E-2</v>
      </c>
      <c r="E41" s="522"/>
      <c r="F41" s="540">
        <v>8.8030999999999995E-3</v>
      </c>
      <c r="G41" s="539"/>
      <c r="H41" s="540">
        <v>0</v>
      </c>
      <c r="I41" s="540"/>
      <c r="J41" s="540">
        <v>2.5624999999999998E-2</v>
      </c>
      <c r="K41" s="539"/>
      <c r="L41" s="540">
        <v>1.1203100000000001E-2</v>
      </c>
      <c r="M41" s="539"/>
      <c r="N41" s="540">
        <v>1.5299999999999999E-3</v>
      </c>
      <c r="O41" s="539"/>
      <c r="P41" s="540">
        <v>1.56031E-2</v>
      </c>
      <c r="Q41" s="539"/>
      <c r="R41" s="540">
        <v>5.9300000000000004E-3</v>
      </c>
      <c r="S41" s="539"/>
      <c r="T41" s="540"/>
      <c r="U41" s="522"/>
      <c r="V41" s="539" t="s">
        <v>199</v>
      </c>
      <c r="W41" s="524"/>
      <c r="X41" s="512"/>
    </row>
    <row r="42" spans="1:24" s="513" customFormat="1" x14ac:dyDescent="0.3">
      <c r="A42" s="521"/>
      <c r="B42" s="522" t="s">
        <v>296</v>
      </c>
      <c r="C42" s="522"/>
      <c r="D42" s="528" t="s">
        <v>243</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4" s="513" customFormat="1" x14ac:dyDescent="0.3">
      <c r="A43" s="521"/>
      <c r="B43" s="522" t="s">
        <v>297</v>
      </c>
      <c r="C43" s="541"/>
      <c r="D43" s="540">
        <v>1.06318E-2</v>
      </c>
      <c r="E43" s="540"/>
      <c r="F43" s="540">
        <f>+F40</f>
        <v>1.04175E-2</v>
      </c>
      <c r="G43" s="540"/>
      <c r="H43" s="540">
        <v>1.03395E-2</v>
      </c>
      <c r="I43" s="540"/>
      <c r="J43" s="540">
        <v>1.0581500000000001E-2</v>
      </c>
      <c r="K43" s="540"/>
      <c r="L43" s="540">
        <f>+L40</f>
        <v>1.2817500000000001E-2</v>
      </c>
      <c r="M43" s="540"/>
      <c r="N43" s="540">
        <v>1.30195E-2</v>
      </c>
      <c r="O43" s="540"/>
      <c r="P43" s="540">
        <f>+P40</f>
        <v>1.72175E-2</v>
      </c>
      <c r="Q43" s="539"/>
      <c r="R43" s="540">
        <v>1.76895E-2</v>
      </c>
      <c r="S43" s="528"/>
      <c r="T43" s="528"/>
      <c r="U43" s="522"/>
      <c r="V43" s="539">
        <f>SUMPRODUCT(D43:R43,D35:R35)/V35</f>
        <v>1.1766952616424802E-2</v>
      </c>
      <c r="W43" s="524"/>
      <c r="X43" s="512"/>
    </row>
    <row r="44" spans="1:24" s="513" customFormat="1" x14ac:dyDescent="0.3">
      <c r="A44" s="521"/>
      <c r="B44" s="522" t="s">
        <v>298</v>
      </c>
      <c r="C44" s="541"/>
      <c r="D44" s="540">
        <v>9.0174000000000001E-3</v>
      </c>
      <c r="E44" s="540"/>
      <c r="F44" s="540">
        <f>+F41</f>
        <v>8.8030999999999995E-3</v>
      </c>
      <c r="G44" s="540"/>
      <c r="H44" s="540">
        <v>8.7250999999999995E-3</v>
      </c>
      <c r="I44" s="540"/>
      <c r="J44" s="540">
        <v>8.9671000000000004E-3</v>
      </c>
      <c r="K44" s="540"/>
      <c r="L44" s="540">
        <f>+L41</f>
        <v>1.1203100000000001E-2</v>
      </c>
      <c r="M44" s="540"/>
      <c r="N44" s="540">
        <v>1.14051E-2</v>
      </c>
      <c r="O44" s="540"/>
      <c r="P44" s="540">
        <f>+P41</f>
        <v>1.56031E-2</v>
      </c>
      <c r="Q44" s="539"/>
      <c r="R44" s="540">
        <v>1.6075099999999998E-2</v>
      </c>
      <c r="S44" s="528"/>
      <c r="T44" s="528"/>
      <c r="U44" s="522"/>
      <c r="V44" s="522"/>
      <c r="W44" s="524"/>
      <c r="X44" s="512"/>
    </row>
    <row r="45" spans="1:24"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4"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4"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4" s="513" customFormat="1" x14ac:dyDescent="0.3">
      <c r="A48" s="521"/>
      <c r="B48" s="522" t="s">
        <v>299</v>
      </c>
      <c r="C48" s="522"/>
      <c r="D48" s="528" t="s">
        <v>243</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0.36799033755459842</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209</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43419</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43235</v>
      </c>
      <c r="U57" s="550"/>
      <c r="V57" s="549">
        <v>43326</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43327</v>
      </c>
      <c r="U58" s="550"/>
      <c r="V58" s="549">
        <v>43418</v>
      </c>
      <c r="W58" s="524"/>
      <c r="X58" s="512"/>
    </row>
    <row r="59" spans="1:25" s="513" customFormat="1" x14ac:dyDescent="0.3">
      <c r="A59" s="521"/>
      <c r="B59" s="522" t="s">
        <v>263</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262</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43405</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356</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729444</v>
      </c>
      <c r="O68" s="562"/>
      <c r="P68" s="562">
        <f>13280+163+143-1</f>
        <v>13585</v>
      </c>
      <c r="Q68" s="562"/>
      <c r="R68" s="562">
        <f>163+143</f>
        <v>306</v>
      </c>
      <c r="S68" s="562"/>
      <c r="T68" s="562">
        <v>0</v>
      </c>
      <c r="U68" s="562"/>
      <c r="V68" s="563">
        <f>+N68-P68+R68-T68</f>
        <v>716165</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729444</v>
      </c>
      <c r="O71" s="562"/>
      <c r="P71" s="562">
        <f>SUM(P68:P70)</f>
        <v>13585</v>
      </c>
      <c r="Q71" s="562"/>
      <c r="R71" s="562">
        <f>SUM(R68:R70)</f>
        <v>306</v>
      </c>
      <c r="S71" s="562"/>
      <c r="T71" s="562">
        <f>SUM(T68:T70)</f>
        <v>0</v>
      </c>
      <c r="U71" s="562"/>
      <c r="V71" s="562">
        <f>SUM(V68:V70)</f>
        <v>716165</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729444</v>
      </c>
      <c r="O84" s="562"/>
      <c r="P84" s="562"/>
      <c r="Q84" s="562"/>
      <c r="R84" s="562"/>
      <c r="S84" s="562"/>
      <c r="T84" s="562"/>
      <c r="U84" s="562"/>
      <c r="V84" s="562">
        <f>SUM(V71:V83)</f>
        <v>716165</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+T197</f>
        <v>43404</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13585-159</f>
        <v>13426</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5106+1894-2172-336</f>
        <v>4492</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119+17</f>
        <v>136</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53</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419</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13426</v>
      </c>
      <c r="U96" s="522"/>
      <c r="V96" s="562">
        <f>SUM(V88:V95)</f>
        <v>5100</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128</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13426</v>
      </c>
      <c r="U100" s="522"/>
      <c r="V100" s="562">
        <f>V96+V98+V97+V99</f>
        <v>5228</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-279-92-9</f>
        <v>-380</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256</v>
      </c>
      <c r="C106" s="522"/>
      <c r="D106" s="522"/>
      <c r="E106" s="522"/>
      <c r="F106" s="522"/>
      <c r="G106" s="522"/>
      <c r="H106" s="522"/>
      <c r="I106" s="522"/>
      <c r="J106" s="522"/>
      <c r="K106" s="522"/>
      <c r="L106" s="522"/>
      <c r="M106" s="522"/>
      <c r="N106" s="522"/>
      <c r="O106" s="522"/>
      <c r="P106" s="522"/>
      <c r="Q106" s="522"/>
      <c r="R106" s="522"/>
      <c r="S106" s="522"/>
      <c r="T106" s="522"/>
      <c r="U106" s="522"/>
      <c r="V106" s="563">
        <f>-1420+156</f>
        <v>-1264</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-156</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-277</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-78</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-317</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-72</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-26</v>
      </c>
      <c r="W113" s="422"/>
      <c r="X113" s="405"/>
    </row>
    <row r="114" spans="1:24" x14ac:dyDescent="0.3">
      <c r="A114" s="521">
        <f t="shared" ref="A114:A119"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159</v>
      </c>
      <c r="U114" s="522"/>
      <c r="V114" s="563">
        <v>-159</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-278</v>
      </c>
      <c r="W118" s="422"/>
      <c r="X118" s="405"/>
    </row>
    <row r="119" spans="1:24" x14ac:dyDescent="0.3">
      <c r="A119" s="521">
        <f t="shared" si="0"/>
        <v>14</v>
      </c>
      <c r="B119" s="522" t="s">
        <v>131</v>
      </c>
      <c r="C119" s="522"/>
      <c r="D119" s="522"/>
      <c r="E119" s="522"/>
      <c r="F119" s="522"/>
      <c r="G119" s="522"/>
      <c r="H119" s="522"/>
      <c r="I119" s="522"/>
      <c r="J119" s="522"/>
      <c r="K119" s="522"/>
      <c r="L119" s="522"/>
      <c r="M119" s="522"/>
      <c r="N119" s="522"/>
      <c r="O119" s="522"/>
      <c r="P119" s="522"/>
      <c r="Q119" s="522"/>
      <c r="R119" s="522"/>
      <c r="S119" s="522"/>
      <c r="T119" s="522"/>
      <c r="U119" s="522"/>
      <c r="V119" s="563">
        <f>-V100-SUM(V102:V118)</f>
        <v>-2219</v>
      </c>
      <c r="W119" s="422"/>
      <c r="X119" s="405"/>
    </row>
    <row r="120" spans="1:24" x14ac:dyDescent="0.3">
      <c r="A120" s="420"/>
      <c r="B120" s="501" t="s">
        <v>38</v>
      </c>
      <c r="C120" s="424"/>
      <c r="D120" s="424"/>
      <c r="E120" s="424"/>
      <c r="F120" s="424"/>
      <c r="G120" s="424"/>
      <c r="H120" s="424"/>
      <c r="I120" s="424"/>
      <c r="J120" s="424"/>
      <c r="K120" s="424"/>
      <c r="L120" s="424"/>
      <c r="M120" s="424"/>
      <c r="N120" s="424"/>
      <c r="O120" s="424"/>
      <c r="P120" s="424"/>
      <c r="Q120" s="424"/>
      <c r="R120" s="424"/>
      <c r="S120" s="424"/>
      <c r="T120" s="424"/>
      <c r="U120" s="424"/>
      <c r="V120" s="443"/>
      <c r="W120" s="426"/>
      <c r="X120" s="405"/>
    </row>
    <row r="121" spans="1:24" x14ac:dyDescent="0.3">
      <c r="A121" s="420"/>
      <c r="B121" s="522" t="s">
        <v>179</v>
      </c>
      <c r="C121" s="522"/>
      <c r="D121" s="522"/>
      <c r="E121" s="522"/>
      <c r="F121" s="522"/>
      <c r="G121" s="522"/>
      <c r="H121" s="522"/>
      <c r="I121" s="522"/>
      <c r="J121" s="522"/>
      <c r="K121" s="522"/>
      <c r="L121" s="522"/>
      <c r="M121" s="522"/>
      <c r="N121" s="522"/>
      <c r="O121" s="522"/>
      <c r="P121" s="522"/>
      <c r="Q121" s="522"/>
      <c r="R121" s="522"/>
      <c r="S121" s="522"/>
      <c r="T121" s="562">
        <f>-T181</f>
        <v>0</v>
      </c>
      <c r="U121" s="562"/>
      <c r="V121" s="563"/>
      <c r="W121" s="524"/>
      <c r="X121" s="405"/>
    </row>
    <row r="122" spans="1:24" x14ac:dyDescent="0.3">
      <c r="A122" s="420"/>
      <c r="B122" s="522" t="s">
        <v>180</v>
      </c>
      <c r="C122" s="522"/>
      <c r="D122" s="522"/>
      <c r="E122" s="522"/>
      <c r="F122" s="522"/>
      <c r="G122" s="522"/>
      <c r="H122" s="522"/>
      <c r="I122" s="522"/>
      <c r="J122" s="522"/>
      <c r="K122" s="522"/>
      <c r="L122" s="522"/>
      <c r="M122" s="522"/>
      <c r="N122" s="522"/>
      <c r="O122" s="522"/>
      <c r="P122" s="522"/>
      <c r="Q122" s="522"/>
      <c r="R122" s="522"/>
      <c r="S122" s="522"/>
      <c r="T122" s="562">
        <v>0</v>
      </c>
      <c r="U122" s="562"/>
      <c r="V122" s="563"/>
      <c r="W122" s="524"/>
      <c r="X122" s="405"/>
    </row>
    <row r="123" spans="1:24" x14ac:dyDescent="0.3">
      <c r="A123" s="420"/>
      <c r="B123" s="522" t="s">
        <v>39</v>
      </c>
      <c r="C123" s="522"/>
      <c r="D123" s="522"/>
      <c r="E123" s="522"/>
      <c r="F123" s="522"/>
      <c r="G123" s="522"/>
      <c r="H123" s="522"/>
      <c r="I123" s="522"/>
      <c r="J123" s="522"/>
      <c r="K123" s="522"/>
      <c r="L123" s="522"/>
      <c r="M123" s="522"/>
      <c r="N123" s="522"/>
      <c r="O123" s="522"/>
      <c r="P123" s="522"/>
      <c r="Q123" s="522"/>
      <c r="R123" s="522"/>
      <c r="S123" s="522"/>
      <c r="T123" s="562">
        <f>-S181</f>
        <v>-306</v>
      </c>
      <c r="U123" s="562"/>
      <c r="V123" s="563"/>
      <c r="W123" s="524"/>
      <c r="X123" s="405"/>
    </row>
    <row r="124" spans="1:24" x14ac:dyDescent="0.3">
      <c r="A124" s="420"/>
      <c r="B124" s="522" t="s">
        <v>203</v>
      </c>
      <c r="C124" s="522"/>
      <c r="D124" s="522"/>
      <c r="E124" s="522"/>
      <c r="F124" s="522"/>
      <c r="G124" s="522"/>
      <c r="H124" s="522"/>
      <c r="I124" s="522"/>
      <c r="J124" s="522"/>
      <c r="K124" s="522"/>
      <c r="L124" s="522"/>
      <c r="M124" s="522"/>
      <c r="N124" s="522"/>
      <c r="O124" s="522"/>
      <c r="P124" s="522"/>
      <c r="Q124" s="522"/>
      <c r="R124" s="522"/>
      <c r="S124" s="522"/>
      <c r="T124" s="562">
        <v>-6096</v>
      </c>
      <c r="U124" s="562"/>
      <c r="V124" s="563"/>
      <c r="W124" s="524"/>
      <c r="X124" s="405"/>
    </row>
    <row r="125" spans="1:24" x14ac:dyDescent="0.3">
      <c r="A125" s="420"/>
      <c r="B125" s="522" t="s">
        <v>201</v>
      </c>
      <c r="C125" s="522"/>
      <c r="D125" s="522"/>
      <c r="E125" s="522"/>
      <c r="F125" s="522"/>
      <c r="G125" s="522"/>
      <c r="H125" s="522"/>
      <c r="I125" s="522"/>
      <c r="J125" s="522"/>
      <c r="K125" s="522"/>
      <c r="L125" s="522"/>
      <c r="M125" s="522"/>
      <c r="N125" s="522"/>
      <c r="O125" s="522"/>
      <c r="P125" s="522"/>
      <c r="Q125" s="522"/>
      <c r="R125" s="522"/>
      <c r="S125" s="522"/>
      <c r="T125" s="562">
        <v>-1084</v>
      </c>
      <c r="U125" s="562"/>
      <c r="V125" s="563"/>
      <c r="W125" s="524"/>
      <c r="X125" s="405"/>
    </row>
    <row r="126" spans="1:24" x14ac:dyDescent="0.3">
      <c r="A126" s="420"/>
      <c r="B126" s="522" t="s">
        <v>200</v>
      </c>
      <c r="C126" s="522"/>
      <c r="D126" s="522"/>
      <c r="E126" s="522"/>
      <c r="F126" s="522"/>
      <c r="G126" s="522"/>
      <c r="H126" s="522"/>
      <c r="I126" s="522"/>
      <c r="J126" s="522"/>
      <c r="K126" s="522"/>
      <c r="L126" s="522"/>
      <c r="M126" s="522"/>
      <c r="N126" s="522"/>
      <c r="O126" s="522"/>
      <c r="P126" s="522"/>
      <c r="Q126" s="522"/>
      <c r="R126" s="522"/>
      <c r="S126" s="522"/>
      <c r="T126" s="562">
        <v>-1263</v>
      </c>
      <c r="U126" s="562"/>
      <c r="V126" s="563"/>
      <c r="W126" s="524"/>
      <c r="X126" s="405"/>
    </row>
    <row r="127" spans="1:24" x14ac:dyDescent="0.3">
      <c r="A127" s="420"/>
      <c r="B127" s="522" t="s">
        <v>260</v>
      </c>
      <c r="C127" s="522"/>
      <c r="D127" s="522"/>
      <c r="E127" s="522"/>
      <c r="F127" s="522"/>
      <c r="G127" s="522"/>
      <c r="H127" s="522"/>
      <c r="I127" s="522"/>
      <c r="J127" s="522"/>
      <c r="K127" s="522"/>
      <c r="L127" s="522"/>
      <c r="M127" s="522"/>
      <c r="N127" s="522"/>
      <c r="O127" s="522"/>
      <c r="P127" s="522"/>
      <c r="Q127" s="522"/>
      <c r="R127" s="522"/>
      <c r="S127" s="522"/>
      <c r="T127" s="562">
        <v>-1264</v>
      </c>
      <c r="U127" s="562"/>
      <c r="V127" s="563"/>
      <c r="W127" s="524"/>
      <c r="X127" s="405"/>
    </row>
    <row r="128" spans="1:24" x14ac:dyDescent="0.3">
      <c r="A128" s="420"/>
      <c r="B128" s="522" t="s">
        <v>195</v>
      </c>
      <c r="C128" s="522"/>
      <c r="D128" s="522"/>
      <c r="E128" s="522"/>
      <c r="F128" s="522"/>
      <c r="G128" s="522"/>
      <c r="H128" s="522"/>
      <c r="I128" s="522"/>
      <c r="J128" s="522"/>
      <c r="K128" s="522"/>
      <c r="L128" s="522"/>
      <c r="M128" s="522"/>
      <c r="N128" s="522"/>
      <c r="O128" s="522"/>
      <c r="P128" s="522"/>
      <c r="Q128" s="522"/>
      <c r="R128" s="522"/>
      <c r="S128" s="522"/>
      <c r="T128" s="562">
        <v>-442</v>
      </c>
      <c r="U128" s="562"/>
      <c r="V128" s="563"/>
      <c r="W128" s="524"/>
      <c r="X128" s="405"/>
    </row>
    <row r="129" spans="1:24" x14ac:dyDescent="0.3">
      <c r="A129" s="420"/>
      <c r="B129" s="522" t="s">
        <v>194</v>
      </c>
      <c r="C129" s="522"/>
      <c r="D129" s="522"/>
      <c r="E129" s="522"/>
      <c r="F129" s="522"/>
      <c r="G129" s="522"/>
      <c r="H129" s="522"/>
      <c r="I129" s="522"/>
      <c r="J129" s="522"/>
      <c r="K129" s="522"/>
      <c r="L129" s="522"/>
      <c r="M129" s="522"/>
      <c r="N129" s="522"/>
      <c r="O129" s="522"/>
      <c r="P129" s="522"/>
      <c r="Q129" s="522"/>
      <c r="R129" s="522"/>
      <c r="S129" s="522"/>
      <c r="T129" s="562">
        <v>-1537</v>
      </c>
      <c r="U129" s="562"/>
      <c r="V129" s="563"/>
      <c r="W129" s="524"/>
      <c r="X129" s="405"/>
    </row>
    <row r="130" spans="1:24" x14ac:dyDescent="0.3">
      <c r="A130" s="420"/>
      <c r="B130" s="522" t="s">
        <v>261</v>
      </c>
      <c r="C130" s="522"/>
      <c r="D130" s="522"/>
      <c r="E130" s="522"/>
      <c r="F130" s="522"/>
      <c r="G130" s="522"/>
      <c r="H130" s="522"/>
      <c r="I130" s="522"/>
      <c r="J130" s="522"/>
      <c r="K130" s="522"/>
      <c r="L130" s="522"/>
      <c r="M130" s="522"/>
      <c r="N130" s="522"/>
      <c r="O130" s="522"/>
      <c r="P130" s="522"/>
      <c r="Q130" s="522"/>
      <c r="R130" s="522"/>
      <c r="S130" s="522"/>
      <c r="T130" s="562">
        <v>-300</v>
      </c>
      <c r="U130" s="562"/>
      <c r="V130" s="563"/>
      <c r="W130" s="524"/>
      <c r="X130" s="405"/>
    </row>
    <row r="131" spans="1:24" x14ac:dyDescent="0.3">
      <c r="A131" s="420"/>
      <c r="B131" s="522" t="s">
        <v>193</v>
      </c>
      <c r="C131" s="522"/>
      <c r="D131" s="522"/>
      <c r="E131" s="522"/>
      <c r="F131" s="522"/>
      <c r="G131" s="522"/>
      <c r="H131" s="522"/>
      <c r="I131" s="522"/>
      <c r="J131" s="522"/>
      <c r="K131" s="522"/>
      <c r="L131" s="522"/>
      <c r="M131" s="522"/>
      <c r="N131" s="522"/>
      <c r="O131" s="522"/>
      <c r="P131" s="522"/>
      <c r="Q131" s="522"/>
      <c r="R131" s="522"/>
      <c r="S131" s="522"/>
      <c r="T131" s="562">
        <v>-1293</v>
      </c>
      <c r="U131" s="562"/>
      <c r="V131" s="563"/>
      <c r="W131" s="524"/>
      <c r="X131" s="405"/>
    </row>
    <row r="132" spans="1:24" x14ac:dyDescent="0.3">
      <c r="A132" s="420"/>
      <c r="B132" s="522" t="s">
        <v>40</v>
      </c>
      <c r="C132" s="522"/>
      <c r="D132" s="522"/>
      <c r="E132" s="522"/>
      <c r="F132" s="522"/>
      <c r="G132" s="522"/>
      <c r="H132" s="522"/>
      <c r="I132" s="522"/>
      <c r="J132" s="522"/>
      <c r="K132" s="522"/>
      <c r="L132" s="522"/>
      <c r="M132" s="522"/>
      <c r="N132" s="522"/>
      <c r="O132" s="522"/>
      <c r="P132" s="522"/>
      <c r="Q132" s="522"/>
      <c r="R132" s="522"/>
      <c r="S132" s="522"/>
      <c r="T132" s="562">
        <f>SUM(T121:T131)</f>
        <v>-13585</v>
      </c>
      <c r="U132" s="562"/>
      <c r="V132" s="562">
        <f>SUM(V101:V129)</f>
        <v>-5228</v>
      </c>
      <c r="W132" s="524"/>
      <c r="X132" s="405"/>
    </row>
    <row r="133" spans="1:24" x14ac:dyDescent="0.3">
      <c r="A133" s="420"/>
      <c r="B133" s="522" t="s">
        <v>41</v>
      </c>
      <c r="C133" s="522"/>
      <c r="D133" s="522"/>
      <c r="E133" s="522"/>
      <c r="F133" s="522"/>
      <c r="G133" s="522"/>
      <c r="H133" s="522"/>
      <c r="I133" s="522"/>
      <c r="J133" s="522"/>
      <c r="K133" s="522"/>
      <c r="L133" s="522"/>
      <c r="M133" s="522"/>
      <c r="N133" s="522"/>
      <c r="O133" s="522"/>
      <c r="P133" s="522"/>
      <c r="Q133" s="522"/>
      <c r="R133" s="522"/>
      <c r="S133" s="522"/>
      <c r="T133" s="562">
        <f>T100+T132+T114</f>
        <v>0</v>
      </c>
      <c r="U133" s="562"/>
      <c r="V133" s="562">
        <f>V100+V132</f>
        <v>0</v>
      </c>
      <c r="W133" s="524"/>
      <c r="X133" s="405"/>
    </row>
    <row r="134" spans="1:24" x14ac:dyDescent="0.3">
      <c r="A134" s="407"/>
      <c r="B134" s="552"/>
      <c r="C134" s="552"/>
      <c r="D134" s="552"/>
      <c r="E134" s="552"/>
      <c r="F134" s="552"/>
      <c r="G134" s="552"/>
      <c r="H134" s="552"/>
      <c r="I134" s="552"/>
      <c r="J134" s="552"/>
      <c r="K134" s="552"/>
      <c r="L134" s="552"/>
      <c r="M134" s="552"/>
      <c r="N134" s="552"/>
      <c r="O134" s="552"/>
      <c r="P134" s="552"/>
      <c r="Q134" s="552"/>
      <c r="R134" s="552"/>
      <c r="S134" s="552"/>
      <c r="T134" s="567"/>
      <c r="U134" s="567"/>
      <c r="V134" s="567"/>
      <c r="W134" s="552"/>
      <c r="X134" s="405"/>
    </row>
    <row r="135" spans="1:24" x14ac:dyDescent="0.3">
      <c r="A135" s="407"/>
      <c r="B135" s="510"/>
      <c r="C135" s="510"/>
      <c r="D135" s="510"/>
      <c r="E135" s="510"/>
      <c r="F135" s="510"/>
      <c r="G135" s="510"/>
      <c r="H135" s="510"/>
      <c r="I135" s="510"/>
      <c r="J135" s="510"/>
      <c r="K135" s="510"/>
      <c r="L135" s="510"/>
      <c r="M135" s="510"/>
      <c r="N135" s="510"/>
      <c r="O135" s="510"/>
      <c r="P135" s="510"/>
      <c r="Q135" s="510"/>
      <c r="R135" s="510"/>
      <c r="S135" s="510"/>
      <c r="T135" s="510"/>
      <c r="U135" s="510"/>
      <c r="V135" s="568"/>
      <c r="W135" s="510"/>
      <c r="X135" s="405"/>
    </row>
    <row r="136" spans="1:24" ht="18.600000000000001" thickBot="1" x14ac:dyDescent="0.4">
      <c r="A136" s="430"/>
      <c r="B136" s="558" t="str">
        <f>B64</f>
        <v>PM12 INVESTOR REPORT QUARTER ENDING OCTOBER 2018</v>
      </c>
      <c r="C136" s="559"/>
      <c r="D136" s="559"/>
      <c r="E136" s="559"/>
      <c r="F136" s="559"/>
      <c r="G136" s="559"/>
      <c r="H136" s="559"/>
      <c r="I136" s="559"/>
      <c r="J136" s="559"/>
      <c r="K136" s="559"/>
      <c r="L136" s="559"/>
      <c r="M136" s="559"/>
      <c r="N136" s="559"/>
      <c r="O136" s="559"/>
      <c r="P136" s="559"/>
      <c r="Q136" s="559"/>
      <c r="R136" s="559"/>
      <c r="S136" s="559"/>
      <c r="T136" s="559"/>
      <c r="U136" s="559"/>
      <c r="V136" s="569"/>
      <c r="W136" s="561"/>
      <c r="X136" s="405"/>
    </row>
    <row r="137" spans="1:24" x14ac:dyDescent="0.3">
      <c r="A137" s="444"/>
      <c r="B137" s="445" t="s">
        <v>42</v>
      </c>
      <c r="C137" s="446"/>
      <c r="D137" s="446"/>
      <c r="E137" s="446"/>
      <c r="F137" s="446"/>
      <c r="G137" s="446"/>
      <c r="H137" s="446"/>
      <c r="I137" s="446"/>
      <c r="J137" s="446"/>
      <c r="K137" s="446"/>
      <c r="L137" s="446"/>
      <c r="M137" s="446"/>
      <c r="N137" s="446"/>
      <c r="O137" s="446"/>
      <c r="P137" s="446"/>
      <c r="Q137" s="446"/>
      <c r="R137" s="446"/>
      <c r="S137" s="446"/>
      <c r="T137" s="446"/>
      <c r="U137" s="446"/>
      <c r="V137" s="447"/>
      <c r="W137" s="446"/>
      <c r="X137" s="405"/>
    </row>
    <row r="138" spans="1:24" x14ac:dyDescent="0.3">
      <c r="A138" s="407"/>
      <c r="B138" s="448"/>
      <c r="C138" s="409"/>
      <c r="D138" s="409"/>
      <c r="E138" s="409"/>
      <c r="F138" s="409"/>
      <c r="G138" s="409"/>
      <c r="H138" s="409"/>
      <c r="I138" s="409"/>
      <c r="J138" s="409"/>
      <c r="K138" s="409"/>
      <c r="L138" s="409"/>
      <c r="M138" s="409"/>
      <c r="N138" s="409"/>
      <c r="O138" s="409"/>
      <c r="P138" s="409"/>
      <c r="Q138" s="409"/>
      <c r="R138" s="409"/>
      <c r="S138" s="409"/>
      <c r="T138" s="409"/>
      <c r="U138" s="409"/>
      <c r="V138" s="433"/>
      <c r="W138" s="409"/>
      <c r="X138" s="405"/>
    </row>
    <row r="139" spans="1:24" x14ac:dyDescent="0.3">
      <c r="A139" s="407"/>
      <c r="B139" s="502" t="s">
        <v>43</v>
      </c>
      <c r="C139" s="409"/>
      <c r="D139" s="409"/>
      <c r="E139" s="409"/>
      <c r="F139" s="409"/>
      <c r="G139" s="409"/>
      <c r="H139" s="409"/>
      <c r="I139" s="409"/>
      <c r="J139" s="409"/>
      <c r="K139" s="409"/>
      <c r="L139" s="409"/>
      <c r="M139" s="409"/>
      <c r="N139" s="409"/>
      <c r="O139" s="409"/>
      <c r="P139" s="409"/>
      <c r="Q139" s="409"/>
      <c r="R139" s="409"/>
      <c r="S139" s="409"/>
      <c r="T139" s="409"/>
      <c r="U139" s="409"/>
      <c r="V139" s="433"/>
      <c r="W139" s="409"/>
      <c r="X139" s="405"/>
    </row>
    <row r="140" spans="1:24" s="513" customFormat="1" x14ac:dyDescent="0.3">
      <c r="A140" s="521"/>
      <c r="B140" s="522" t="s">
        <v>44</v>
      </c>
      <c r="C140" s="522"/>
      <c r="D140" s="522"/>
      <c r="E140" s="522"/>
      <c r="F140" s="522"/>
      <c r="G140" s="522"/>
      <c r="H140" s="522"/>
      <c r="I140" s="522"/>
      <c r="J140" s="522"/>
      <c r="K140" s="522"/>
      <c r="L140" s="522"/>
      <c r="M140" s="522"/>
      <c r="N140" s="522"/>
      <c r="O140" s="522"/>
      <c r="P140" s="522"/>
      <c r="Q140" s="522"/>
      <c r="R140" s="522"/>
      <c r="S140" s="522"/>
      <c r="T140" s="522"/>
      <c r="U140" s="522"/>
      <c r="V140" s="563">
        <f>+V34*0.019</f>
        <v>28503.895</v>
      </c>
      <c r="W140" s="524"/>
      <c r="X140" s="512"/>
    </row>
    <row r="141" spans="1:24" s="513" customFormat="1" x14ac:dyDescent="0.3">
      <c r="A141" s="521"/>
      <c r="B141" s="522" t="s">
        <v>45</v>
      </c>
      <c r="C141" s="522"/>
      <c r="D141" s="522"/>
      <c r="E141" s="522"/>
      <c r="F141" s="522"/>
      <c r="G141" s="522"/>
      <c r="H141" s="522"/>
      <c r="I141" s="522"/>
      <c r="J141" s="522"/>
      <c r="K141" s="522"/>
      <c r="L141" s="522"/>
      <c r="M141" s="522"/>
      <c r="N141" s="522"/>
      <c r="O141" s="522"/>
      <c r="P141" s="522"/>
      <c r="Q141" s="522"/>
      <c r="R141" s="522"/>
      <c r="S141" s="522"/>
      <c r="T141" s="522"/>
      <c r="U141" s="522"/>
      <c r="V141" s="563">
        <v>28504</v>
      </c>
      <c r="W141" s="524"/>
      <c r="X141" s="512"/>
    </row>
    <row r="142" spans="1:24" s="513" customFormat="1" x14ac:dyDescent="0.3">
      <c r="A142" s="521"/>
      <c r="B142" s="522" t="s">
        <v>141</v>
      </c>
      <c r="C142" s="522"/>
      <c r="D142" s="522"/>
      <c r="E142" s="522"/>
      <c r="F142" s="522"/>
      <c r="G142" s="522"/>
      <c r="H142" s="522"/>
      <c r="I142" s="522"/>
      <c r="J142" s="522"/>
      <c r="K142" s="522"/>
      <c r="L142" s="522"/>
      <c r="M142" s="522"/>
      <c r="N142" s="522"/>
      <c r="O142" s="522"/>
      <c r="P142" s="522"/>
      <c r="Q142" s="522"/>
      <c r="R142" s="522"/>
      <c r="S142" s="522"/>
      <c r="T142" s="522"/>
      <c r="U142" s="522"/>
      <c r="V142" s="563">
        <v>0</v>
      </c>
      <c r="W142" s="524"/>
      <c r="X142" s="512"/>
    </row>
    <row r="143" spans="1:24" s="513" customFormat="1" x14ac:dyDescent="0.3">
      <c r="A143" s="521"/>
      <c r="B143" s="522" t="s">
        <v>128</v>
      </c>
      <c r="C143" s="522"/>
      <c r="D143" s="522"/>
      <c r="E143" s="522"/>
      <c r="F143" s="522"/>
      <c r="G143" s="522"/>
      <c r="H143" s="522"/>
      <c r="I143" s="522"/>
      <c r="J143" s="522"/>
      <c r="K143" s="522"/>
      <c r="L143" s="522"/>
      <c r="M143" s="522"/>
      <c r="N143" s="522"/>
      <c r="O143" s="522"/>
      <c r="P143" s="522"/>
      <c r="Q143" s="522"/>
      <c r="R143" s="522"/>
      <c r="S143" s="522"/>
      <c r="T143" s="522"/>
      <c r="U143" s="522"/>
      <c r="V143" s="563">
        <v>0</v>
      </c>
      <c r="W143" s="524"/>
      <c r="X143" s="512"/>
    </row>
    <row r="144" spans="1:24" s="513" customFormat="1" x14ac:dyDescent="0.3">
      <c r="A144" s="521"/>
      <c r="B144" s="522" t="s">
        <v>129</v>
      </c>
      <c r="C144" s="522"/>
      <c r="D144" s="522"/>
      <c r="E144" s="522"/>
      <c r="F144" s="522"/>
      <c r="G144" s="522"/>
      <c r="H144" s="522"/>
      <c r="I144" s="522"/>
      <c r="J144" s="522"/>
      <c r="K144" s="522"/>
      <c r="L144" s="522"/>
      <c r="M144" s="522"/>
      <c r="N144" s="522"/>
      <c r="O144" s="522"/>
      <c r="P144" s="522"/>
      <c r="Q144" s="522"/>
      <c r="R144" s="522"/>
      <c r="S144" s="522"/>
      <c r="T144" s="522"/>
      <c r="U144" s="522"/>
      <c r="V144" s="563">
        <v>0</v>
      </c>
      <c r="W144" s="524"/>
      <c r="X144" s="512"/>
    </row>
    <row r="145" spans="1:25" s="513" customFormat="1" x14ac:dyDescent="0.3">
      <c r="A145" s="521"/>
      <c r="B145" s="522" t="s">
        <v>181</v>
      </c>
      <c r="C145" s="522"/>
      <c r="D145" s="522"/>
      <c r="E145" s="522"/>
      <c r="F145" s="522"/>
      <c r="G145" s="522"/>
      <c r="H145" s="522"/>
      <c r="I145" s="522"/>
      <c r="J145" s="522"/>
      <c r="K145" s="522"/>
      <c r="L145" s="522"/>
      <c r="M145" s="522"/>
      <c r="N145" s="522"/>
      <c r="O145" s="522"/>
      <c r="P145" s="522"/>
      <c r="Q145" s="522"/>
      <c r="R145" s="522"/>
      <c r="S145" s="522"/>
      <c r="T145" s="522"/>
      <c r="U145" s="522"/>
      <c r="V145" s="563">
        <v>0</v>
      </c>
      <c r="W145" s="524"/>
      <c r="X145" s="512"/>
    </row>
    <row r="146" spans="1:25" s="513" customFormat="1" x14ac:dyDescent="0.3">
      <c r="A146" s="521"/>
      <c r="B146" s="522" t="s">
        <v>46</v>
      </c>
      <c r="C146" s="522"/>
      <c r="D146" s="522"/>
      <c r="E146" s="522"/>
      <c r="F146" s="522"/>
      <c r="G146" s="522"/>
      <c r="H146" s="522"/>
      <c r="I146" s="522"/>
      <c r="J146" s="522"/>
      <c r="K146" s="522"/>
      <c r="L146" s="522"/>
      <c r="M146" s="522"/>
      <c r="N146" s="522"/>
      <c r="O146" s="522"/>
      <c r="P146" s="522"/>
      <c r="Q146" s="522"/>
      <c r="R146" s="522"/>
      <c r="S146" s="522"/>
      <c r="T146" s="522"/>
      <c r="U146" s="522"/>
      <c r="V146" s="563">
        <v>0</v>
      </c>
      <c r="W146" s="524"/>
      <c r="X146" s="512"/>
    </row>
    <row r="147" spans="1:25" s="513" customFormat="1" x14ac:dyDescent="0.3">
      <c r="A147" s="521"/>
      <c r="B147" s="522" t="s">
        <v>134</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5" s="513" customFormat="1" x14ac:dyDescent="0.3">
      <c r="A148" s="521"/>
      <c r="B148" s="522" t="s">
        <v>230</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c r="Y148" s="570"/>
    </row>
    <row r="149" spans="1:25" s="513" customFormat="1" x14ac:dyDescent="0.3">
      <c r="A149" s="521"/>
      <c r="B149" s="522" t="s">
        <v>47</v>
      </c>
      <c r="C149" s="522"/>
      <c r="D149" s="522"/>
      <c r="E149" s="522"/>
      <c r="F149" s="522"/>
      <c r="G149" s="522"/>
      <c r="H149" s="522"/>
      <c r="I149" s="522"/>
      <c r="J149" s="522"/>
      <c r="K149" s="522"/>
      <c r="L149" s="522"/>
      <c r="M149" s="522"/>
      <c r="N149" s="522"/>
      <c r="O149" s="522"/>
      <c r="P149" s="522"/>
      <c r="Q149" s="522"/>
      <c r="R149" s="522"/>
      <c r="S149" s="522"/>
      <c r="T149" s="522"/>
      <c r="U149" s="522"/>
      <c r="V149" s="563">
        <f>SUM(V141:V148)</f>
        <v>28504</v>
      </c>
      <c r="W149" s="524"/>
      <c r="X149" s="512"/>
    </row>
    <row r="150" spans="1:25" x14ac:dyDescent="0.3">
      <c r="A150" s="420"/>
      <c r="B150" s="424"/>
      <c r="C150" s="424"/>
      <c r="D150" s="424"/>
      <c r="E150" s="424"/>
      <c r="F150" s="424"/>
      <c r="G150" s="424"/>
      <c r="H150" s="424"/>
      <c r="I150" s="424"/>
      <c r="J150" s="424"/>
      <c r="K150" s="424"/>
      <c r="L150" s="424"/>
      <c r="M150" s="424"/>
      <c r="N150" s="424"/>
      <c r="O150" s="424"/>
      <c r="P150" s="424"/>
      <c r="Q150" s="424"/>
      <c r="R150" s="424"/>
      <c r="S150" s="424"/>
      <c r="T150" s="424"/>
      <c r="U150" s="424"/>
      <c r="V150" s="440"/>
      <c r="W150" s="426"/>
      <c r="X150" s="405"/>
    </row>
    <row r="151" spans="1:25" x14ac:dyDescent="0.3">
      <c r="A151" s="420"/>
      <c r="B151" s="501" t="s">
        <v>269</v>
      </c>
      <c r="C151" s="424"/>
      <c r="D151" s="424"/>
      <c r="E151" s="424"/>
      <c r="F151" s="424"/>
      <c r="G151" s="424"/>
      <c r="H151" s="424"/>
      <c r="I151" s="424"/>
      <c r="J151" s="424"/>
      <c r="K151" s="424"/>
      <c r="L151" s="424"/>
      <c r="M151" s="424"/>
      <c r="N151" s="424"/>
      <c r="O151" s="424"/>
      <c r="P151" s="424"/>
      <c r="Q151" s="424"/>
      <c r="R151" s="424"/>
      <c r="S151" s="424"/>
      <c r="T151" s="424"/>
      <c r="U151" s="424"/>
      <c r="V151" s="440"/>
      <c r="W151" s="426"/>
      <c r="X151" s="405"/>
    </row>
    <row r="152" spans="1:25" s="513" customFormat="1" x14ac:dyDescent="0.3">
      <c r="A152" s="521"/>
      <c r="B152" s="522" t="s">
        <v>160</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5" s="513" customFormat="1" x14ac:dyDescent="0.3">
      <c r="A153" s="521"/>
      <c r="B153" s="522" t="s">
        <v>178</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row>
    <row r="154" spans="1:25" s="513" customFormat="1" x14ac:dyDescent="0.3">
      <c r="A154" s="521"/>
      <c r="B154" s="522" t="s">
        <v>270</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row>
    <row r="155" spans="1:25" x14ac:dyDescent="0.3">
      <c r="A155" s="420"/>
      <c r="B155" s="424"/>
      <c r="C155" s="424"/>
      <c r="D155" s="424"/>
      <c r="E155" s="424"/>
      <c r="F155" s="424"/>
      <c r="G155" s="424"/>
      <c r="H155" s="424"/>
      <c r="I155" s="424"/>
      <c r="J155" s="424"/>
      <c r="K155" s="424"/>
      <c r="L155" s="424"/>
      <c r="M155" s="424"/>
      <c r="N155" s="424"/>
      <c r="O155" s="424"/>
      <c r="P155" s="424"/>
      <c r="Q155" s="424"/>
      <c r="R155" s="424"/>
      <c r="S155" s="424"/>
      <c r="T155" s="424"/>
      <c r="U155" s="424"/>
      <c r="V155" s="440"/>
      <c r="W155" s="426"/>
      <c r="X155" s="405"/>
    </row>
    <row r="156" spans="1:25" x14ac:dyDescent="0.3">
      <c r="A156" s="407"/>
      <c r="B156" s="429"/>
      <c r="C156" s="429"/>
      <c r="D156" s="429"/>
      <c r="E156" s="429"/>
      <c r="F156" s="429"/>
      <c r="G156" s="429"/>
      <c r="H156" s="429"/>
      <c r="I156" s="429"/>
      <c r="J156" s="429"/>
      <c r="K156" s="429"/>
      <c r="L156" s="429"/>
      <c r="M156" s="429"/>
      <c r="N156" s="429"/>
      <c r="O156" s="429"/>
      <c r="P156" s="429"/>
      <c r="Q156" s="429"/>
      <c r="R156" s="429"/>
      <c r="S156" s="429"/>
      <c r="T156" s="429"/>
      <c r="U156" s="429"/>
      <c r="V156" s="449"/>
      <c r="W156" s="429"/>
      <c r="X156" s="405"/>
    </row>
    <row r="157" spans="1:25" x14ac:dyDescent="0.3">
      <c r="A157" s="407"/>
      <c r="B157" s="502" t="s">
        <v>24</v>
      </c>
      <c r="C157" s="409"/>
      <c r="D157" s="409"/>
      <c r="E157" s="409"/>
      <c r="F157" s="409"/>
      <c r="G157" s="409"/>
      <c r="H157" s="409"/>
      <c r="I157" s="409"/>
      <c r="J157" s="409"/>
      <c r="K157" s="409"/>
      <c r="L157" s="409"/>
      <c r="M157" s="409"/>
      <c r="N157" s="409"/>
      <c r="O157" s="409"/>
      <c r="P157" s="409"/>
      <c r="Q157" s="409"/>
      <c r="R157" s="409"/>
      <c r="S157" s="409"/>
      <c r="T157" s="409"/>
      <c r="U157" s="409"/>
      <c r="V157" s="433"/>
      <c r="W157" s="409"/>
      <c r="X157" s="405"/>
    </row>
    <row r="158" spans="1:25" s="513" customFormat="1" x14ac:dyDescent="0.3">
      <c r="A158" s="521"/>
      <c r="B158" s="522" t="s">
        <v>48</v>
      </c>
      <c r="C158" s="522"/>
      <c r="D158" s="522"/>
      <c r="E158" s="522"/>
      <c r="F158" s="522"/>
      <c r="G158" s="522"/>
      <c r="H158" s="522"/>
      <c r="I158" s="522"/>
      <c r="J158" s="522"/>
      <c r="K158" s="522"/>
      <c r="L158" s="522"/>
      <c r="M158" s="522"/>
      <c r="N158" s="522"/>
      <c r="O158" s="522"/>
      <c r="P158" s="522"/>
      <c r="Q158" s="522"/>
      <c r="R158" s="522"/>
      <c r="S158" s="522"/>
      <c r="T158" s="522"/>
      <c r="U158" s="522"/>
      <c r="V158" s="571" t="s">
        <v>123</v>
      </c>
      <c r="W158" s="524"/>
      <c r="X158" s="512"/>
    </row>
    <row r="159" spans="1:25" s="513" customFormat="1" x14ac:dyDescent="0.3">
      <c r="A159" s="521"/>
      <c r="B159" s="522" t="s">
        <v>49</v>
      </c>
      <c r="C159" s="522"/>
      <c r="D159" s="522"/>
      <c r="E159" s="522"/>
      <c r="F159" s="522"/>
      <c r="G159" s="522"/>
      <c r="H159" s="522"/>
      <c r="I159" s="522"/>
      <c r="J159" s="522"/>
      <c r="K159" s="522"/>
      <c r="L159" s="522"/>
      <c r="M159" s="522"/>
      <c r="N159" s="522"/>
      <c r="O159" s="522"/>
      <c r="P159" s="522"/>
      <c r="Q159" s="522"/>
      <c r="R159" s="522"/>
      <c r="S159" s="522"/>
      <c r="T159" s="522"/>
      <c r="U159" s="522"/>
      <c r="V159" s="571" t="s">
        <v>123</v>
      </c>
      <c r="W159" s="524"/>
      <c r="X159" s="512"/>
    </row>
    <row r="160" spans="1:25" s="513" customFormat="1" x14ac:dyDescent="0.3">
      <c r="A160" s="521"/>
      <c r="B160" s="522" t="s">
        <v>50</v>
      </c>
      <c r="C160" s="522"/>
      <c r="D160" s="522"/>
      <c r="E160" s="522"/>
      <c r="F160" s="522"/>
      <c r="G160" s="522"/>
      <c r="H160" s="522"/>
      <c r="I160" s="522"/>
      <c r="J160" s="522"/>
      <c r="K160" s="522"/>
      <c r="L160" s="522"/>
      <c r="M160" s="522"/>
      <c r="N160" s="522"/>
      <c r="O160" s="522"/>
      <c r="P160" s="522"/>
      <c r="Q160" s="522"/>
      <c r="R160" s="522"/>
      <c r="S160" s="522"/>
      <c r="T160" s="522"/>
      <c r="U160" s="522"/>
      <c r="V160" s="571" t="s">
        <v>123</v>
      </c>
      <c r="W160" s="524"/>
      <c r="X160" s="512"/>
    </row>
    <row r="161" spans="1:24" s="513" customFormat="1" x14ac:dyDescent="0.3">
      <c r="A161" s="521"/>
      <c r="B161" s="522" t="s">
        <v>51</v>
      </c>
      <c r="C161" s="522"/>
      <c r="D161" s="522"/>
      <c r="E161" s="522"/>
      <c r="F161" s="522"/>
      <c r="G161" s="522"/>
      <c r="H161" s="522"/>
      <c r="I161" s="522"/>
      <c r="J161" s="522"/>
      <c r="K161" s="522"/>
      <c r="L161" s="522"/>
      <c r="M161" s="522"/>
      <c r="N161" s="522"/>
      <c r="O161" s="522"/>
      <c r="P161" s="522"/>
      <c r="Q161" s="522"/>
      <c r="R161" s="522"/>
      <c r="S161" s="522"/>
      <c r="T161" s="522"/>
      <c r="U161" s="522"/>
      <c r="V161" s="571" t="s">
        <v>123</v>
      </c>
      <c r="W161" s="524"/>
      <c r="X161" s="512"/>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52</v>
      </c>
      <c r="C163" s="409"/>
      <c r="D163" s="409"/>
      <c r="E163" s="409"/>
      <c r="F163" s="409"/>
      <c r="G163" s="409"/>
      <c r="H163" s="409"/>
      <c r="I163" s="409"/>
      <c r="J163" s="409"/>
      <c r="K163" s="409"/>
      <c r="L163" s="409"/>
      <c r="M163" s="409"/>
      <c r="N163" s="409"/>
      <c r="O163" s="409"/>
      <c r="P163" s="409"/>
      <c r="Q163" s="409"/>
      <c r="R163" s="409"/>
      <c r="S163" s="409"/>
      <c r="T163" s="409"/>
      <c r="U163" s="409"/>
      <c r="V163" s="450"/>
      <c r="W163" s="409"/>
      <c r="X163" s="405"/>
    </row>
    <row r="164" spans="1:24" s="513" customFormat="1" x14ac:dyDescent="0.3">
      <c r="A164" s="521"/>
      <c r="B164" s="522" t="s">
        <v>53</v>
      </c>
      <c r="C164" s="522"/>
      <c r="D164" s="522"/>
      <c r="E164" s="522"/>
      <c r="F164" s="522"/>
      <c r="G164" s="522"/>
      <c r="H164" s="522"/>
      <c r="I164" s="522"/>
      <c r="J164" s="522"/>
      <c r="K164" s="522"/>
      <c r="L164" s="522"/>
      <c r="M164" s="522"/>
      <c r="N164" s="522"/>
      <c r="O164" s="522"/>
      <c r="P164" s="522"/>
      <c r="Q164" s="522"/>
      <c r="R164" s="522"/>
      <c r="S164" s="522"/>
      <c r="T164" s="522"/>
      <c r="U164" s="522"/>
      <c r="V164" s="563">
        <v>0</v>
      </c>
      <c r="W164" s="524"/>
      <c r="X164" s="512"/>
    </row>
    <row r="165" spans="1:24" s="513" customFormat="1" x14ac:dyDescent="0.3">
      <c r="A165" s="521"/>
      <c r="B165" s="522" t="s">
        <v>54</v>
      </c>
      <c r="C165" s="522"/>
      <c r="D165" s="522"/>
      <c r="E165" s="522"/>
      <c r="F165" s="522"/>
      <c r="G165" s="522"/>
      <c r="H165" s="522"/>
      <c r="I165" s="522"/>
      <c r="J165" s="522"/>
      <c r="K165" s="522"/>
      <c r="L165" s="522"/>
      <c r="M165" s="522"/>
      <c r="N165" s="522"/>
      <c r="O165" s="522"/>
      <c r="P165" s="522"/>
      <c r="Q165" s="522"/>
      <c r="R165" s="522"/>
      <c r="S165" s="522"/>
      <c r="T165" s="522"/>
      <c r="U165" s="522"/>
      <c r="V165" s="563">
        <f>-V114</f>
        <v>159</v>
      </c>
      <c r="W165" s="524"/>
      <c r="X165" s="512"/>
    </row>
    <row r="166" spans="1:24" s="513" customFormat="1" x14ac:dyDescent="0.3">
      <c r="A166" s="521"/>
      <c r="B166" s="522" t="s">
        <v>55</v>
      </c>
      <c r="C166" s="522"/>
      <c r="D166" s="522"/>
      <c r="E166" s="522"/>
      <c r="F166" s="522"/>
      <c r="G166" s="522"/>
      <c r="H166" s="522"/>
      <c r="I166" s="522"/>
      <c r="J166" s="522"/>
      <c r="K166" s="522"/>
      <c r="L166" s="522"/>
      <c r="M166" s="522"/>
      <c r="N166" s="522"/>
      <c r="O166" s="522"/>
      <c r="P166" s="522"/>
      <c r="Q166" s="522"/>
      <c r="R166" s="522"/>
      <c r="S166" s="522"/>
      <c r="T166" s="522"/>
      <c r="U166" s="522"/>
      <c r="V166" s="563">
        <f>V165+V164</f>
        <v>159</v>
      </c>
      <c r="W166" s="524"/>
      <c r="X166" s="512"/>
    </row>
    <row r="167" spans="1:24" s="513" customFormat="1" x14ac:dyDescent="0.3">
      <c r="A167" s="521"/>
      <c r="B167" s="572" t="s">
        <v>310</v>
      </c>
      <c r="C167" s="522"/>
      <c r="D167" s="522"/>
      <c r="E167" s="522"/>
      <c r="F167" s="522"/>
      <c r="G167" s="522"/>
      <c r="H167" s="522"/>
      <c r="I167" s="522"/>
      <c r="J167" s="522"/>
      <c r="K167" s="522"/>
      <c r="L167" s="522"/>
      <c r="M167" s="522"/>
      <c r="N167" s="522"/>
      <c r="O167" s="522"/>
      <c r="P167" s="522"/>
      <c r="Q167" s="522"/>
      <c r="R167" s="522"/>
      <c r="S167" s="522"/>
      <c r="T167" s="522"/>
      <c r="U167" s="522"/>
      <c r="V167" s="563">
        <f>V114</f>
        <v>-159</v>
      </c>
      <c r="W167" s="524"/>
      <c r="X167" s="512"/>
    </row>
    <row r="168" spans="1:24" s="513" customFormat="1" x14ac:dyDescent="0.3">
      <c r="A168" s="521"/>
      <c r="B168" s="522" t="s">
        <v>56</v>
      </c>
      <c r="C168" s="522"/>
      <c r="D168" s="522"/>
      <c r="E168" s="522"/>
      <c r="F168" s="522"/>
      <c r="G168" s="522"/>
      <c r="H168" s="522"/>
      <c r="I168" s="522"/>
      <c r="J168" s="522"/>
      <c r="K168" s="522"/>
      <c r="L168" s="522"/>
      <c r="M168" s="522"/>
      <c r="N168" s="522"/>
      <c r="O168" s="522"/>
      <c r="P168" s="522"/>
      <c r="Q168" s="522"/>
      <c r="R168" s="522"/>
      <c r="S168" s="522"/>
      <c r="T168" s="522"/>
      <c r="U168" s="522"/>
      <c r="V168" s="563">
        <f>V166+V167</f>
        <v>0</v>
      </c>
      <c r="W168" s="524"/>
      <c r="X168" s="512"/>
    </row>
    <row r="169" spans="1:24" s="513" customFormat="1" x14ac:dyDescent="0.3">
      <c r="A169" s="521"/>
      <c r="B169" s="522" t="s">
        <v>282</v>
      </c>
      <c r="C169" s="522"/>
      <c r="D169" s="522"/>
      <c r="E169" s="522"/>
      <c r="F169" s="522"/>
      <c r="G169" s="522"/>
      <c r="H169" s="522"/>
      <c r="I169" s="522"/>
      <c r="J169" s="522"/>
      <c r="K169" s="522"/>
      <c r="L169" s="522"/>
      <c r="M169" s="522"/>
      <c r="N169" s="522"/>
      <c r="O169" s="522"/>
      <c r="P169" s="522"/>
      <c r="Q169" s="522"/>
      <c r="R169" s="522"/>
      <c r="S169" s="522"/>
      <c r="T169" s="522"/>
      <c r="U169" s="522"/>
      <c r="V169" s="563">
        <v>0</v>
      </c>
      <c r="W169" s="524"/>
      <c r="X169" s="512"/>
    </row>
    <row r="170" spans="1:24" ht="16.2" thickBot="1" x14ac:dyDescent="0.35">
      <c r="A170" s="407"/>
      <c r="B170" s="429"/>
      <c r="C170" s="429"/>
      <c r="D170" s="429"/>
      <c r="E170" s="429"/>
      <c r="F170" s="429"/>
      <c r="G170" s="429"/>
      <c r="H170" s="429"/>
      <c r="I170" s="429"/>
      <c r="J170" s="429"/>
      <c r="K170" s="429"/>
      <c r="L170" s="429"/>
      <c r="M170" s="429"/>
      <c r="N170" s="429"/>
      <c r="O170" s="429"/>
      <c r="P170" s="429"/>
      <c r="Q170" s="429"/>
      <c r="R170" s="429"/>
      <c r="S170" s="429"/>
      <c r="T170" s="429"/>
      <c r="U170" s="429"/>
      <c r="V170" s="449"/>
      <c r="W170" s="429"/>
      <c r="X170" s="405"/>
    </row>
    <row r="171" spans="1:24" x14ac:dyDescent="0.3">
      <c r="A171" s="403"/>
      <c r="B171" s="404"/>
      <c r="C171" s="404"/>
      <c r="D171" s="404"/>
      <c r="E171" s="404"/>
      <c r="F171" s="404"/>
      <c r="G171" s="404"/>
      <c r="H171" s="404"/>
      <c r="I171" s="404"/>
      <c r="J171" s="404"/>
      <c r="K171" s="404"/>
      <c r="L171" s="404"/>
      <c r="M171" s="404"/>
      <c r="N171" s="404"/>
      <c r="O171" s="404"/>
      <c r="P171" s="404"/>
      <c r="Q171" s="404"/>
      <c r="R171" s="404"/>
      <c r="S171" s="404"/>
      <c r="T171" s="404"/>
      <c r="U171" s="404"/>
      <c r="V171" s="451"/>
      <c r="W171" s="404"/>
      <c r="X171" s="405"/>
    </row>
    <row r="172" spans="1:24" x14ac:dyDescent="0.3">
      <c r="A172" s="407"/>
      <c r="B172" s="502" t="s">
        <v>57</v>
      </c>
      <c r="C172" s="409"/>
      <c r="D172" s="409"/>
      <c r="E172" s="409"/>
      <c r="F172" s="409"/>
      <c r="G172" s="409"/>
      <c r="H172" s="409"/>
      <c r="I172" s="409"/>
      <c r="J172" s="409"/>
      <c r="K172" s="409"/>
      <c r="L172" s="409"/>
      <c r="M172" s="409"/>
      <c r="N172" s="409"/>
      <c r="O172" s="409"/>
      <c r="P172" s="409"/>
      <c r="Q172" s="409"/>
      <c r="R172" s="409"/>
      <c r="S172" s="409"/>
      <c r="T172" s="409"/>
      <c r="U172" s="409"/>
      <c r="V172" s="433"/>
      <c r="W172" s="409"/>
      <c r="X172" s="405"/>
    </row>
    <row r="173" spans="1:24" x14ac:dyDescent="0.3">
      <c r="A173" s="407"/>
      <c r="B173" s="448"/>
      <c r="C173" s="409"/>
      <c r="D173" s="409"/>
      <c r="E173" s="409"/>
      <c r="F173" s="409"/>
      <c r="G173" s="409"/>
      <c r="H173" s="409"/>
      <c r="I173" s="409"/>
      <c r="J173" s="409"/>
      <c r="K173" s="409"/>
      <c r="L173" s="409"/>
      <c r="M173" s="409"/>
      <c r="N173" s="409"/>
      <c r="O173" s="409"/>
      <c r="P173" s="409"/>
      <c r="Q173" s="409"/>
      <c r="R173" s="409"/>
      <c r="S173" s="409"/>
      <c r="T173" s="409"/>
      <c r="U173" s="409"/>
      <c r="V173" s="433"/>
      <c r="W173" s="409"/>
      <c r="X173" s="405"/>
    </row>
    <row r="174" spans="1:24" s="513" customFormat="1" x14ac:dyDescent="0.3">
      <c r="A174" s="521"/>
      <c r="B174" s="522" t="s">
        <v>58</v>
      </c>
      <c r="C174" s="522"/>
      <c r="D174" s="522"/>
      <c r="E174" s="522"/>
      <c r="F174" s="522"/>
      <c r="G174" s="522"/>
      <c r="H174" s="522"/>
      <c r="I174" s="522"/>
      <c r="J174" s="522"/>
      <c r="K174" s="522"/>
      <c r="L174" s="522"/>
      <c r="M174" s="522"/>
      <c r="N174" s="522"/>
      <c r="O174" s="522"/>
      <c r="P174" s="522"/>
      <c r="Q174" s="522"/>
      <c r="R174" s="522"/>
      <c r="S174" s="522"/>
      <c r="T174" s="522"/>
      <c r="U174" s="522"/>
      <c r="V174" s="563">
        <f>V71</f>
        <v>716165</v>
      </c>
      <c r="W174" s="524"/>
      <c r="X174" s="512"/>
    </row>
    <row r="175" spans="1:24" s="513" customFormat="1" x14ac:dyDescent="0.3">
      <c r="A175" s="521"/>
      <c r="B175" s="522" t="s">
        <v>59</v>
      </c>
      <c r="C175" s="522"/>
      <c r="D175" s="522"/>
      <c r="E175" s="522"/>
      <c r="F175" s="522"/>
      <c r="G175" s="522"/>
      <c r="H175" s="522"/>
      <c r="I175" s="522"/>
      <c r="J175" s="522"/>
      <c r="K175" s="522"/>
      <c r="L175" s="522"/>
      <c r="M175" s="522"/>
      <c r="N175" s="522"/>
      <c r="O175" s="522"/>
      <c r="P175" s="522"/>
      <c r="Q175" s="522"/>
      <c r="R175" s="522"/>
      <c r="S175" s="522"/>
      <c r="T175" s="522"/>
      <c r="U175" s="522"/>
      <c r="V175" s="563">
        <f>V84</f>
        <v>716165</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60</v>
      </c>
      <c r="C178" s="434"/>
      <c r="D178" s="434"/>
      <c r="E178" s="434"/>
      <c r="F178" s="434"/>
      <c r="G178" s="434"/>
      <c r="H178" s="452"/>
      <c r="I178" s="452"/>
      <c r="J178" s="452"/>
      <c r="K178" s="452"/>
      <c r="L178" s="452"/>
      <c r="M178" s="452"/>
      <c r="N178" s="452"/>
      <c r="O178" s="452"/>
      <c r="P178" s="452"/>
      <c r="Q178" s="452"/>
      <c r="R178" s="452"/>
      <c r="S178" s="503" t="s">
        <v>103</v>
      </c>
      <c r="T178" s="503" t="s">
        <v>182</v>
      </c>
      <c r="U178" s="411"/>
      <c r="V178" s="504" t="s">
        <v>119</v>
      </c>
      <c r="W178" s="453"/>
      <c r="X178" s="405"/>
    </row>
    <row r="179" spans="1:24" s="513" customFormat="1" x14ac:dyDescent="0.3">
      <c r="A179" s="521"/>
      <c r="B179" s="522" t="s">
        <v>61</v>
      </c>
      <c r="C179" s="522"/>
      <c r="D179" s="522"/>
      <c r="E179" s="522"/>
      <c r="F179" s="522"/>
      <c r="G179" s="522"/>
      <c r="H179" s="522"/>
      <c r="I179" s="522"/>
      <c r="J179" s="522"/>
      <c r="K179" s="522"/>
      <c r="L179" s="522"/>
      <c r="M179" s="522"/>
      <c r="N179" s="522"/>
      <c r="O179" s="522"/>
      <c r="P179" s="522"/>
      <c r="Q179" s="522"/>
      <c r="R179" s="522"/>
      <c r="S179" s="563">
        <f>+V34*0.16</f>
        <v>240032.80000000002</v>
      </c>
      <c r="T179" s="542"/>
      <c r="U179" s="522"/>
      <c r="V179" s="563"/>
      <c r="W179" s="524"/>
      <c r="X179" s="512"/>
    </row>
    <row r="180" spans="1:24" s="513" customFormat="1" x14ac:dyDescent="0.3">
      <c r="A180" s="521"/>
      <c r="B180" s="522" t="s">
        <v>62</v>
      </c>
      <c r="C180" s="522"/>
      <c r="D180" s="522"/>
      <c r="E180" s="522"/>
      <c r="F180" s="522"/>
      <c r="G180" s="522"/>
      <c r="H180" s="522"/>
      <c r="I180" s="522"/>
      <c r="J180" s="522"/>
      <c r="K180" s="522"/>
      <c r="L180" s="522"/>
      <c r="M180" s="522"/>
      <c r="N180" s="522"/>
      <c r="O180" s="522"/>
      <c r="P180" s="522"/>
      <c r="Q180" s="522"/>
      <c r="R180" s="522"/>
      <c r="S180" s="563">
        <f>+'July 18'!S182</f>
        <v>56772</v>
      </c>
      <c r="T180" s="563">
        <f>+'July 18'!T182</f>
        <v>6370</v>
      </c>
      <c r="U180" s="522"/>
      <c r="V180" s="563">
        <f>S180+T180</f>
        <v>63142</v>
      </c>
      <c r="W180" s="524"/>
      <c r="X180" s="512"/>
    </row>
    <row r="181" spans="1:24" s="513" customFormat="1" x14ac:dyDescent="0.3">
      <c r="A181" s="521"/>
      <c r="B181" s="522" t="s">
        <v>63</v>
      </c>
      <c r="C181" s="522"/>
      <c r="D181" s="522"/>
      <c r="E181" s="522"/>
      <c r="F181" s="522"/>
      <c r="G181" s="522"/>
      <c r="H181" s="522"/>
      <c r="I181" s="522"/>
      <c r="J181" s="522"/>
      <c r="K181" s="522"/>
      <c r="L181" s="522"/>
      <c r="M181" s="522"/>
      <c r="N181" s="522"/>
      <c r="O181" s="522"/>
      <c r="P181" s="522"/>
      <c r="Q181" s="522"/>
      <c r="R181" s="522"/>
      <c r="S181" s="562">
        <f>163+143</f>
        <v>306</v>
      </c>
      <c r="T181" s="562">
        <v>0</v>
      </c>
      <c r="U181" s="522"/>
      <c r="V181" s="563">
        <f>S181+T181</f>
        <v>306</v>
      </c>
      <c r="W181" s="524"/>
      <c r="X181" s="512"/>
    </row>
    <row r="182" spans="1:24" s="513" customFormat="1" x14ac:dyDescent="0.3">
      <c r="A182" s="521"/>
      <c r="B182" s="522" t="s">
        <v>64</v>
      </c>
      <c r="C182" s="522"/>
      <c r="D182" s="522"/>
      <c r="E182" s="522"/>
      <c r="F182" s="522"/>
      <c r="G182" s="522"/>
      <c r="H182" s="522"/>
      <c r="I182" s="522"/>
      <c r="J182" s="522"/>
      <c r="K182" s="522"/>
      <c r="L182" s="522"/>
      <c r="M182" s="522"/>
      <c r="N182" s="522"/>
      <c r="O182" s="522"/>
      <c r="P182" s="522"/>
      <c r="Q182" s="522"/>
      <c r="R182" s="522"/>
      <c r="S182" s="563">
        <f>S180+S181</f>
        <v>57078</v>
      </c>
      <c r="T182" s="563">
        <f>T181+T180</f>
        <v>6370</v>
      </c>
      <c r="U182" s="522"/>
      <c r="V182" s="563">
        <f>S182+T182</f>
        <v>63448</v>
      </c>
      <c r="W182" s="524"/>
      <c r="X182" s="512"/>
    </row>
    <row r="183" spans="1:24" s="513" customFormat="1" x14ac:dyDescent="0.3">
      <c r="A183" s="521"/>
      <c r="B183" s="522" t="s">
        <v>65</v>
      </c>
      <c r="C183" s="522"/>
      <c r="D183" s="522"/>
      <c r="E183" s="522"/>
      <c r="F183" s="522"/>
      <c r="G183" s="522"/>
      <c r="H183" s="522"/>
      <c r="I183" s="522"/>
      <c r="J183" s="522"/>
      <c r="K183" s="522"/>
      <c r="L183" s="522"/>
      <c r="M183" s="522"/>
      <c r="N183" s="522"/>
      <c r="O183" s="522"/>
      <c r="P183" s="522"/>
      <c r="Q183" s="522"/>
      <c r="R183" s="522"/>
      <c r="S183" s="563">
        <f>S179-S182-T182</f>
        <v>176584.80000000002</v>
      </c>
      <c r="T183" s="542"/>
      <c r="U183" s="522"/>
      <c r="V183" s="563"/>
      <c r="W183" s="524"/>
      <c r="X183" s="512"/>
    </row>
    <row r="184" spans="1:24" ht="16.2" thickBot="1" x14ac:dyDescent="0.35">
      <c r="A184" s="407"/>
      <c r="B184" s="429"/>
      <c r="C184" s="429"/>
      <c r="D184" s="429"/>
      <c r="E184" s="429"/>
      <c r="F184" s="429"/>
      <c r="G184" s="429"/>
      <c r="H184" s="429"/>
      <c r="I184" s="429"/>
      <c r="J184" s="429"/>
      <c r="K184" s="429"/>
      <c r="L184" s="429"/>
      <c r="M184" s="429"/>
      <c r="N184" s="429"/>
      <c r="O184" s="429"/>
      <c r="P184" s="429"/>
      <c r="Q184" s="429"/>
      <c r="R184" s="429"/>
      <c r="S184" s="429"/>
      <c r="T184" s="429"/>
      <c r="U184" s="429"/>
      <c r="V184" s="449"/>
      <c r="W184" s="429"/>
      <c r="X184" s="405"/>
    </row>
    <row r="185" spans="1:24" x14ac:dyDescent="0.3">
      <c r="A185" s="403"/>
      <c r="B185" s="404"/>
      <c r="C185" s="404"/>
      <c r="D185" s="404"/>
      <c r="E185" s="404"/>
      <c r="F185" s="404"/>
      <c r="G185" s="404"/>
      <c r="H185" s="404"/>
      <c r="I185" s="404"/>
      <c r="J185" s="404"/>
      <c r="K185" s="404"/>
      <c r="L185" s="404"/>
      <c r="M185" s="404"/>
      <c r="N185" s="404"/>
      <c r="O185" s="404"/>
      <c r="P185" s="404"/>
      <c r="Q185" s="404"/>
      <c r="R185" s="404"/>
      <c r="S185" s="404"/>
      <c r="T185" s="404"/>
      <c r="U185" s="404"/>
      <c r="V185" s="451"/>
      <c r="W185" s="404"/>
      <c r="X185" s="405"/>
    </row>
    <row r="186" spans="1:24" x14ac:dyDescent="0.3">
      <c r="A186" s="407"/>
      <c r="B186" s="502" t="s">
        <v>66</v>
      </c>
      <c r="C186" s="409"/>
      <c r="D186" s="409"/>
      <c r="E186" s="409"/>
      <c r="F186" s="409"/>
      <c r="G186" s="409"/>
      <c r="H186" s="409"/>
      <c r="I186" s="409"/>
      <c r="J186" s="409"/>
      <c r="K186" s="409"/>
      <c r="L186" s="409"/>
      <c r="M186" s="409"/>
      <c r="N186" s="409"/>
      <c r="O186" s="409"/>
      <c r="P186" s="409"/>
      <c r="Q186" s="409"/>
      <c r="R186" s="409"/>
      <c r="S186" s="409"/>
      <c r="T186" s="409"/>
      <c r="U186" s="409"/>
      <c r="V186" s="454"/>
      <c r="W186" s="409"/>
      <c r="X186" s="405"/>
    </row>
    <row r="187" spans="1:24" s="513" customFormat="1" x14ac:dyDescent="0.3">
      <c r="A187" s="521"/>
      <c r="B187" s="522" t="s">
        <v>67</v>
      </c>
      <c r="C187" s="522"/>
      <c r="D187" s="522"/>
      <c r="E187" s="522"/>
      <c r="F187" s="522"/>
      <c r="G187" s="522"/>
      <c r="H187" s="522"/>
      <c r="I187" s="522"/>
      <c r="J187" s="522"/>
      <c r="K187" s="522"/>
      <c r="L187" s="522"/>
      <c r="M187" s="522"/>
      <c r="N187" s="522"/>
      <c r="O187" s="522"/>
      <c r="P187" s="522"/>
      <c r="Q187" s="522"/>
      <c r="R187" s="522"/>
      <c r="S187" s="522"/>
      <c r="T187" s="522"/>
      <c r="U187" s="522"/>
      <c r="V187" s="571">
        <f>(V100+V102+V103+V104+V105)/-(V106+V107)</f>
        <v>3.4126760563380283</v>
      </c>
      <c r="W187" s="524" t="s">
        <v>120</v>
      </c>
      <c r="X187" s="512"/>
    </row>
    <row r="188" spans="1:24" s="513" customFormat="1" x14ac:dyDescent="0.3">
      <c r="A188" s="521"/>
      <c r="B188" s="522" t="s">
        <v>68</v>
      </c>
      <c r="C188" s="522"/>
      <c r="D188" s="522"/>
      <c r="E188" s="522"/>
      <c r="F188" s="522"/>
      <c r="G188" s="522"/>
      <c r="H188" s="522"/>
      <c r="I188" s="522"/>
      <c r="J188" s="522"/>
      <c r="K188" s="522"/>
      <c r="L188" s="522"/>
      <c r="M188" s="522"/>
      <c r="N188" s="522"/>
      <c r="O188" s="522"/>
      <c r="P188" s="522"/>
      <c r="Q188" s="522"/>
      <c r="R188" s="522"/>
      <c r="S188" s="522"/>
      <c r="T188" s="522"/>
      <c r="U188" s="522"/>
      <c r="V188" s="573">
        <v>1.95</v>
      </c>
      <c r="W188" s="524" t="s">
        <v>120</v>
      </c>
      <c r="X188" s="512"/>
    </row>
    <row r="189" spans="1:24" s="513" customFormat="1" x14ac:dyDescent="0.3">
      <c r="A189" s="521"/>
      <c r="B189" s="522" t="s">
        <v>69</v>
      </c>
      <c r="C189" s="522"/>
      <c r="D189" s="522"/>
      <c r="E189" s="522"/>
      <c r="F189" s="522"/>
      <c r="G189" s="522"/>
      <c r="H189" s="522"/>
      <c r="I189" s="522"/>
      <c r="J189" s="522"/>
      <c r="K189" s="522"/>
      <c r="L189" s="522"/>
      <c r="M189" s="522"/>
      <c r="N189" s="522"/>
      <c r="O189" s="522"/>
      <c r="P189" s="522"/>
      <c r="Q189" s="522"/>
      <c r="R189" s="522"/>
      <c r="S189" s="522"/>
      <c r="T189" s="522"/>
      <c r="U189" s="522"/>
      <c r="V189" s="571">
        <f>(V100+V102+V103+V104+V105+V106+V107)/-(V108+V109)</f>
        <v>9.6507042253521131</v>
      </c>
      <c r="W189" s="524" t="s">
        <v>120</v>
      </c>
      <c r="X189" s="512"/>
    </row>
    <row r="190" spans="1:24" s="513" customFormat="1" x14ac:dyDescent="0.3">
      <c r="A190" s="521"/>
      <c r="B190" s="522" t="s">
        <v>70</v>
      </c>
      <c r="C190" s="522"/>
      <c r="D190" s="522"/>
      <c r="E190" s="522"/>
      <c r="F190" s="522"/>
      <c r="G190" s="522"/>
      <c r="H190" s="522"/>
      <c r="I190" s="522"/>
      <c r="J190" s="522"/>
      <c r="K190" s="522"/>
      <c r="L190" s="522"/>
      <c r="M190" s="522"/>
      <c r="N190" s="522"/>
      <c r="O190" s="522"/>
      <c r="P190" s="522"/>
      <c r="Q190" s="522"/>
      <c r="R190" s="522"/>
      <c r="S190" s="522"/>
      <c r="T190" s="522"/>
      <c r="U190" s="522"/>
      <c r="V190" s="573">
        <v>7.59</v>
      </c>
      <c r="W190" s="524" t="s">
        <v>120</v>
      </c>
      <c r="X190" s="512"/>
    </row>
    <row r="191" spans="1:24" s="513" customFormat="1" x14ac:dyDescent="0.3">
      <c r="A191" s="521"/>
      <c r="B191" s="522" t="s">
        <v>204</v>
      </c>
      <c r="C191" s="522"/>
      <c r="D191" s="522"/>
      <c r="E191" s="522"/>
      <c r="F191" s="522"/>
      <c r="G191" s="522"/>
      <c r="H191" s="522"/>
      <c r="I191" s="522"/>
      <c r="J191" s="522"/>
      <c r="K191" s="522"/>
      <c r="L191" s="522"/>
      <c r="M191" s="522"/>
      <c r="N191" s="522"/>
      <c r="O191" s="522"/>
      <c r="P191" s="522"/>
      <c r="Q191" s="522"/>
      <c r="R191" s="522"/>
      <c r="S191" s="522"/>
      <c r="T191" s="522"/>
      <c r="U191" s="522"/>
      <c r="V191" s="571">
        <f>(V100+V102+V103+V104+V105+V106+V107+V108+V109)/-(V110+V111)</f>
        <v>7.8946015424164528</v>
      </c>
      <c r="W191" s="524" t="s">
        <v>120</v>
      </c>
      <c r="X191" s="512"/>
    </row>
    <row r="192" spans="1:24" s="513" customFormat="1" x14ac:dyDescent="0.3">
      <c r="A192" s="521"/>
      <c r="B192" s="522" t="s">
        <v>205</v>
      </c>
      <c r="C192" s="522"/>
      <c r="D192" s="522"/>
      <c r="E192" s="522"/>
      <c r="F192" s="522"/>
      <c r="G192" s="522"/>
      <c r="H192" s="522"/>
      <c r="I192" s="522"/>
      <c r="J192" s="522"/>
      <c r="K192" s="522"/>
      <c r="L192" s="522"/>
      <c r="M192" s="522"/>
      <c r="N192" s="522"/>
      <c r="O192" s="522"/>
      <c r="P192" s="522"/>
      <c r="Q192" s="522"/>
      <c r="R192" s="522"/>
      <c r="S192" s="522"/>
      <c r="T192" s="522"/>
      <c r="U192" s="522"/>
      <c r="V192" s="573">
        <v>6.96</v>
      </c>
      <c r="W192" s="524" t="s">
        <v>120</v>
      </c>
      <c r="X192" s="512"/>
    </row>
    <row r="193" spans="1:24" s="513" customFormat="1" x14ac:dyDescent="0.3">
      <c r="A193" s="521"/>
      <c r="B193" s="522"/>
      <c r="C193" s="522"/>
      <c r="D193" s="522"/>
      <c r="E193" s="522"/>
      <c r="F193" s="522"/>
      <c r="G193" s="522"/>
      <c r="H193" s="522"/>
      <c r="I193" s="522"/>
      <c r="J193" s="522"/>
      <c r="K193" s="522"/>
      <c r="L193" s="522"/>
      <c r="M193" s="522"/>
      <c r="N193" s="522"/>
      <c r="O193" s="522"/>
      <c r="P193" s="522"/>
      <c r="Q193" s="522"/>
      <c r="R193" s="522"/>
      <c r="S193" s="522"/>
      <c r="T193" s="522"/>
      <c r="U193" s="522"/>
      <c r="V193" s="522"/>
      <c r="W193" s="524"/>
      <c r="X193" s="512"/>
    </row>
    <row r="194" spans="1:24" s="513" customFormat="1" x14ac:dyDescent="0.3">
      <c r="A194" s="509"/>
      <c r="B194" s="552"/>
      <c r="C194" s="552"/>
      <c r="D194" s="552"/>
      <c r="E194" s="552"/>
      <c r="F194" s="552"/>
      <c r="G194" s="552"/>
      <c r="H194" s="552"/>
      <c r="I194" s="552"/>
      <c r="J194" s="552"/>
      <c r="K194" s="552"/>
      <c r="L194" s="552"/>
      <c r="M194" s="552"/>
      <c r="N194" s="552"/>
      <c r="O194" s="552"/>
      <c r="P194" s="552"/>
      <c r="Q194" s="552"/>
      <c r="R194" s="552"/>
      <c r="S194" s="552"/>
      <c r="T194" s="552"/>
      <c r="U194" s="552"/>
      <c r="V194" s="552"/>
      <c r="W194" s="552"/>
      <c r="X194" s="512"/>
    </row>
    <row r="195" spans="1:24" s="513" customFormat="1" x14ac:dyDescent="0.3">
      <c r="A195" s="509"/>
      <c r="B195" s="510"/>
      <c r="C195" s="510"/>
      <c r="D195" s="510"/>
      <c r="E195" s="510"/>
      <c r="F195" s="510"/>
      <c r="G195" s="510"/>
      <c r="H195" s="510"/>
      <c r="I195" s="510"/>
      <c r="J195" s="510"/>
      <c r="K195" s="510"/>
      <c r="L195" s="510"/>
      <c r="M195" s="510"/>
      <c r="N195" s="510"/>
      <c r="O195" s="510"/>
      <c r="P195" s="510"/>
      <c r="Q195" s="510"/>
      <c r="R195" s="510"/>
      <c r="S195" s="510"/>
      <c r="T195" s="510"/>
      <c r="U195" s="510"/>
      <c r="V195" s="510"/>
      <c r="W195" s="510"/>
      <c r="X195" s="512"/>
    </row>
    <row r="196" spans="1:24" s="513" customFormat="1" ht="18.600000000000001" thickBot="1" x14ac:dyDescent="0.4">
      <c r="A196" s="557"/>
      <c r="B196" s="558" t="str">
        <f>B136</f>
        <v>PM12 INVESTOR REPORT QUARTER ENDING OCTOBER 2018</v>
      </c>
      <c r="C196" s="559"/>
      <c r="D196" s="559"/>
      <c r="E196" s="559"/>
      <c r="F196" s="559"/>
      <c r="G196" s="559"/>
      <c r="H196" s="559"/>
      <c r="I196" s="559"/>
      <c r="J196" s="559"/>
      <c r="K196" s="559"/>
      <c r="L196" s="559"/>
      <c r="M196" s="559"/>
      <c r="N196" s="559"/>
      <c r="O196" s="559"/>
      <c r="P196" s="559"/>
      <c r="Q196" s="559"/>
      <c r="R196" s="559"/>
      <c r="S196" s="559"/>
      <c r="T196" s="559"/>
      <c r="U196" s="559"/>
      <c r="V196" s="559"/>
      <c r="W196" s="561"/>
      <c r="X196" s="512"/>
    </row>
    <row r="197" spans="1:24" x14ac:dyDescent="0.3">
      <c r="A197" s="444"/>
      <c r="B197" s="445" t="s">
        <v>71</v>
      </c>
      <c r="C197" s="455"/>
      <c r="D197" s="455"/>
      <c r="E197" s="455"/>
      <c r="F197" s="455"/>
      <c r="G197" s="456"/>
      <c r="H197" s="456"/>
      <c r="I197" s="456"/>
      <c r="J197" s="456"/>
      <c r="K197" s="456"/>
      <c r="L197" s="456"/>
      <c r="M197" s="456"/>
      <c r="N197" s="456"/>
      <c r="O197" s="456"/>
      <c r="P197" s="456"/>
      <c r="Q197" s="456"/>
      <c r="R197" s="456"/>
      <c r="S197" s="456"/>
      <c r="T197" s="456">
        <v>43404</v>
      </c>
      <c r="U197" s="446"/>
      <c r="V197" s="446"/>
      <c r="W197" s="446"/>
      <c r="X197" s="405"/>
    </row>
    <row r="198" spans="1:24" x14ac:dyDescent="0.3">
      <c r="A198" s="457"/>
      <c r="B198" s="458"/>
      <c r="C198" s="459"/>
      <c r="D198" s="459"/>
      <c r="E198" s="459"/>
      <c r="F198" s="459"/>
      <c r="G198" s="460"/>
      <c r="H198" s="460"/>
      <c r="I198" s="460"/>
      <c r="J198" s="460"/>
      <c r="K198" s="460"/>
      <c r="L198" s="460"/>
      <c r="M198" s="460"/>
      <c r="N198" s="460"/>
      <c r="O198" s="460"/>
      <c r="P198" s="460"/>
      <c r="Q198" s="460"/>
      <c r="R198" s="460"/>
      <c r="S198" s="460"/>
      <c r="T198" s="460"/>
      <c r="U198" s="409"/>
      <c r="V198" s="409"/>
      <c r="W198" s="409"/>
      <c r="X198" s="405"/>
    </row>
    <row r="199" spans="1:24" s="513" customFormat="1" x14ac:dyDescent="0.3">
      <c r="A199" s="521"/>
      <c r="B199" s="522" t="s">
        <v>72</v>
      </c>
      <c r="C199" s="574"/>
      <c r="D199" s="574"/>
      <c r="E199" s="574"/>
      <c r="F199" s="574"/>
      <c r="G199" s="546"/>
      <c r="H199" s="546"/>
      <c r="I199" s="546"/>
      <c r="J199" s="546"/>
      <c r="K199" s="546"/>
      <c r="L199" s="546"/>
      <c r="M199" s="546"/>
      <c r="N199" s="546"/>
      <c r="O199" s="546"/>
      <c r="P199" s="546"/>
      <c r="Q199" s="546"/>
      <c r="R199" s="546"/>
      <c r="S199" s="546"/>
      <c r="T199" s="539">
        <v>5.2060000000000002E-2</v>
      </c>
      <c r="U199" s="522"/>
      <c r="V199" s="522"/>
      <c r="W199" s="524"/>
      <c r="X199" s="512"/>
    </row>
    <row r="200" spans="1:24" s="513" customFormat="1" x14ac:dyDescent="0.3">
      <c r="A200" s="521"/>
      <c r="B200" s="522" t="s">
        <v>156</v>
      </c>
      <c r="C200" s="574"/>
      <c r="D200" s="574"/>
      <c r="E200" s="574"/>
      <c r="F200" s="574"/>
      <c r="G200" s="546"/>
      <c r="H200" s="546"/>
      <c r="I200" s="546"/>
      <c r="J200" s="546"/>
      <c r="K200" s="546"/>
      <c r="L200" s="546"/>
      <c r="M200" s="546"/>
      <c r="N200" s="546"/>
      <c r="O200" s="546"/>
      <c r="P200" s="546"/>
      <c r="Q200" s="546"/>
      <c r="R200" s="546"/>
      <c r="S200" s="546"/>
      <c r="T200" s="539">
        <f>'Oct 06'!T197</f>
        <v>4.8538814772447772E-2</v>
      </c>
      <c r="U200" s="522"/>
      <c r="V200" s="522"/>
      <c r="W200" s="524"/>
      <c r="X200" s="512"/>
    </row>
    <row r="201" spans="1:24" s="513" customFormat="1" x14ac:dyDescent="0.3">
      <c r="A201" s="521"/>
      <c r="B201" s="522" t="s">
        <v>73</v>
      </c>
      <c r="C201" s="574"/>
      <c r="D201" s="574"/>
      <c r="E201" s="574"/>
      <c r="F201" s="574"/>
      <c r="G201" s="546"/>
      <c r="H201" s="546"/>
      <c r="I201" s="546"/>
      <c r="J201" s="546"/>
      <c r="K201" s="546"/>
      <c r="L201" s="546"/>
      <c r="M201" s="546"/>
      <c r="N201" s="546"/>
      <c r="O201" s="546"/>
      <c r="P201" s="546"/>
      <c r="Q201" s="546"/>
      <c r="R201" s="546"/>
      <c r="S201" s="546"/>
      <c r="T201" s="539">
        <f>T199-T200</f>
        <v>3.5211852275522301E-3</v>
      </c>
      <c r="U201" s="522"/>
      <c r="V201" s="522"/>
      <c r="W201" s="524"/>
      <c r="X201" s="512"/>
    </row>
    <row r="202" spans="1:24" s="513" customFormat="1" x14ac:dyDescent="0.3">
      <c r="A202" s="521"/>
      <c r="B202" s="522" t="s">
        <v>74</v>
      </c>
      <c r="C202" s="574"/>
      <c r="D202" s="574"/>
      <c r="E202" s="574"/>
      <c r="F202" s="574"/>
      <c r="G202" s="546"/>
      <c r="H202" s="546"/>
      <c r="I202" s="546"/>
      <c r="J202" s="546"/>
      <c r="K202" s="546"/>
      <c r="L202" s="546"/>
      <c r="M202" s="546"/>
      <c r="N202" s="546"/>
      <c r="O202" s="546"/>
      <c r="P202" s="546"/>
      <c r="Q202" s="546"/>
      <c r="R202" s="546"/>
      <c r="S202" s="546"/>
      <c r="T202" s="539">
        <v>2.5729999999999999E-2</v>
      </c>
      <c r="U202" s="522"/>
      <c r="V202" s="522"/>
      <c r="W202" s="524"/>
      <c r="X202" s="512"/>
    </row>
    <row r="203" spans="1:24" s="513" customFormat="1" x14ac:dyDescent="0.3">
      <c r="A203" s="521"/>
      <c r="B203" s="522" t="s">
        <v>225</v>
      </c>
      <c r="C203" s="574"/>
      <c r="D203" s="574"/>
      <c r="E203" s="574"/>
      <c r="F203" s="574"/>
      <c r="G203" s="546"/>
      <c r="H203" s="546"/>
      <c r="I203" s="546"/>
      <c r="J203" s="546"/>
      <c r="K203" s="546"/>
      <c r="L203" s="546"/>
      <c r="M203" s="546"/>
      <c r="N203" s="546"/>
      <c r="O203" s="546"/>
      <c r="P203" s="546"/>
      <c r="Q203" s="546"/>
      <c r="R203" s="546"/>
      <c r="S203" s="546"/>
      <c r="T203" s="539">
        <f>V43</f>
        <v>1.1766952616424802E-2</v>
      </c>
      <c r="U203" s="522"/>
      <c r="V203" s="522"/>
      <c r="W203" s="524"/>
      <c r="X203" s="512"/>
    </row>
    <row r="204" spans="1:24" s="513" customFormat="1" x14ac:dyDescent="0.3">
      <c r="A204" s="521"/>
      <c r="B204" s="522" t="s">
        <v>75</v>
      </c>
      <c r="C204" s="574"/>
      <c r="D204" s="574"/>
      <c r="E204" s="574"/>
      <c r="F204" s="574"/>
      <c r="G204" s="546"/>
      <c r="H204" s="546"/>
      <c r="I204" s="546"/>
      <c r="J204" s="546"/>
      <c r="K204" s="546"/>
      <c r="L204" s="546"/>
      <c r="M204" s="546"/>
      <c r="N204" s="546"/>
      <c r="O204" s="546"/>
      <c r="P204" s="546"/>
      <c r="Q204" s="546"/>
      <c r="R204" s="546"/>
      <c r="S204" s="546"/>
      <c r="T204" s="539">
        <f>T202-T203</f>
        <v>1.3963047383575197E-2</v>
      </c>
      <c r="U204" s="522"/>
      <c r="V204" s="522"/>
      <c r="W204" s="524"/>
      <c r="X204" s="512"/>
    </row>
    <row r="205" spans="1:24" s="513" customFormat="1" x14ac:dyDescent="0.3">
      <c r="A205" s="521"/>
      <c r="B205" s="522" t="s">
        <v>271</v>
      </c>
      <c r="C205" s="574"/>
      <c r="D205" s="574"/>
      <c r="E205" s="574"/>
      <c r="F205" s="574"/>
      <c r="G205" s="546"/>
      <c r="H205" s="546"/>
      <c r="I205" s="546"/>
      <c r="J205" s="546"/>
      <c r="K205" s="546"/>
      <c r="L205" s="546"/>
      <c r="M205" s="546"/>
      <c r="N205" s="546"/>
      <c r="O205" s="546"/>
      <c r="P205" s="546"/>
      <c r="Q205" s="546"/>
      <c r="R205" s="546"/>
      <c r="S205" s="546"/>
      <c r="T205" s="539">
        <f>+V100/N71</f>
        <v>7.1671026151424923E-3</v>
      </c>
      <c r="U205" s="522"/>
      <c r="V205" s="522"/>
      <c r="W205" s="524"/>
      <c r="X205" s="512"/>
    </row>
    <row r="206" spans="1:24" s="513" customFormat="1" x14ac:dyDescent="0.3">
      <c r="A206" s="521"/>
      <c r="B206" s="522" t="s">
        <v>214</v>
      </c>
      <c r="C206" s="574"/>
      <c r="D206" s="574"/>
      <c r="E206" s="574"/>
      <c r="F206" s="574"/>
      <c r="G206" s="546"/>
      <c r="H206" s="546"/>
      <c r="I206" s="546"/>
      <c r="J206" s="546"/>
      <c r="K206" s="546"/>
      <c r="L206" s="546"/>
      <c r="M206" s="546"/>
      <c r="N206" s="546"/>
      <c r="O206" s="546"/>
      <c r="P206" s="546"/>
      <c r="Q206" s="546"/>
      <c r="R206" s="546"/>
      <c r="S206" s="546"/>
      <c r="T206" s="575">
        <v>50710</v>
      </c>
      <c r="U206" s="522"/>
      <c r="V206" s="522"/>
      <c r="W206" s="524"/>
      <c r="X206" s="512"/>
    </row>
    <row r="207" spans="1:24" s="513" customFormat="1" x14ac:dyDescent="0.3">
      <c r="A207" s="521"/>
      <c r="B207" s="522" t="s">
        <v>215</v>
      </c>
      <c r="C207" s="574"/>
      <c r="D207" s="574"/>
      <c r="E207" s="574"/>
      <c r="F207" s="574"/>
      <c r="G207" s="546"/>
      <c r="H207" s="546"/>
      <c r="I207" s="546"/>
      <c r="J207" s="546"/>
      <c r="K207" s="546"/>
      <c r="L207" s="546"/>
      <c r="M207" s="546"/>
      <c r="N207" s="546"/>
      <c r="O207" s="546"/>
      <c r="P207" s="546"/>
      <c r="Q207" s="546"/>
      <c r="R207" s="546"/>
      <c r="S207" s="546"/>
      <c r="T207" s="575">
        <v>50710</v>
      </c>
      <c r="U207" s="522"/>
      <c r="V207" s="522"/>
      <c r="W207" s="524"/>
      <c r="X207" s="512"/>
    </row>
    <row r="208" spans="1:24" s="513" customFormat="1" x14ac:dyDescent="0.3">
      <c r="A208" s="521"/>
      <c r="B208" s="522" t="s">
        <v>216</v>
      </c>
      <c r="C208" s="574"/>
      <c r="D208" s="574"/>
      <c r="E208" s="574"/>
      <c r="F208" s="574"/>
      <c r="G208" s="546"/>
      <c r="H208" s="546"/>
      <c r="I208" s="546"/>
      <c r="J208" s="546"/>
      <c r="K208" s="546"/>
      <c r="L208" s="546"/>
      <c r="M208" s="546"/>
      <c r="N208" s="546"/>
      <c r="O208" s="546"/>
      <c r="P208" s="546"/>
      <c r="Q208" s="546"/>
      <c r="R208" s="546"/>
      <c r="S208" s="546"/>
      <c r="T208" s="575">
        <v>50710</v>
      </c>
      <c r="U208" s="522"/>
      <c r="V208" s="522"/>
      <c r="W208" s="524"/>
      <c r="X208" s="512"/>
    </row>
    <row r="209" spans="1:24" s="513" customFormat="1" x14ac:dyDescent="0.3">
      <c r="A209" s="521"/>
      <c r="B209" s="522" t="s">
        <v>76</v>
      </c>
      <c r="C209" s="574"/>
      <c r="D209" s="574"/>
      <c r="E209" s="574"/>
      <c r="F209" s="574"/>
      <c r="G209" s="546"/>
      <c r="H209" s="546"/>
      <c r="I209" s="546"/>
      <c r="J209" s="546"/>
      <c r="K209" s="546"/>
      <c r="L209" s="546"/>
      <c r="M209" s="546"/>
      <c r="N209" s="546"/>
      <c r="O209" s="546"/>
      <c r="P209" s="546"/>
      <c r="Q209" s="546"/>
      <c r="R209" s="546"/>
      <c r="S209" s="546"/>
      <c r="T209" s="544">
        <v>21.06</v>
      </c>
      <c r="U209" s="522" t="s">
        <v>115</v>
      </c>
      <c r="V209" s="522"/>
      <c r="W209" s="524"/>
      <c r="X209" s="512"/>
    </row>
    <row r="210" spans="1:24" s="513" customFormat="1" x14ac:dyDescent="0.3">
      <c r="A210" s="521"/>
      <c r="B210" s="522" t="s">
        <v>77</v>
      </c>
      <c r="C210" s="574"/>
      <c r="D210" s="574"/>
      <c r="E210" s="574"/>
      <c r="F210" s="574"/>
      <c r="G210" s="546"/>
      <c r="H210" s="546"/>
      <c r="I210" s="546"/>
      <c r="J210" s="546"/>
      <c r="K210" s="546"/>
      <c r="L210" s="546"/>
      <c r="M210" s="546"/>
      <c r="N210" s="546"/>
      <c r="O210" s="546"/>
      <c r="P210" s="546"/>
      <c r="Q210" s="546"/>
      <c r="R210" s="546"/>
      <c r="S210" s="546"/>
      <c r="T210" s="544">
        <v>9.56</v>
      </c>
      <c r="U210" s="522" t="s">
        <v>115</v>
      </c>
      <c r="V210" s="522"/>
      <c r="W210" s="524"/>
      <c r="X210" s="512"/>
    </row>
    <row r="211" spans="1:24" s="513" customFormat="1" x14ac:dyDescent="0.3">
      <c r="A211" s="521"/>
      <c r="B211" s="522" t="s">
        <v>78</v>
      </c>
      <c r="C211" s="574"/>
      <c r="D211" s="574"/>
      <c r="E211" s="574"/>
      <c r="F211" s="574"/>
      <c r="G211" s="546"/>
      <c r="H211" s="546"/>
      <c r="I211" s="546"/>
      <c r="J211" s="546"/>
      <c r="K211" s="546"/>
      <c r="L211" s="546"/>
      <c r="M211" s="546"/>
      <c r="N211" s="546"/>
      <c r="O211" s="546"/>
      <c r="P211" s="546"/>
      <c r="Q211" s="546"/>
      <c r="R211" s="546"/>
      <c r="S211" s="546"/>
      <c r="T211" s="539">
        <f>P68/N68</f>
        <v>1.8623773723548346E-2</v>
      </c>
      <c r="U211" s="522"/>
      <c r="V211" s="522"/>
      <c r="W211" s="524"/>
      <c r="X211" s="512"/>
    </row>
    <row r="212" spans="1:24" s="513" customFormat="1" x14ac:dyDescent="0.3">
      <c r="A212" s="521"/>
      <c r="B212" s="522" t="s">
        <v>79</v>
      </c>
      <c r="C212" s="574"/>
      <c r="D212" s="574"/>
      <c r="E212" s="574"/>
      <c r="F212" s="574"/>
      <c r="G212" s="546"/>
      <c r="H212" s="546"/>
      <c r="I212" s="546"/>
      <c r="J212" s="546"/>
      <c r="K212" s="546"/>
      <c r="L212" s="546"/>
      <c r="M212" s="546"/>
      <c r="N212" s="546"/>
      <c r="O212" s="546"/>
      <c r="P212" s="546"/>
      <c r="Q212" s="546"/>
      <c r="R212" s="546"/>
      <c r="S212" s="546"/>
      <c r="T212" s="539">
        <v>6.2399999999999997E-2</v>
      </c>
      <c r="U212" s="522"/>
      <c r="V212" s="522"/>
      <c r="W212" s="524"/>
      <c r="X212" s="512"/>
    </row>
    <row r="213" spans="1:24" x14ac:dyDescent="0.3">
      <c r="A213" s="457"/>
      <c r="B213" s="461"/>
      <c r="C213" s="461"/>
      <c r="D213" s="461"/>
      <c r="E213" s="461"/>
      <c r="F213" s="461"/>
      <c r="G213" s="429"/>
      <c r="H213" s="429"/>
      <c r="I213" s="429"/>
      <c r="J213" s="429"/>
      <c r="K213" s="429"/>
      <c r="L213" s="429"/>
      <c r="M213" s="429"/>
      <c r="N213" s="429"/>
      <c r="O213" s="429"/>
      <c r="P213" s="429"/>
      <c r="Q213" s="429"/>
      <c r="R213" s="429"/>
      <c r="S213" s="429"/>
      <c r="T213" s="449"/>
      <c r="U213" s="429"/>
      <c r="V213" s="462"/>
      <c r="W213" s="429"/>
      <c r="X213" s="405"/>
    </row>
    <row r="214" spans="1:24" x14ac:dyDescent="0.3">
      <c r="A214" s="463"/>
      <c r="B214" s="464" t="s">
        <v>80</v>
      </c>
      <c r="C214" s="465"/>
      <c r="D214" s="465"/>
      <c r="E214" s="465"/>
      <c r="F214" s="466"/>
      <c r="G214" s="465"/>
      <c r="H214" s="465"/>
      <c r="I214" s="465"/>
      <c r="J214" s="465"/>
      <c r="K214" s="465"/>
      <c r="L214" s="465"/>
      <c r="M214" s="465"/>
      <c r="N214" s="465"/>
      <c r="O214" s="465"/>
      <c r="P214" s="465"/>
      <c r="Q214" s="465"/>
      <c r="R214" s="465"/>
      <c r="S214" s="465" t="s">
        <v>104</v>
      </c>
      <c r="T214" s="466" t="s">
        <v>111</v>
      </c>
      <c r="U214" s="467"/>
      <c r="V214" s="467"/>
      <c r="W214" s="468"/>
      <c r="X214" s="405"/>
    </row>
    <row r="215" spans="1:24" x14ac:dyDescent="0.3">
      <c r="A215" s="469"/>
      <c r="B215" s="552" t="s">
        <v>81</v>
      </c>
      <c r="C215" s="567"/>
      <c r="D215" s="567"/>
      <c r="E215" s="567"/>
      <c r="F215" s="552"/>
      <c r="G215" s="552"/>
      <c r="H215" s="576"/>
      <c r="I215" s="576"/>
      <c r="J215" s="576"/>
      <c r="K215" s="576"/>
      <c r="L215" s="576"/>
      <c r="M215" s="576"/>
      <c r="N215" s="576"/>
      <c r="O215" s="576"/>
      <c r="P215" s="576"/>
      <c r="Q215" s="576"/>
      <c r="R215" s="576"/>
      <c r="S215" s="576">
        <v>1</v>
      </c>
      <c r="T215" s="577">
        <v>259</v>
      </c>
      <c r="U215" s="429"/>
      <c r="V215" s="462"/>
      <c r="W215" s="470"/>
      <c r="X215" s="405"/>
    </row>
    <row r="216" spans="1:24" x14ac:dyDescent="0.3">
      <c r="A216" s="471"/>
      <c r="B216" s="522" t="s">
        <v>150</v>
      </c>
      <c r="C216" s="562"/>
      <c r="D216" s="562"/>
      <c r="E216" s="562"/>
      <c r="F216" s="522"/>
      <c r="G216" s="522"/>
      <c r="H216" s="528"/>
      <c r="I216" s="528"/>
      <c r="J216" s="528"/>
      <c r="K216" s="528"/>
      <c r="L216" s="528"/>
      <c r="M216" s="528"/>
      <c r="N216" s="528"/>
      <c r="O216" s="528"/>
      <c r="P216" s="528"/>
      <c r="Q216" s="528"/>
      <c r="R216" s="528"/>
      <c r="S216" s="578">
        <f>+R268</f>
        <v>77</v>
      </c>
      <c r="T216" s="579">
        <f>+T268</f>
        <v>13082</v>
      </c>
      <c r="U216" s="424"/>
      <c r="V216" s="474"/>
      <c r="W216" s="475"/>
      <c r="X216" s="405"/>
    </row>
    <row r="217" spans="1:24" x14ac:dyDescent="0.3">
      <c r="A217" s="471"/>
      <c r="B217" s="522" t="s">
        <v>82</v>
      </c>
      <c r="C217" s="562"/>
      <c r="D217" s="562"/>
      <c r="E217" s="562"/>
      <c r="F217" s="522"/>
      <c r="G217" s="522"/>
      <c r="H217" s="528"/>
      <c r="I217" s="528"/>
      <c r="J217" s="528"/>
      <c r="K217" s="528"/>
      <c r="L217" s="528"/>
      <c r="M217" s="528"/>
      <c r="N217" s="528"/>
      <c r="O217" s="528"/>
      <c r="P217" s="528"/>
      <c r="Q217" s="528"/>
      <c r="R217" s="528"/>
      <c r="S217" s="578">
        <f>+R280</f>
        <v>0</v>
      </c>
      <c r="T217" s="579">
        <f>+T280</f>
        <v>0</v>
      </c>
      <c r="U217" s="424"/>
      <c r="V217" s="474"/>
      <c r="W217" s="475"/>
      <c r="X217" s="405"/>
    </row>
    <row r="218" spans="1:24" x14ac:dyDescent="0.3">
      <c r="A218" s="471"/>
      <c r="B218" s="493" t="s">
        <v>83</v>
      </c>
      <c r="C218" s="472"/>
      <c r="D218" s="472"/>
      <c r="E218" s="472"/>
      <c r="F218" s="424"/>
      <c r="G218" s="424"/>
      <c r="H218" s="424"/>
      <c r="I218" s="424"/>
      <c r="J218" s="424"/>
      <c r="K218" s="424"/>
      <c r="L218" s="424"/>
      <c r="M218" s="424"/>
      <c r="N218" s="424"/>
      <c r="O218" s="424"/>
      <c r="P218" s="424"/>
      <c r="Q218" s="424"/>
      <c r="R218" s="424"/>
      <c r="S218" s="421"/>
      <c r="T218" s="579">
        <v>0</v>
      </c>
      <c r="U218" s="424"/>
      <c r="V218" s="474"/>
      <c r="W218" s="475"/>
      <c r="X218" s="405"/>
    </row>
    <row r="219" spans="1:24" x14ac:dyDescent="0.3">
      <c r="A219" s="471"/>
      <c r="B219" s="493" t="s">
        <v>84</v>
      </c>
      <c r="C219" s="472"/>
      <c r="D219" s="472"/>
      <c r="E219" s="472"/>
      <c r="F219" s="424"/>
      <c r="G219" s="424"/>
      <c r="H219" s="424"/>
      <c r="I219" s="424"/>
      <c r="J219" s="424"/>
      <c r="K219" s="424"/>
      <c r="L219" s="424"/>
      <c r="M219" s="424"/>
      <c r="N219" s="424"/>
      <c r="O219" s="424"/>
      <c r="P219" s="424"/>
      <c r="Q219" s="424"/>
      <c r="R219" s="424"/>
      <c r="S219" s="421"/>
      <c r="T219" s="580" t="s">
        <v>112</v>
      </c>
      <c r="U219" s="424"/>
      <c r="V219" s="474"/>
      <c r="W219" s="475"/>
      <c r="X219" s="405"/>
    </row>
    <row r="220" spans="1:24" x14ac:dyDescent="0.3">
      <c r="A220" s="476"/>
      <c r="B220" s="493" t="s">
        <v>85</v>
      </c>
      <c r="C220" s="477"/>
      <c r="D220" s="477"/>
      <c r="E220" s="477"/>
      <c r="F220" s="477"/>
      <c r="G220" s="424"/>
      <c r="H220" s="424"/>
      <c r="I220" s="424"/>
      <c r="J220" s="424"/>
      <c r="K220" s="424"/>
      <c r="L220" s="424"/>
      <c r="M220" s="424"/>
      <c r="N220" s="424"/>
      <c r="O220" s="424"/>
      <c r="P220" s="424"/>
      <c r="Q220" s="424"/>
      <c r="R220" s="424"/>
      <c r="S220" s="421"/>
      <c r="T220" s="473"/>
      <c r="U220" s="424"/>
      <c r="V220" s="474"/>
      <c r="W220" s="478"/>
      <c r="X220" s="405"/>
    </row>
    <row r="221" spans="1:24" s="513" customFormat="1" x14ac:dyDescent="0.3">
      <c r="A221" s="581"/>
      <c r="B221" s="522" t="s">
        <v>86</v>
      </c>
      <c r="C221" s="522"/>
      <c r="D221" s="522"/>
      <c r="E221" s="522"/>
      <c r="F221" s="522"/>
      <c r="G221" s="522"/>
      <c r="H221" s="522"/>
      <c r="I221" s="522"/>
      <c r="J221" s="522"/>
      <c r="K221" s="522"/>
      <c r="L221" s="522"/>
      <c r="M221" s="522"/>
      <c r="N221" s="522"/>
      <c r="O221" s="522"/>
      <c r="P221" s="522"/>
      <c r="Q221" s="522"/>
      <c r="R221" s="522"/>
      <c r="S221" s="528"/>
      <c r="T221" s="579">
        <f>+V165</f>
        <v>159</v>
      </c>
      <c r="U221" s="522"/>
      <c r="V221" s="582"/>
      <c r="W221" s="583"/>
      <c r="X221" s="512"/>
    </row>
    <row r="222" spans="1:24" s="513" customFormat="1" x14ac:dyDescent="0.3">
      <c r="A222" s="584"/>
      <c r="B222" s="522" t="s">
        <v>87</v>
      </c>
      <c r="C222" s="562"/>
      <c r="D222" s="562"/>
      <c r="E222" s="562"/>
      <c r="F222" s="562"/>
      <c r="G222" s="522"/>
      <c r="H222" s="522"/>
      <c r="I222" s="522"/>
      <c r="J222" s="522"/>
      <c r="K222" s="522"/>
      <c r="L222" s="522"/>
      <c r="M222" s="522"/>
      <c r="N222" s="522"/>
      <c r="O222" s="522"/>
      <c r="P222" s="522"/>
      <c r="Q222" s="522"/>
      <c r="R222" s="522"/>
      <c r="S222" s="528"/>
      <c r="T222" s="579">
        <f>'July 18'!T222+'Oct 18'!T221</f>
        <v>7392</v>
      </c>
      <c r="U222" s="522"/>
      <c r="V222" s="582"/>
      <c r="W222" s="583"/>
      <c r="X222" s="512"/>
    </row>
    <row r="223" spans="1:24" x14ac:dyDescent="0.3">
      <c r="A223" s="476"/>
      <c r="B223" s="493" t="s">
        <v>292</v>
      </c>
      <c r="C223" s="477"/>
      <c r="D223" s="477"/>
      <c r="E223" s="477"/>
      <c r="F223" s="477"/>
      <c r="G223" s="424"/>
      <c r="H223" s="424"/>
      <c r="I223" s="424"/>
      <c r="J223" s="424"/>
      <c r="K223" s="424"/>
      <c r="L223" s="424"/>
      <c r="M223" s="424"/>
      <c r="N223" s="424"/>
      <c r="O223" s="424"/>
      <c r="P223" s="424"/>
      <c r="Q223" s="424"/>
      <c r="R223" s="424"/>
      <c r="S223" s="423"/>
      <c r="T223" s="473"/>
      <c r="U223" s="424"/>
      <c r="V223" s="474"/>
      <c r="W223" s="478"/>
      <c r="X223" s="405"/>
    </row>
    <row r="224" spans="1:24" s="513" customFormat="1" x14ac:dyDescent="0.3">
      <c r="A224" s="581"/>
      <c r="B224" s="522" t="s">
        <v>290</v>
      </c>
      <c r="C224" s="522"/>
      <c r="D224" s="522"/>
      <c r="E224" s="522"/>
      <c r="F224" s="522"/>
      <c r="G224" s="522"/>
      <c r="H224" s="522"/>
      <c r="I224" s="522"/>
      <c r="J224" s="522"/>
      <c r="K224" s="522"/>
      <c r="L224" s="522"/>
      <c r="M224" s="522"/>
      <c r="N224" s="522"/>
      <c r="O224" s="522"/>
      <c r="P224" s="522"/>
      <c r="Q224" s="522"/>
      <c r="R224" s="522"/>
      <c r="S224" s="528">
        <v>0</v>
      </c>
      <c r="T224" s="579">
        <v>0</v>
      </c>
      <c r="U224" s="522"/>
      <c r="V224" s="582"/>
      <c r="W224" s="583"/>
      <c r="X224" s="512"/>
    </row>
    <row r="225" spans="1:25" s="513" customFormat="1" x14ac:dyDescent="0.3">
      <c r="A225" s="584"/>
      <c r="B225" s="522" t="s">
        <v>88</v>
      </c>
      <c r="C225" s="542"/>
      <c r="D225" s="542"/>
      <c r="E225" s="542"/>
      <c r="F225" s="585"/>
      <c r="G225" s="522"/>
      <c r="H225" s="522"/>
      <c r="I225" s="522"/>
      <c r="J225" s="522"/>
      <c r="K225" s="522"/>
      <c r="L225" s="522"/>
      <c r="M225" s="522"/>
      <c r="N225" s="522"/>
      <c r="O225" s="522"/>
      <c r="P225" s="522"/>
      <c r="Q225" s="522"/>
      <c r="R225" s="522"/>
      <c r="S225" s="522"/>
      <c r="T225" s="580">
        <v>0</v>
      </c>
      <c r="U225" s="522"/>
      <c r="V225" s="582"/>
      <c r="W225" s="583"/>
      <c r="X225" s="512"/>
    </row>
    <row r="226" spans="1:25" s="513" customFormat="1" x14ac:dyDescent="0.3">
      <c r="A226" s="584"/>
      <c r="B226" s="522" t="s">
        <v>89</v>
      </c>
      <c r="C226" s="542"/>
      <c r="D226" s="542"/>
      <c r="E226" s="542"/>
      <c r="F226" s="585"/>
      <c r="G226" s="522"/>
      <c r="H226" s="522"/>
      <c r="I226" s="522"/>
      <c r="J226" s="522"/>
      <c r="K226" s="522"/>
      <c r="L226" s="522"/>
      <c r="M226" s="522"/>
      <c r="N226" s="522"/>
      <c r="O226" s="522"/>
      <c r="P226" s="522"/>
      <c r="Q226" s="522"/>
      <c r="R226" s="522"/>
      <c r="S226" s="522"/>
      <c r="T226" s="580">
        <v>0</v>
      </c>
      <c r="U226" s="522"/>
      <c r="V226" s="582"/>
      <c r="W226" s="583"/>
      <c r="X226" s="512"/>
    </row>
    <row r="227" spans="1:25" x14ac:dyDescent="0.3">
      <c r="A227" s="471"/>
      <c r="B227" s="493" t="s">
        <v>223</v>
      </c>
      <c r="C227" s="479"/>
      <c r="D227" s="479"/>
      <c r="E227" s="479"/>
      <c r="F227" s="480"/>
      <c r="G227" s="424"/>
      <c r="H227" s="424"/>
      <c r="I227" s="424"/>
      <c r="J227" s="424"/>
      <c r="K227" s="424"/>
      <c r="L227" s="424"/>
      <c r="M227" s="424"/>
      <c r="N227" s="424"/>
      <c r="O227" s="424"/>
      <c r="P227" s="424"/>
      <c r="Q227" s="424"/>
      <c r="R227" s="424"/>
      <c r="S227" s="421"/>
      <c r="T227" s="481"/>
      <c r="U227" s="424"/>
      <c r="V227" s="474"/>
      <c r="W227" s="478"/>
      <c r="X227" s="405"/>
    </row>
    <row r="228" spans="1:25" s="513" customFormat="1" x14ac:dyDescent="0.3">
      <c r="A228" s="584"/>
      <c r="B228" s="522" t="s">
        <v>290</v>
      </c>
      <c r="C228" s="542"/>
      <c r="D228" s="542"/>
      <c r="E228" s="542"/>
      <c r="F228" s="585"/>
      <c r="G228" s="522"/>
      <c r="H228" s="522"/>
      <c r="I228" s="522"/>
      <c r="J228" s="522"/>
      <c r="K228" s="522"/>
      <c r="L228" s="522"/>
      <c r="M228" s="522"/>
      <c r="N228" s="522"/>
      <c r="O228" s="522"/>
      <c r="P228" s="522"/>
      <c r="Q228" s="522"/>
      <c r="R228" s="522"/>
      <c r="S228" s="528">
        <v>3</v>
      </c>
      <c r="T228" s="579">
        <v>362</v>
      </c>
      <c r="U228" s="522"/>
      <c r="V228" s="582"/>
      <c r="W228" s="583"/>
      <c r="X228" s="512"/>
    </row>
    <row r="229" spans="1:25" s="513" customFormat="1" x14ac:dyDescent="0.3">
      <c r="A229" s="584"/>
      <c r="B229" s="522" t="s">
        <v>224</v>
      </c>
      <c r="C229" s="542"/>
      <c r="D229" s="542"/>
      <c r="E229" s="542"/>
      <c r="F229" s="585"/>
      <c r="G229" s="522"/>
      <c r="H229" s="522"/>
      <c r="I229" s="522"/>
      <c r="J229" s="522"/>
      <c r="K229" s="522"/>
      <c r="L229" s="522"/>
      <c r="M229" s="522"/>
      <c r="N229" s="522"/>
      <c r="O229" s="522"/>
      <c r="P229" s="522"/>
      <c r="Q229" s="522"/>
      <c r="R229" s="522"/>
      <c r="S229" s="522"/>
      <c r="T229" s="580">
        <v>2.71</v>
      </c>
      <c r="U229" s="522"/>
      <c r="V229" s="582"/>
      <c r="W229" s="583"/>
      <c r="X229" s="512"/>
    </row>
    <row r="230" spans="1:25" x14ac:dyDescent="0.3">
      <c r="A230" s="471"/>
      <c r="B230" s="477"/>
      <c r="C230" s="479"/>
      <c r="D230" s="479"/>
      <c r="E230" s="479"/>
      <c r="F230" s="480"/>
      <c r="G230" s="424"/>
      <c r="H230" s="424"/>
      <c r="I230" s="424"/>
      <c r="J230" s="424"/>
      <c r="K230" s="424"/>
      <c r="L230" s="424"/>
      <c r="M230" s="424"/>
      <c r="N230" s="424"/>
      <c r="O230" s="424"/>
      <c r="P230" s="424"/>
      <c r="Q230" s="424"/>
      <c r="R230" s="424"/>
      <c r="S230" s="421"/>
      <c r="T230" s="481"/>
      <c r="U230" s="424"/>
      <c r="V230" s="474"/>
      <c r="W230" s="478"/>
      <c r="X230" s="405"/>
    </row>
    <row r="231" spans="1:25" x14ac:dyDescent="0.3">
      <c r="A231" s="471"/>
      <c r="B231" s="477"/>
      <c r="C231" s="479"/>
      <c r="D231" s="479"/>
      <c r="E231" s="479"/>
      <c r="F231" s="480"/>
      <c r="G231" s="424"/>
      <c r="H231" s="424"/>
      <c r="I231" s="424"/>
      <c r="J231" s="424"/>
      <c r="K231" s="424"/>
      <c r="L231" s="424"/>
      <c r="M231" s="424"/>
      <c r="N231" s="424"/>
      <c r="O231" s="424"/>
      <c r="P231" s="424"/>
      <c r="Q231" s="424"/>
      <c r="R231" s="424"/>
      <c r="S231" s="424"/>
      <c r="T231" s="482"/>
      <c r="U231" s="424"/>
      <c r="V231" s="474"/>
      <c r="W231" s="478"/>
      <c r="X231" s="405"/>
    </row>
    <row r="232" spans="1:25" ht="18" x14ac:dyDescent="0.35">
      <c r="A232" s="471"/>
      <c r="B232" s="505" t="s">
        <v>174</v>
      </c>
      <c r="C232" s="479"/>
      <c r="D232" s="479"/>
      <c r="E232" s="479"/>
      <c r="F232" s="480"/>
      <c r="G232" s="424"/>
      <c r="H232" s="424"/>
      <c r="I232" s="424"/>
      <c r="J232" s="424"/>
      <c r="K232" s="424"/>
      <c r="L232" s="424"/>
      <c r="M232" s="424"/>
      <c r="N232" s="424"/>
      <c r="O232" s="424"/>
      <c r="P232" s="606" t="s">
        <v>349</v>
      </c>
      <c r="Q232" s="424"/>
      <c r="R232" s="424"/>
      <c r="S232" s="424"/>
      <c r="T232" s="482"/>
      <c r="U232" s="424"/>
      <c r="V232" s="474"/>
      <c r="W232" s="478"/>
      <c r="X232" s="405"/>
    </row>
    <row r="233" spans="1:25" x14ac:dyDescent="0.3">
      <c r="A233" s="469"/>
      <c r="B233" s="461"/>
      <c r="C233" s="483"/>
      <c r="D233" s="483"/>
      <c r="E233" s="483"/>
      <c r="F233" s="484"/>
      <c r="G233" s="429"/>
      <c r="H233" s="429"/>
      <c r="I233" s="429"/>
      <c r="J233" s="429"/>
      <c r="K233" s="429"/>
      <c r="L233" s="429"/>
      <c r="M233" s="429"/>
      <c r="N233" s="429"/>
      <c r="O233" s="429"/>
      <c r="P233" s="429"/>
      <c r="Q233" s="429"/>
      <c r="R233" s="429"/>
      <c r="S233" s="429"/>
      <c r="T233" s="485"/>
      <c r="U233" s="429"/>
      <c r="V233" s="462"/>
      <c r="W233" s="486"/>
      <c r="X233" s="405"/>
    </row>
    <row r="234" spans="1:25" x14ac:dyDescent="0.3">
      <c r="A234" s="418"/>
      <c r="B234" s="464" t="s">
        <v>304</v>
      </c>
      <c r="C234" s="465"/>
      <c r="D234" s="465"/>
      <c r="E234" s="465"/>
      <c r="F234" s="466"/>
      <c r="G234" s="465"/>
      <c r="H234" s="465"/>
      <c r="I234" s="465"/>
      <c r="J234" s="465"/>
      <c r="K234" s="465"/>
      <c r="L234" s="465"/>
      <c r="M234" s="465"/>
      <c r="N234" s="465"/>
      <c r="O234" s="465"/>
      <c r="P234" s="465"/>
      <c r="Q234" s="465"/>
      <c r="R234" s="466" t="s">
        <v>104</v>
      </c>
      <c r="S234" s="465" t="s">
        <v>105</v>
      </c>
      <c r="T234" s="466" t="s">
        <v>113</v>
      </c>
      <c r="U234" s="465" t="s">
        <v>105</v>
      </c>
      <c r="V234" s="467"/>
      <c r="W234" s="487"/>
      <c r="X234" s="405"/>
    </row>
    <row r="235" spans="1:25" s="513" customFormat="1" x14ac:dyDescent="0.3">
      <c r="A235" s="509"/>
      <c r="B235" s="567" t="s">
        <v>90</v>
      </c>
      <c r="C235" s="586"/>
      <c r="D235" s="586"/>
      <c r="E235" s="586"/>
      <c r="F235" s="552"/>
      <c r="G235" s="586"/>
      <c r="H235" s="586"/>
      <c r="I235" s="586"/>
      <c r="J235" s="586"/>
      <c r="K235" s="586"/>
      <c r="L235" s="586"/>
      <c r="M235" s="586"/>
      <c r="N235" s="586"/>
      <c r="O235" s="586"/>
      <c r="P235" s="586"/>
      <c r="Q235" s="586"/>
      <c r="R235" s="587">
        <f t="shared" ref="R235:R242" si="1">+R247+R259+R271</f>
        <v>5411</v>
      </c>
      <c r="S235" s="588">
        <f t="shared" ref="S235:S242" si="2">R235/$R$244</f>
        <v>0.99668447227850432</v>
      </c>
      <c r="T235" s="589">
        <f t="shared" ref="T235:T242" si="3">+T247+T259+T271</f>
        <v>713656</v>
      </c>
      <c r="U235" s="588">
        <f t="shared" ref="U235:U242" si="4">T235/$T$244</f>
        <v>0.99649661739962159</v>
      </c>
      <c r="V235" s="590"/>
      <c r="W235" s="591"/>
      <c r="X235" s="512"/>
    </row>
    <row r="236" spans="1:25" s="513" customFormat="1" x14ac:dyDescent="0.3">
      <c r="A236" s="521"/>
      <c r="B236" s="562" t="s">
        <v>91</v>
      </c>
      <c r="C236" s="592"/>
      <c r="D236" s="592"/>
      <c r="E236" s="592"/>
      <c r="F236" s="522"/>
      <c r="G236" s="593"/>
      <c r="H236" s="592"/>
      <c r="I236" s="592"/>
      <c r="J236" s="592"/>
      <c r="K236" s="592"/>
      <c r="L236" s="592"/>
      <c r="M236" s="592"/>
      <c r="N236" s="592"/>
      <c r="O236" s="592"/>
      <c r="P236" s="592"/>
      <c r="Q236" s="592"/>
      <c r="R236" s="562">
        <f t="shared" si="1"/>
        <v>10</v>
      </c>
      <c r="S236" s="593">
        <f t="shared" si="2"/>
        <v>1.8419598452753729E-3</v>
      </c>
      <c r="T236" s="563">
        <f t="shared" si="3"/>
        <v>1266</v>
      </c>
      <c r="U236" s="593">
        <f t="shared" si="4"/>
        <v>1.7677490522435473E-3</v>
      </c>
      <c r="V236" s="582"/>
      <c r="W236" s="583"/>
      <c r="X236" s="512"/>
      <c r="Y236" s="570"/>
    </row>
    <row r="237" spans="1:25" s="513" customFormat="1" x14ac:dyDescent="0.3">
      <c r="A237" s="521"/>
      <c r="B237" s="562" t="s">
        <v>92</v>
      </c>
      <c r="C237" s="592"/>
      <c r="D237" s="592"/>
      <c r="E237" s="592"/>
      <c r="F237" s="522"/>
      <c r="G237" s="593"/>
      <c r="H237" s="592"/>
      <c r="I237" s="592"/>
      <c r="J237" s="592"/>
      <c r="K237" s="592"/>
      <c r="L237" s="592"/>
      <c r="M237" s="592"/>
      <c r="N237" s="592"/>
      <c r="O237" s="592"/>
      <c r="P237" s="592"/>
      <c r="Q237" s="592"/>
      <c r="R237" s="562">
        <f t="shared" si="1"/>
        <v>4</v>
      </c>
      <c r="S237" s="593">
        <f t="shared" si="2"/>
        <v>7.3678393811014921E-4</v>
      </c>
      <c r="T237" s="563">
        <f t="shared" si="3"/>
        <v>818</v>
      </c>
      <c r="U237" s="593">
        <f t="shared" si="4"/>
        <v>1.1421948852568891E-3</v>
      </c>
      <c r="V237" s="582"/>
      <c r="W237" s="583"/>
      <c r="X237" s="512"/>
    </row>
    <row r="238" spans="1:25" s="513" customFormat="1" x14ac:dyDescent="0.3">
      <c r="A238" s="521"/>
      <c r="B238" s="562" t="s">
        <v>161</v>
      </c>
      <c r="C238" s="592"/>
      <c r="D238" s="592"/>
      <c r="E238" s="592"/>
      <c r="F238" s="522"/>
      <c r="G238" s="593"/>
      <c r="H238" s="592"/>
      <c r="I238" s="592"/>
      <c r="J238" s="592"/>
      <c r="K238" s="592"/>
      <c r="L238" s="592"/>
      <c r="M238" s="592"/>
      <c r="N238" s="592"/>
      <c r="O238" s="592"/>
      <c r="P238" s="592"/>
      <c r="Q238" s="592"/>
      <c r="R238" s="562">
        <f t="shared" si="1"/>
        <v>0</v>
      </c>
      <c r="S238" s="593">
        <f t="shared" si="2"/>
        <v>0</v>
      </c>
      <c r="T238" s="563">
        <f t="shared" si="3"/>
        <v>0</v>
      </c>
      <c r="U238" s="593">
        <f t="shared" si="4"/>
        <v>0</v>
      </c>
      <c r="V238" s="582"/>
      <c r="W238" s="583"/>
      <c r="X238" s="512"/>
      <c r="Y238" s="570"/>
    </row>
    <row r="239" spans="1:25" s="513" customFormat="1" x14ac:dyDescent="0.3">
      <c r="A239" s="521"/>
      <c r="B239" s="562" t="s">
        <v>162</v>
      </c>
      <c r="C239" s="592"/>
      <c r="D239" s="592"/>
      <c r="E239" s="592"/>
      <c r="F239" s="522"/>
      <c r="G239" s="593"/>
      <c r="H239" s="592"/>
      <c r="I239" s="592"/>
      <c r="J239" s="592"/>
      <c r="K239" s="592"/>
      <c r="L239" s="592"/>
      <c r="M239" s="592"/>
      <c r="N239" s="592"/>
      <c r="O239" s="592"/>
      <c r="P239" s="592"/>
      <c r="Q239" s="592"/>
      <c r="R239" s="562">
        <f t="shared" si="1"/>
        <v>1</v>
      </c>
      <c r="S239" s="593">
        <f t="shared" si="2"/>
        <v>1.841959845275373E-4</v>
      </c>
      <c r="T239" s="563">
        <f t="shared" si="3"/>
        <v>113</v>
      </c>
      <c r="U239" s="593">
        <f t="shared" si="4"/>
        <v>1.5778486801225973E-4</v>
      </c>
      <c r="V239" s="582"/>
      <c r="W239" s="583"/>
      <c r="X239" s="512"/>
    </row>
    <row r="240" spans="1:25" s="513" customFormat="1" x14ac:dyDescent="0.3">
      <c r="A240" s="521"/>
      <c r="B240" s="562" t="s">
        <v>163</v>
      </c>
      <c r="C240" s="592"/>
      <c r="D240" s="592"/>
      <c r="E240" s="592"/>
      <c r="F240" s="522"/>
      <c r="G240" s="593"/>
      <c r="H240" s="592"/>
      <c r="I240" s="592"/>
      <c r="J240" s="592"/>
      <c r="K240" s="592"/>
      <c r="L240" s="592"/>
      <c r="M240" s="592"/>
      <c r="N240" s="592"/>
      <c r="O240" s="592"/>
      <c r="P240" s="592"/>
      <c r="Q240" s="592"/>
      <c r="R240" s="562">
        <f t="shared" si="1"/>
        <v>2</v>
      </c>
      <c r="S240" s="593">
        <f t="shared" si="2"/>
        <v>3.6839196905507461E-4</v>
      </c>
      <c r="T240" s="563">
        <f t="shared" si="3"/>
        <v>103</v>
      </c>
      <c r="U240" s="593">
        <f t="shared" si="4"/>
        <v>1.4382160535630757E-4</v>
      </c>
      <c r="V240" s="582"/>
      <c r="W240" s="583"/>
      <c r="X240" s="512"/>
      <c r="Y240" s="570"/>
    </row>
    <row r="241" spans="1:25" s="513" customFormat="1" x14ac:dyDescent="0.3">
      <c r="A241" s="521"/>
      <c r="B241" s="562" t="s">
        <v>164</v>
      </c>
      <c r="C241" s="592"/>
      <c r="D241" s="592"/>
      <c r="E241" s="592"/>
      <c r="F241" s="522"/>
      <c r="G241" s="593"/>
      <c r="H241" s="592"/>
      <c r="I241" s="592"/>
      <c r="J241" s="592"/>
      <c r="K241" s="592"/>
      <c r="L241" s="592"/>
      <c r="M241" s="592"/>
      <c r="N241" s="592"/>
      <c r="O241" s="592"/>
      <c r="P241" s="592"/>
      <c r="Q241" s="592"/>
      <c r="R241" s="562">
        <f t="shared" si="1"/>
        <v>0</v>
      </c>
      <c r="S241" s="593">
        <f t="shared" si="2"/>
        <v>0</v>
      </c>
      <c r="T241" s="563">
        <f t="shared" si="3"/>
        <v>0</v>
      </c>
      <c r="U241" s="593">
        <f t="shared" si="4"/>
        <v>0</v>
      </c>
      <c r="V241" s="582"/>
      <c r="W241" s="583"/>
      <c r="X241" s="512"/>
    </row>
    <row r="242" spans="1:25" s="513" customFormat="1" x14ac:dyDescent="0.3">
      <c r="A242" s="521"/>
      <c r="B242" s="562" t="s">
        <v>165</v>
      </c>
      <c r="C242" s="592"/>
      <c r="D242" s="592"/>
      <c r="E242" s="592"/>
      <c r="F242" s="522"/>
      <c r="G242" s="593"/>
      <c r="H242" s="592"/>
      <c r="I242" s="592"/>
      <c r="J242" s="592"/>
      <c r="K242" s="592"/>
      <c r="L242" s="592"/>
      <c r="M242" s="592"/>
      <c r="N242" s="592"/>
      <c r="O242" s="592"/>
      <c r="P242" s="592"/>
      <c r="Q242" s="592"/>
      <c r="R242" s="562">
        <f t="shared" si="1"/>
        <v>1</v>
      </c>
      <c r="S242" s="593">
        <f t="shared" si="2"/>
        <v>1.841959845275373E-4</v>
      </c>
      <c r="T242" s="563">
        <f t="shared" si="3"/>
        <v>209</v>
      </c>
      <c r="U242" s="593">
        <f t="shared" si="4"/>
        <v>2.9183218950940075E-4</v>
      </c>
      <c r="V242" s="582"/>
      <c r="W242" s="583"/>
      <c r="X242" s="512"/>
      <c r="Y242" s="570"/>
    </row>
    <row r="243" spans="1:25" s="513" customFormat="1" x14ac:dyDescent="0.3">
      <c r="A243" s="521"/>
      <c r="B243" s="562"/>
      <c r="C243" s="592"/>
      <c r="D243" s="592"/>
      <c r="E243" s="592"/>
      <c r="F243" s="522"/>
      <c r="G243" s="593"/>
      <c r="H243" s="592"/>
      <c r="I243" s="592"/>
      <c r="J243" s="592"/>
      <c r="K243" s="592"/>
      <c r="L243" s="592"/>
      <c r="M243" s="592"/>
      <c r="N243" s="592"/>
      <c r="O243" s="592"/>
      <c r="P243" s="592"/>
      <c r="Q243" s="592"/>
      <c r="R243" s="562"/>
      <c r="S243" s="593"/>
      <c r="T243" s="563"/>
      <c r="U243" s="593"/>
      <c r="V243" s="582"/>
      <c r="W243" s="583"/>
      <c r="X243" s="512"/>
    </row>
    <row r="244" spans="1:25" s="513" customFormat="1" x14ac:dyDescent="0.3">
      <c r="A244" s="521"/>
      <c r="B244" s="522" t="s">
        <v>119</v>
      </c>
      <c r="C244" s="522"/>
      <c r="D244" s="522"/>
      <c r="E244" s="522"/>
      <c r="F244" s="522"/>
      <c r="G244" s="522"/>
      <c r="H244" s="594"/>
      <c r="I244" s="594"/>
      <c r="J244" s="594"/>
      <c r="K244" s="594"/>
      <c r="L244" s="594"/>
      <c r="M244" s="594"/>
      <c r="N244" s="594"/>
      <c r="O244" s="594"/>
      <c r="P244" s="594"/>
      <c r="Q244" s="594"/>
      <c r="R244" s="562">
        <f>SUM(R235:R243)</f>
        <v>5429</v>
      </c>
      <c r="S244" s="593">
        <f>SUM(S235:S243)</f>
        <v>1</v>
      </c>
      <c r="T244" s="563">
        <f>SUM(T235:T243)</f>
        <v>716165</v>
      </c>
      <c r="U244" s="593">
        <f>SUM(U235:U243)</f>
        <v>1</v>
      </c>
      <c r="V244" s="522"/>
      <c r="W244" s="524"/>
      <c r="X244" s="512"/>
    </row>
    <row r="245" spans="1:25" x14ac:dyDescent="0.3">
      <c r="A245" s="469"/>
      <c r="B245" s="461"/>
      <c r="C245" s="483"/>
      <c r="D245" s="483"/>
      <c r="E245" s="483"/>
      <c r="F245" s="484"/>
      <c r="G245" s="429"/>
      <c r="H245" s="429"/>
      <c r="I245" s="429"/>
      <c r="J245" s="429"/>
      <c r="K245" s="429"/>
      <c r="L245" s="429"/>
      <c r="M245" s="429"/>
      <c r="N245" s="429"/>
      <c r="O245" s="429"/>
      <c r="P245" s="429"/>
      <c r="Q245" s="429"/>
      <c r="R245" s="429"/>
      <c r="S245" s="429"/>
      <c r="T245" s="485"/>
      <c r="U245" s="429"/>
      <c r="V245" s="462"/>
      <c r="W245" s="486"/>
      <c r="X245" s="405"/>
    </row>
    <row r="246" spans="1:25" x14ac:dyDescent="0.3">
      <c r="A246" s="418"/>
      <c r="B246" s="464" t="s">
        <v>167</v>
      </c>
      <c r="C246" s="465"/>
      <c r="D246" s="465"/>
      <c r="E246" s="465"/>
      <c r="F246" s="466"/>
      <c r="G246" s="465"/>
      <c r="H246" s="465"/>
      <c r="I246" s="465"/>
      <c r="J246" s="465"/>
      <c r="K246" s="465"/>
      <c r="L246" s="465"/>
      <c r="M246" s="465"/>
      <c r="N246" s="465"/>
      <c r="O246" s="465"/>
      <c r="P246" s="465"/>
      <c r="Q246" s="465"/>
      <c r="R246" s="466" t="s">
        <v>104</v>
      </c>
      <c r="S246" s="465" t="s">
        <v>105</v>
      </c>
      <c r="T246" s="466" t="s">
        <v>113</v>
      </c>
      <c r="U246" s="465" t="s">
        <v>105</v>
      </c>
      <c r="V246" s="467"/>
      <c r="W246" s="487"/>
      <c r="X246" s="405"/>
    </row>
    <row r="247" spans="1:25" s="513" customFormat="1" x14ac:dyDescent="0.3">
      <c r="A247" s="509"/>
      <c r="B247" s="567" t="s">
        <v>90</v>
      </c>
      <c r="C247" s="586"/>
      <c r="D247" s="586"/>
      <c r="E247" s="586"/>
      <c r="F247" s="552"/>
      <c r="G247" s="586"/>
      <c r="H247" s="586"/>
      <c r="I247" s="586"/>
      <c r="J247" s="586"/>
      <c r="K247" s="586"/>
      <c r="L247" s="586"/>
      <c r="M247" s="586"/>
      <c r="N247" s="586"/>
      <c r="O247" s="586"/>
      <c r="P247" s="586"/>
      <c r="Q247" s="586"/>
      <c r="R247" s="567">
        <v>5341</v>
      </c>
      <c r="S247" s="595">
        <f t="shared" ref="S247:S254" si="5">R247/$R$256</f>
        <v>0.99794469357249627</v>
      </c>
      <c r="T247" s="596">
        <v>701533</v>
      </c>
      <c r="U247" s="595">
        <f t="shared" ref="U247:U254" si="6">T247/$T$256</f>
        <v>0.99779542386887465</v>
      </c>
      <c r="V247" s="590"/>
      <c r="W247" s="591"/>
      <c r="X247" s="512"/>
    </row>
    <row r="248" spans="1:25" s="513" customFormat="1" x14ac:dyDescent="0.3">
      <c r="A248" s="521"/>
      <c r="B248" s="562" t="s">
        <v>91</v>
      </c>
      <c r="C248" s="592"/>
      <c r="D248" s="592"/>
      <c r="E248" s="592"/>
      <c r="F248" s="522"/>
      <c r="G248" s="593"/>
      <c r="H248" s="592"/>
      <c r="I248" s="592"/>
      <c r="J248" s="592"/>
      <c r="K248" s="592"/>
      <c r="L248" s="592"/>
      <c r="M248" s="592"/>
      <c r="N248" s="592"/>
      <c r="O248" s="592"/>
      <c r="P248" s="592"/>
      <c r="Q248" s="592"/>
      <c r="R248" s="562">
        <v>7</v>
      </c>
      <c r="S248" s="593">
        <f t="shared" si="5"/>
        <v>1.3079222720478326E-3</v>
      </c>
      <c r="T248" s="563">
        <v>732</v>
      </c>
      <c r="U248" s="593">
        <f t="shared" si="6"/>
        <v>1.0411288567637106E-3</v>
      </c>
      <c r="V248" s="582"/>
      <c r="W248" s="583"/>
      <c r="X248" s="512"/>
      <c r="Y248" s="570"/>
    </row>
    <row r="249" spans="1:25" s="513" customFormat="1" x14ac:dyDescent="0.3">
      <c r="A249" s="521"/>
      <c r="B249" s="562" t="s">
        <v>92</v>
      </c>
      <c r="C249" s="592"/>
      <c r="D249" s="592"/>
      <c r="E249" s="592"/>
      <c r="F249" s="522"/>
      <c r="G249" s="593"/>
      <c r="H249" s="592"/>
      <c r="I249" s="592"/>
      <c r="J249" s="592"/>
      <c r="K249" s="592"/>
      <c r="L249" s="592"/>
      <c r="M249" s="592"/>
      <c r="N249" s="592"/>
      <c r="O249" s="592"/>
      <c r="P249" s="592"/>
      <c r="Q249" s="592"/>
      <c r="R249" s="562">
        <v>4</v>
      </c>
      <c r="S249" s="593">
        <f t="shared" si="5"/>
        <v>7.4738415545590436E-4</v>
      </c>
      <c r="T249" s="563">
        <v>818</v>
      </c>
      <c r="U249" s="593">
        <f t="shared" si="6"/>
        <v>1.163447274361633E-3</v>
      </c>
      <c r="V249" s="582"/>
      <c r="W249" s="583"/>
      <c r="X249" s="512"/>
    </row>
    <row r="250" spans="1:25" s="513" customFormat="1" x14ac:dyDescent="0.3">
      <c r="A250" s="521"/>
      <c r="B250" s="562" t="s">
        <v>161</v>
      </c>
      <c r="C250" s="592"/>
      <c r="D250" s="592"/>
      <c r="E250" s="592"/>
      <c r="F250" s="522"/>
      <c r="G250" s="593"/>
      <c r="H250" s="592"/>
      <c r="I250" s="592"/>
      <c r="J250" s="592"/>
      <c r="K250" s="592"/>
      <c r="L250" s="592"/>
      <c r="M250" s="592"/>
      <c r="N250" s="592"/>
      <c r="O250" s="592"/>
      <c r="P250" s="592"/>
      <c r="Q250" s="592"/>
      <c r="R250" s="562">
        <v>0</v>
      </c>
      <c r="S250" s="593">
        <f t="shared" si="5"/>
        <v>0</v>
      </c>
      <c r="T250" s="563">
        <v>0</v>
      </c>
      <c r="U250" s="593">
        <f t="shared" si="6"/>
        <v>0</v>
      </c>
      <c r="V250" s="582"/>
      <c r="W250" s="583"/>
      <c r="X250" s="512"/>
      <c r="Y250" s="570"/>
    </row>
    <row r="251" spans="1:25" s="513" customFormat="1" x14ac:dyDescent="0.3">
      <c r="A251" s="521"/>
      <c r="B251" s="562" t="s">
        <v>162</v>
      </c>
      <c r="C251" s="592"/>
      <c r="D251" s="592"/>
      <c r="E251" s="592"/>
      <c r="F251" s="522"/>
      <c r="G251" s="593"/>
      <c r="H251" s="592"/>
      <c r="I251" s="592"/>
      <c r="J251" s="592"/>
      <c r="K251" s="592"/>
      <c r="L251" s="592"/>
      <c r="M251" s="592"/>
      <c r="N251" s="592"/>
      <c r="O251" s="592"/>
      <c r="P251" s="592"/>
      <c r="Q251" s="592"/>
      <c r="R251" s="562">
        <v>0</v>
      </c>
      <c r="S251" s="593">
        <f t="shared" si="5"/>
        <v>0</v>
      </c>
      <c r="T251" s="563">
        <v>0</v>
      </c>
      <c r="U251" s="593">
        <f t="shared" si="6"/>
        <v>0</v>
      </c>
      <c r="V251" s="582"/>
      <c r="W251" s="583"/>
      <c r="X251" s="512"/>
    </row>
    <row r="252" spans="1:25" s="513" customFormat="1" x14ac:dyDescent="0.3">
      <c r="A252" s="521"/>
      <c r="B252" s="562" t="s">
        <v>163</v>
      </c>
      <c r="C252" s="592"/>
      <c r="D252" s="592"/>
      <c r="E252" s="592"/>
      <c r="F252" s="522"/>
      <c r="G252" s="593"/>
      <c r="H252" s="592"/>
      <c r="I252" s="592"/>
      <c r="J252" s="592"/>
      <c r="K252" s="592"/>
      <c r="L252" s="592"/>
      <c r="M252" s="592"/>
      <c r="N252" s="592"/>
      <c r="O252" s="592"/>
      <c r="P252" s="592"/>
      <c r="Q252" s="592"/>
      <c r="R252" s="562">
        <v>0</v>
      </c>
      <c r="S252" s="593">
        <f t="shared" si="5"/>
        <v>0</v>
      </c>
      <c r="T252" s="563">
        <v>0</v>
      </c>
      <c r="U252" s="593">
        <f t="shared" si="6"/>
        <v>0</v>
      </c>
      <c r="V252" s="582"/>
      <c r="W252" s="583"/>
      <c r="X252" s="512"/>
      <c r="Y252" s="570"/>
    </row>
    <row r="253" spans="1:25" s="513" customFormat="1" x14ac:dyDescent="0.3">
      <c r="A253" s="521"/>
      <c r="B253" s="562" t="s">
        <v>164</v>
      </c>
      <c r="C253" s="592"/>
      <c r="D253" s="592"/>
      <c r="E253" s="592"/>
      <c r="F253" s="522"/>
      <c r="G253" s="593"/>
      <c r="H253" s="592"/>
      <c r="I253" s="592"/>
      <c r="J253" s="592"/>
      <c r="K253" s="592"/>
      <c r="L253" s="592"/>
      <c r="M253" s="592"/>
      <c r="N253" s="592"/>
      <c r="O253" s="592"/>
      <c r="P253" s="592"/>
      <c r="Q253" s="592"/>
      <c r="R253" s="562">
        <v>0</v>
      </c>
      <c r="S253" s="593">
        <f t="shared" si="5"/>
        <v>0</v>
      </c>
      <c r="T253" s="563">
        <v>0</v>
      </c>
      <c r="U253" s="593">
        <f t="shared" si="6"/>
        <v>0</v>
      </c>
      <c r="V253" s="582"/>
      <c r="W253" s="583"/>
      <c r="X253" s="512"/>
    </row>
    <row r="254" spans="1:25" s="513" customFormat="1" x14ac:dyDescent="0.3">
      <c r="A254" s="521"/>
      <c r="B254" s="562" t="s">
        <v>165</v>
      </c>
      <c r="C254" s="592"/>
      <c r="D254" s="592"/>
      <c r="E254" s="592"/>
      <c r="F254" s="522"/>
      <c r="G254" s="593"/>
      <c r="H254" s="592"/>
      <c r="I254" s="592"/>
      <c r="J254" s="592"/>
      <c r="K254" s="592"/>
      <c r="L254" s="592"/>
      <c r="M254" s="592"/>
      <c r="N254" s="592"/>
      <c r="O254" s="592"/>
      <c r="P254" s="592"/>
      <c r="Q254" s="592"/>
      <c r="R254" s="562">
        <v>0</v>
      </c>
      <c r="S254" s="593">
        <f t="shared" si="5"/>
        <v>0</v>
      </c>
      <c r="T254" s="563">
        <v>0</v>
      </c>
      <c r="U254" s="593">
        <f t="shared" si="6"/>
        <v>0</v>
      </c>
      <c r="V254" s="582"/>
      <c r="W254" s="583"/>
      <c r="X254" s="512"/>
      <c r="Y254" s="570"/>
    </row>
    <row r="255" spans="1:25" s="513" customFormat="1" x14ac:dyDescent="0.3">
      <c r="A255" s="521"/>
      <c r="B255" s="562"/>
      <c r="C255" s="592"/>
      <c r="D255" s="592"/>
      <c r="E255" s="592"/>
      <c r="F255" s="522"/>
      <c r="G255" s="593"/>
      <c r="H255" s="592"/>
      <c r="I255" s="592"/>
      <c r="J255" s="592"/>
      <c r="K255" s="592"/>
      <c r="L255" s="592"/>
      <c r="M255" s="592"/>
      <c r="N255" s="592"/>
      <c r="O255" s="592"/>
      <c r="P255" s="592"/>
      <c r="Q255" s="592"/>
      <c r="R255" s="562"/>
      <c r="S255" s="593"/>
      <c r="T255" s="563"/>
      <c r="U255" s="593"/>
      <c r="V255" s="582"/>
      <c r="W255" s="583"/>
      <c r="X255" s="512"/>
    </row>
    <row r="256" spans="1:25" s="513" customFormat="1" x14ac:dyDescent="0.3">
      <c r="A256" s="521"/>
      <c r="B256" s="522" t="s">
        <v>119</v>
      </c>
      <c r="C256" s="522"/>
      <c r="D256" s="522"/>
      <c r="E256" s="522"/>
      <c r="F256" s="522"/>
      <c r="G256" s="522"/>
      <c r="H256" s="594"/>
      <c r="I256" s="594"/>
      <c r="J256" s="594"/>
      <c r="K256" s="594"/>
      <c r="L256" s="594"/>
      <c r="M256" s="594"/>
      <c r="N256" s="594"/>
      <c r="O256" s="594"/>
      <c r="P256" s="594"/>
      <c r="Q256" s="594"/>
      <c r="R256" s="562">
        <f>SUM(R247:R255)</f>
        <v>5352</v>
      </c>
      <c r="S256" s="593">
        <f>SUM(S247:S255)</f>
        <v>1</v>
      </c>
      <c r="T256" s="563">
        <f>SUM(T247:T255)</f>
        <v>703083</v>
      </c>
      <c r="U256" s="593">
        <f>SUM(U247:U255)</f>
        <v>1</v>
      </c>
      <c r="V256" s="522"/>
      <c r="W256" s="524"/>
      <c r="X256" s="512"/>
    </row>
    <row r="257" spans="1:24" x14ac:dyDescent="0.3">
      <c r="A257" s="407"/>
      <c r="B257" s="429"/>
      <c r="C257" s="429"/>
      <c r="D257" s="429"/>
      <c r="E257" s="429"/>
      <c r="F257" s="429"/>
      <c r="G257" s="429"/>
      <c r="H257" s="488"/>
      <c r="I257" s="488"/>
      <c r="J257" s="488"/>
      <c r="K257" s="488"/>
      <c r="L257" s="488"/>
      <c r="M257" s="488"/>
      <c r="N257" s="488"/>
      <c r="O257" s="488"/>
      <c r="P257" s="488"/>
      <c r="Q257" s="488"/>
      <c r="R257" s="435"/>
      <c r="S257" s="489"/>
      <c r="T257" s="490"/>
      <c r="U257" s="489"/>
      <c r="V257" s="429"/>
      <c r="W257" s="429"/>
      <c r="X257" s="405"/>
    </row>
    <row r="258" spans="1:24" x14ac:dyDescent="0.3">
      <c r="A258" s="418"/>
      <c r="B258" s="464" t="s">
        <v>283</v>
      </c>
      <c r="C258" s="465"/>
      <c r="D258" s="465"/>
      <c r="E258" s="465"/>
      <c r="F258" s="466"/>
      <c r="G258" s="465"/>
      <c r="H258" s="465"/>
      <c r="I258" s="465"/>
      <c r="J258" s="465"/>
      <c r="K258" s="465"/>
      <c r="L258" s="465"/>
      <c r="M258" s="465"/>
      <c r="N258" s="465"/>
      <c r="O258" s="465"/>
      <c r="P258" s="465"/>
      <c r="Q258" s="465"/>
      <c r="R258" s="466" t="s">
        <v>104</v>
      </c>
      <c r="S258" s="465" t="s">
        <v>105</v>
      </c>
      <c r="T258" s="466" t="s">
        <v>113</v>
      </c>
      <c r="U258" s="465" t="s">
        <v>105</v>
      </c>
      <c r="V258" s="467"/>
      <c r="W258" s="468"/>
      <c r="X258" s="405"/>
    </row>
    <row r="259" spans="1:24" s="513" customFormat="1" x14ac:dyDescent="0.3">
      <c r="A259" s="509"/>
      <c r="B259" s="567" t="s">
        <v>90</v>
      </c>
      <c r="C259" s="586"/>
      <c r="D259" s="586"/>
      <c r="E259" s="586"/>
      <c r="F259" s="552"/>
      <c r="G259" s="586"/>
      <c r="H259" s="586"/>
      <c r="I259" s="586"/>
      <c r="J259" s="586"/>
      <c r="K259" s="586"/>
      <c r="L259" s="586"/>
      <c r="M259" s="586"/>
      <c r="N259" s="586"/>
      <c r="O259" s="586"/>
      <c r="P259" s="586"/>
      <c r="Q259" s="586"/>
      <c r="R259" s="567">
        <v>70</v>
      </c>
      <c r="S259" s="595">
        <f t="shared" ref="S259:S266" si="7">R259/$R$268</f>
        <v>0.90909090909090906</v>
      </c>
      <c r="T259" s="596">
        <v>12123</v>
      </c>
      <c r="U259" s="595">
        <f t="shared" ref="U259:U266" si="8">T259/$T$268</f>
        <v>0.92669316618254094</v>
      </c>
      <c r="V259" s="552"/>
      <c r="W259" s="552"/>
      <c r="X259" s="512"/>
    </row>
    <row r="260" spans="1:24" s="513" customFormat="1" x14ac:dyDescent="0.3">
      <c r="A260" s="521"/>
      <c r="B260" s="562" t="s">
        <v>91</v>
      </c>
      <c r="C260" s="592"/>
      <c r="D260" s="592"/>
      <c r="E260" s="592"/>
      <c r="F260" s="522"/>
      <c r="G260" s="593"/>
      <c r="H260" s="592"/>
      <c r="I260" s="592"/>
      <c r="J260" s="592"/>
      <c r="K260" s="592"/>
      <c r="L260" s="592"/>
      <c r="M260" s="592"/>
      <c r="N260" s="592"/>
      <c r="O260" s="592"/>
      <c r="P260" s="592"/>
      <c r="Q260" s="592"/>
      <c r="R260" s="562">
        <v>3</v>
      </c>
      <c r="S260" s="593">
        <f t="shared" si="7"/>
        <v>3.896103896103896E-2</v>
      </c>
      <c r="T260" s="563">
        <v>534</v>
      </c>
      <c r="U260" s="593">
        <f t="shared" si="8"/>
        <v>4.0819446567803092E-2</v>
      </c>
      <c r="V260" s="522"/>
      <c r="W260" s="524"/>
      <c r="X260" s="512"/>
    </row>
    <row r="261" spans="1:24" s="513" customFormat="1" x14ac:dyDescent="0.3">
      <c r="A261" s="521"/>
      <c r="B261" s="562" t="s">
        <v>92</v>
      </c>
      <c r="C261" s="592"/>
      <c r="D261" s="592"/>
      <c r="E261" s="592"/>
      <c r="F261" s="522"/>
      <c r="G261" s="593"/>
      <c r="H261" s="592"/>
      <c r="I261" s="592"/>
      <c r="J261" s="592"/>
      <c r="K261" s="592"/>
      <c r="L261" s="592"/>
      <c r="M261" s="592"/>
      <c r="N261" s="592"/>
      <c r="O261" s="592"/>
      <c r="P261" s="592"/>
      <c r="Q261" s="592"/>
      <c r="R261" s="562">
        <v>0</v>
      </c>
      <c r="S261" s="593">
        <f t="shared" si="7"/>
        <v>0</v>
      </c>
      <c r="T261" s="563">
        <v>0</v>
      </c>
      <c r="U261" s="593">
        <f t="shared" si="8"/>
        <v>0</v>
      </c>
      <c r="V261" s="522"/>
      <c r="W261" s="524"/>
      <c r="X261" s="512"/>
    </row>
    <row r="262" spans="1:24" s="513" customFormat="1" x14ac:dyDescent="0.3">
      <c r="A262" s="521"/>
      <c r="B262" s="562" t="s">
        <v>161</v>
      </c>
      <c r="C262" s="592"/>
      <c r="D262" s="592"/>
      <c r="E262" s="592"/>
      <c r="F262" s="522"/>
      <c r="G262" s="593"/>
      <c r="H262" s="592"/>
      <c r="I262" s="592"/>
      <c r="J262" s="592"/>
      <c r="K262" s="592"/>
      <c r="L262" s="592"/>
      <c r="M262" s="592"/>
      <c r="N262" s="592"/>
      <c r="O262" s="592"/>
      <c r="P262" s="592"/>
      <c r="Q262" s="592"/>
      <c r="R262" s="562">
        <v>0</v>
      </c>
      <c r="S262" s="593">
        <f t="shared" si="7"/>
        <v>0</v>
      </c>
      <c r="T262" s="563">
        <v>0</v>
      </c>
      <c r="U262" s="593">
        <f t="shared" si="8"/>
        <v>0</v>
      </c>
      <c r="V262" s="522"/>
      <c r="W262" s="524"/>
      <c r="X262" s="512"/>
    </row>
    <row r="263" spans="1:24" s="513" customFormat="1" x14ac:dyDescent="0.3">
      <c r="A263" s="521"/>
      <c r="B263" s="562" t="s">
        <v>162</v>
      </c>
      <c r="C263" s="592"/>
      <c r="D263" s="592"/>
      <c r="E263" s="592"/>
      <c r="F263" s="522"/>
      <c r="G263" s="593"/>
      <c r="H263" s="592"/>
      <c r="I263" s="592"/>
      <c r="J263" s="592"/>
      <c r="K263" s="592"/>
      <c r="L263" s="592"/>
      <c r="M263" s="592"/>
      <c r="N263" s="592"/>
      <c r="O263" s="592"/>
      <c r="P263" s="592"/>
      <c r="Q263" s="592"/>
      <c r="R263" s="562">
        <v>1</v>
      </c>
      <c r="S263" s="593">
        <f t="shared" si="7"/>
        <v>1.2987012987012988E-2</v>
      </c>
      <c r="T263" s="563">
        <v>113</v>
      </c>
      <c r="U263" s="593">
        <f t="shared" si="8"/>
        <v>8.6378229628497165E-3</v>
      </c>
      <c r="V263" s="522"/>
      <c r="W263" s="524"/>
      <c r="X263" s="512"/>
    </row>
    <row r="264" spans="1:24" s="513" customFormat="1" x14ac:dyDescent="0.3">
      <c r="A264" s="521"/>
      <c r="B264" s="562" t="s">
        <v>163</v>
      </c>
      <c r="C264" s="592"/>
      <c r="D264" s="592"/>
      <c r="E264" s="592"/>
      <c r="F264" s="522"/>
      <c r="G264" s="593"/>
      <c r="H264" s="592"/>
      <c r="I264" s="592"/>
      <c r="J264" s="592"/>
      <c r="K264" s="592"/>
      <c r="L264" s="592"/>
      <c r="M264" s="592"/>
      <c r="N264" s="592"/>
      <c r="O264" s="592"/>
      <c r="P264" s="592"/>
      <c r="Q264" s="592"/>
      <c r="R264" s="562">
        <v>2</v>
      </c>
      <c r="S264" s="593">
        <f t="shared" si="7"/>
        <v>2.5974025974025976E-2</v>
      </c>
      <c r="T264" s="563">
        <v>103</v>
      </c>
      <c r="U264" s="593">
        <f t="shared" si="8"/>
        <v>7.873413851093105E-3</v>
      </c>
      <c r="V264" s="522"/>
      <c r="W264" s="524"/>
      <c r="X264" s="512"/>
    </row>
    <row r="265" spans="1:24" s="513" customFormat="1" x14ac:dyDescent="0.3">
      <c r="A265" s="521"/>
      <c r="B265" s="562" t="s">
        <v>164</v>
      </c>
      <c r="C265" s="592"/>
      <c r="D265" s="592"/>
      <c r="E265" s="592"/>
      <c r="F265" s="522"/>
      <c r="G265" s="593"/>
      <c r="H265" s="592"/>
      <c r="I265" s="592"/>
      <c r="J265" s="592"/>
      <c r="K265" s="592"/>
      <c r="L265" s="592"/>
      <c r="M265" s="592"/>
      <c r="N265" s="592"/>
      <c r="O265" s="592"/>
      <c r="P265" s="592"/>
      <c r="Q265" s="592"/>
      <c r="R265" s="562">
        <v>0</v>
      </c>
      <c r="S265" s="593">
        <f t="shared" si="7"/>
        <v>0</v>
      </c>
      <c r="T265" s="563">
        <v>0</v>
      </c>
      <c r="U265" s="593">
        <f t="shared" si="8"/>
        <v>0</v>
      </c>
      <c r="V265" s="522"/>
      <c r="W265" s="524"/>
      <c r="X265" s="512"/>
    </row>
    <row r="266" spans="1:24" s="513" customFormat="1" x14ac:dyDescent="0.3">
      <c r="A266" s="521"/>
      <c r="B266" s="562" t="s">
        <v>165</v>
      </c>
      <c r="C266" s="592"/>
      <c r="D266" s="592"/>
      <c r="E266" s="592"/>
      <c r="F266" s="522"/>
      <c r="G266" s="593"/>
      <c r="H266" s="592"/>
      <c r="I266" s="592"/>
      <c r="J266" s="592"/>
      <c r="K266" s="592"/>
      <c r="L266" s="592"/>
      <c r="M266" s="592"/>
      <c r="N266" s="592"/>
      <c r="O266" s="592"/>
      <c r="P266" s="592"/>
      <c r="Q266" s="592"/>
      <c r="R266" s="562">
        <v>1</v>
      </c>
      <c r="S266" s="593">
        <f t="shared" si="7"/>
        <v>1.2987012987012988E-2</v>
      </c>
      <c r="T266" s="563">
        <v>209</v>
      </c>
      <c r="U266" s="593">
        <f t="shared" si="8"/>
        <v>1.5976150435713193E-2</v>
      </c>
      <c r="V266" s="522"/>
      <c r="W266" s="524"/>
      <c r="X266" s="512"/>
    </row>
    <row r="267" spans="1:24" s="513" customFormat="1" x14ac:dyDescent="0.3">
      <c r="A267" s="521"/>
      <c r="B267" s="562"/>
      <c r="C267" s="592"/>
      <c r="D267" s="592"/>
      <c r="E267" s="592"/>
      <c r="F267" s="522"/>
      <c r="G267" s="593"/>
      <c r="H267" s="592"/>
      <c r="I267" s="592"/>
      <c r="J267" s="592"/>
      <c r="K267" s="592"/>
      <c r="L267" s="592"/>
      <c r="M267" s="592"/>
      <c r="N267" s="592"/>
      <c r="O267" s="592"/>
      <c r="P267" s="592"/>
      <c r="Q267" s="592"/>
      <c r="R267" s="562"/>
      <c r="S267" s="593"/>
      <c r="T267" s="563"/>
      <c r="U267" s="593"/>
      <c r="V267" s="522"/>
      <c r="W267" s="524"/>
      <c r="X267" s="512"/>
    </row>
    <row r="268" spans="1:24" s="513" customFormat="1" x14ac:dyDescent="0.3">
      <c r="A268" s="521"/>
      <c r="B268" s="522" t="s">
        <v>119</v>
      </c>
      <c r="C268" s="522"/>
      <c r="D268" s="522"/>
      <c r="E268" s="522"/>
      <c r="F268" s="522"/>
      <c r="G268" s="522"/>
      <c r="H268" s="594"/>
      <c r="I268" s="594"/>
      <c r="J268" s="594"/>
      <c r="K268" s="594"/>
      <c r="L268" s="594"/>
      <c r="M268" s="594"/>
      <c r="N268" s="594"/>
      <c r="O268" s="594"/>
      <c r="P268" s="594"/>
      <c r="Q268" s="594"/>
      <c r="R268" s="562">
        <f>SUM(R259:R267)</f>
        <v>77</v>
      </c>
      <c r="S268" s="593">
        <f>SUM(S259:S267)</f>
        <v>1</v>
      </c>
      <c r="T268" s="563">
        <f>SUM(T259:T267)</f>
        <v>13082</v>
      </c>
      <c r="U268" s="593">
        <f>SUM(U259:U267)</f>
        <v>1</v>
      </c>
      <c r="V268" s="522"/>
      <c r="W268" s="524"/>
      <c r="X268" s="512"/>
    </row>
    <row r="269" spans="1:24" x14ac:dyDescent="0.3">
      <c r="A269" s="407"/>
      <c r="B269" s="429"/>
      <c r="C269" s="429"/>
      <c r="D269" s="429"/>
      <c r="E269" s="429"/>
      <c r="F269" s="429"/>
      <c r="G269" s="429"/>
      <c r="H269" s="488"/>
      <c r="I269" s="488"/>
      <c r="J269" s="488"/>
      <c r="K269" s="488"/>
      <c r="L269" s="488"/>
      <c r="M269" s="488"/>
      <c r="N269" s="488"/>
      <c r="O269" s="488"/>
      <c r="P269" s="488"/>
      <c r="Q269" s="488"/>
      <c r="R269" s="435"/>
      <c r="S269" s="489"/>
      <c r="T269" s="490"/>
      <c r="U269" s="489"/>
      <c r="V269" s="429"/>
      <c r="W269" s="429"/>
      <c r="X269" s="405"/>
    </row>
    <row r="270" spans="1:24" x14ac:dyDescent="0.3">
      <c r="A270" s="418"/>
      <c r="B270" s="464" t="s">
        <v>169</v>
      </c>
      <c r="C270" s="467"/>
      <c r="D270" s="467"/>
      <c r="E270" s="467"/>
      <c r="F270" s="467"/>
      <c r="G270" s="467"/>
      <c r="H270" s="491"/>
      <c r="I270" s="491"/>
      <c r="J270" s="491"/>
      <c r="K270" s="491"/>
      <c r="L270" s="491"/>
      <c r="M270" s="491"/>
      <c r="N270" s="491"/>
      <c r="O270" s="491"/>
      <c r="P270" s="491"/>
      <c r="Q270" s="491"/>
      <c r="R270" s="466" t="s">
        <v>104</v>
      </c>
      <c r="S270" s="465" t="s">
        <v>105</v>
      </c>
      <c r="T270" s="466" t="s">
        <v>113</v>
      </c>
      <c r="U270" s="465" t="s">
        <v>105</v>
      </c>
      <c r="V270" s="467"/>
      <c r="W270" s="468"/>
      <c r="X270" s="405"/>
    </row>
    <row r="271" spans="1:24" s="513" customFormat="1" x14ac:dyDescent="0.3">
      <c r="A271" s="509"/>
      <c r="B271" s="567" t="s">
        <v>90</v>
      </c>
      <c r="C271" s="552"/>
      <c r="D271" s="552"/>
      <c r="E271" s="552"/>
      <c r="F271" s="552"/>
      <c r="G271" s="552"/>
      <c r="H271" s="597"/>
      <c r="I271" s="597"/>
      <c r="J271" s="597"/>
      <c r="K271" s="597"/>
      <c r="L271" s="597"/>
      <c r="M271" s="597"/>
      <c r="N271" s="597"/>
      <c r="O271" s="597"/>
      <c r="P271" s="597"/>
      <c r="Q271" s="597"/>
      <c r="R271" s="567">
        <v>0</v>
      </c>
      <c r="S271" s="595">
        <v>0</v>
      </c>
      <c r="T271" s="596">
        <v>0</v>
      </c>
      <c r="U271" s="595">
        <v>0</v>
      </c>
      <c r="V271" s="552"/>
      <c r="W271" s="552"/>
      <c r="X271" s="512"/>
    </row>
    <row r="272" spans="1:24" s="513" customFormat="1" x14ac:dyDescent="0.3">
      <c r="A272" s="521"/>
      <c r="B272" s="562" t="s">
        <v>91</v>
      </c>
      <c r="C272" s="522"/>
      <c r="D272" s="522"/>
      <c r="E272" s="522"/>
      <c r="F272" s="522"/>
      <c r="G272" s="522"/>
      <c r="H272" s="594"/>
      <c r="I272" s="594"/>
      <c r="J272" s="594"/>
      <c r="K272" s="594"/>
      <c r="L272" s="594"/>
      <c r="M272" s="594"/>
      <c r="N272" s="594"/>
      <c r="O272" s="594"/>
      <c r="P272" s="594"/>
      <c r="Q272" s="594"/>
      <c r="R272" s="562">
        <v>0</v>
      </c>
      <c r="S272" s="593">
        <v>0</v>
      </c>
      <c r="T272" s="563">
        <v>0</v>
      </c>
      <c r="U272" s="593">
        <v>0</v>
      </c>
      <c r="V272" s="522"/>
      <c r="W272" s="524"/>
      <c r="X272" s="512"/>
    </row>
    <row r="273" spans="1:24" s="513" customFormat="1" x14ac:dyDescent="0.3">
      <c r="A273" s="521"/>
      <c r="B273" s="562" t="s">
        <v>92</v>
      </c>
      <c r="C273" s="522"/>
      <c r="D273" s="522"/>
      <c r="E273" s="522"/>
      <c r="F273" s="522"/>
      <c r="G273" s="522"/>
      <c r="H273" s="594"/>
      <c r="I273" s="594"/>
      <c r="J273" s="594"/>
      <c r="K273" s="594"/>
      <c r="L273" s="594"/>
      <c r="M273" s="594"/>
      <c r="N273" s="594"/>
      <c r="O273" s="594"/>
      <c r="P273" s="594"/>
      <c r="Q273" s="594"/>
      <c r="R273" s="562">
        <v>0</v>
      </c>
      <c r="S273" s="593">
        <v>0</v>
      </c>
      <c r="T273" s="563">
        <v>0</v>
      </c>
      <c r="U273" s="593">
        <v>0</v>
      </c>
      <c r="V273" s="522"/>
      <c r="W273" s="524"/>
      <c r="X273" s="512"/>
    </row>
    <row r="274" spans="1:24" s="513" customFormat="1" x14ac:dyDescent="0.3">
      <c r="A274" s="521"/>
      <c r="B274" s="562" t="s">
        <v>161</v>
      </c>
      <c r="C274" s="522"/>
      <c r="D274" s="522"/>
      <c r="E274" s="522"/>
      <c r="F274" s="522"/>
      <c r="G274" s="522"/>
      <c r="H274" s="594"/>
      <c r="I274" s="594"/>
      <c r="J274" s="594"/>
      <c r="K274" s="594"/>
      <c r="L274" s="594"/>
      <c r="M274" s="594"/>
      <c r="N274" s="594"/>
      <c r="O274" s="594"/>
      <c r="P274" s="594"/>
      <c r="Q274" s="594"/>
      <c r="R274" s="562">
        <v>0</v>
      </c>
      <c r="S274" s="593">
        <v>0</v>
      </c>
      <c r="T274" s="563">
        <v>0</v>
      </c>
      <c r="U274" s="593">
        <v>0</v>
      </c>
      <c r="V274" s="522"/>
      <c r="W274" s="524"/>
      <c r="X274" s="512"/>
    </row>
    <row r="275" spans="1:24" s="513" customFormat="1" x14ac:dyDescent="0.3">
      <c r="A275" s="521"/>
      <c r="B275" s="562" t="s">
        <v>162</v>
      </c>
      <c r="C275" s="522"/>
      <c r="D275" s="522"/>
      <c r="E275" s="522"/>
      <c r="F275" s="522"/>
      <c r="G275" s="522"/>
      <c r="H275" s="594"/>
      <c r="I275" s="594"/>
      <c r="J275" s="594"/>
      <c r="K275" s="594"/>
      <c r="L275" s="594"/>
      <c r="M275" s="594"/>
      <c r="N275" s="594"/>
      <c r="O275" s="594"/>
      <c r="P275" s="594"/>
      <c r="Q275" s="594"/>
      <c r="R275" s="562">
        <v>0</v>
      </c>
      <c r="S275" s="593">
        <v>0</v>
      </c>
      <c r="T275" s="563">
        <v>0</v>
      </c>
      <c r="U275" s="593">
        <v>0</v>
      </c>
      <c r="V275" s="522"/>
      <c r="W275" s="524"/>
      <c r="X275" s="512"/>
    </row>
    <row r="276" spans="1:24" s="513" customFormat="1" x14ac:dyDescent="0.3">
      <c r="A276" s="521"/>
      <c r="B276" s="562" t="s">
        <v>163</v>
      </c>
      <c r="C276" s="522"/>
      <c r="D276" s="522"/>
      <c r="E276" s="522"/>
      <c r="F276" s="522"/>
      <c r="G276" s="522"/>
      <c r="H276" s="594"/>
      <c r="I276" s="594"/>
      <c r="J276" s="594"/>
      <c r="K276" s="594"/>
      <c r="L276" s="594"/>
      <c r="M276" s="594"/>
      <c r="N276" s="594"/>
      <c r="O276" s="594"/>
      <c r="P276" s="594"/>
      <c r="Q276" s="594"/>
      <c r="R276" s="562">
        <v>0</v>
      </c>
      <c r="S276" s="593">
        <v>0</v>
      </c>
      <c r="T276" s="563">
        <v>0</v>
      </c>
      <c r="U276" s="593">
        <v>0</v>
      </c>
      <c r="V276" s="522"/>
      <c r="W276" s="524"/>
      <c r="X276" s="512"/>
    </row>
    <row r="277" spans="1:24" s="513" customFormat="1" x14ac:dyDescent="0.3">
      <c r="A277" s="521"/>
      <c r="B277" s="562" t="s">
        <v>164</v>
      </c>
      <c r="C277" s="522"/>
      <c r="D277" s="522"/>
      <c r="E277" s="522"/>
      <c r="F277" s="522"/>
      <c r="G277" s="522"/>
      <c r="H277" s="594"/>
      <c r="I277" s="594"/>
      <c r="J277" s="594"/>
      <c r="K277" s="594"/>
      <c r="L277" s="594"/>
      <c r="M277" s="594"/>
      <c r="N277" s="594"/>
      <c r="O277" s="594"/>
      <c r="P277" s="594"/>
      <c r="Q277" s="594"/>
      <c r="R277" s="562">
        <v>0</v>
      </c>
      <c r="S277" s="593">
        <v>0</v>
      </c>
      <c r="T277" s="563">
        <v>0</v>
      </c>
      <c r="U277" s="593">
        <v>0</v>
      </c>
      <c r="V277" s="522"/>
      <c r="W277" s="524"/>
      <c r="X277" s="512"/>
    </row>
    <row r="278" spans="1:24" s="513" customFormat="1" x14ac:dyDescent="0.3">
      <c r="A278" s="521"/>
      <c r="B278" s="562" t="s">
        <v>165</v>
      </c>
      <c r="C278" s="522"/>
      <c r="D278" s="522"/>
      <c r="E278" s="522"/>
      <c r="F278" s="522"/>
      <c r="G278" s="522"/>
      <c r="H278" s="594"/>
      <c r="I278" s="594"/>
      <c r="J278" s="594"/>
      <c r="K278" s="594"/>
      <c r="L278" s="594"/>
      <c r="M278" s="594"/>
      <c r="N278" s="594"/>
      <c r="O278" s="594"/>
      <c r="P278" s="594"/>
      <c r="Q278" s="594"/>
      <c r="R278" s="562">
        <v>0</v>
      </c>
      <c r="S278" s="593">
        <v>0</v>
      </c>
      <c r="T278" s="563">
        <v>0</v>
      </c>
      <c r="U278" s="593">
        <v>0</v>
      </c>
      <c r="V278" s="522"/>
      <c r="W278" s="524"/>
      <c r="X278" s="512"/>
    </row>
    <row r="279" spans="1:24" s="513" customFormat="1" x14ac:dyDescent="0.3">
      <c r="A279" s="521"/>
      <c r="B279" s="562"/>
      <c r="C279" s="522"/>
      <c r="D279" s="522"/>
      <c r="E279" s="522"/>
      <c r="F279" s="522"/>
      <c r="G279" s="522"/>
      <c r="H279" s="594"/>
      <c r="I279" s="594"/>
      <c r="J279" s="594"/>
      <c r="K279" s="594"/>
      <c r="L279" s="594"/>
      <c r="M279" s="594"/>
      <c r="N279" s="594"/>
      <c r="O279" s="594"/>
      <c r="P279" s="594"/>
      <c r="Q279" s="594"/>
      <c r="R279" s="562"/>
      <c r="S279" s="593"/>
      <c r="T279" s="563"/>
      <c r="U279" s="593"/>
      <c r="V279" s="522"/>
      <c r="W279" s="524"/>
      <c r="X279" s="512"/>
    </row>
    <row r="280" spans="1:24" s="513" customFormat="1" x14ac:dyDescent="0.3">
      <c r="A280" s="521"/>
      <c r="B280" s="522" t="s">
        <v>119</v>
      </c>
      <c r="C280" s="522"/>
      <c r="D280" s="522"/>
      <c r="E280" s="522"/>
      <c r="F280" s="522"/>
      <c r="G280" s="522"/>
      <c r="H280" s="594"/>
      <c r="I280" s="594"/>
      <c r="J280" s="594"/>
      <c r="K280" s="594"/>
      <c r="L280" s="594"/>
      <c r="M280" s="594"/>
      <c r="N280" s="594"/>
      <c r="O280" s="594"/>
      <c r="P280" s="594"/>
      <c r="Q280" s="594"/>
      <c r="R280" s="562">
        <f>SUM(R271:R278)</f>
        <v>0</v>
      </c>
      <c r="S280" s="593">
        <f>SUM(S271:S279)</f>
        <v>0</v>
      </c>
      <c r="T280" s="563">
        <f>SUM(T271:T278)</f>
        <v>0</v>
      </c>
      <c r="U280" s="593">
        <f>SUM(U271:U279)</f>
        <v>0</v>
      </c>
      <c r="V280" s="522"/>
      <c r="W280" s="524"/>
      <c r="X280" s="512"/>
    </row>
    <row r="281" spans="1:24" s="513" customFormat="1" x14ac:dyDescent="0.3">
      <c r="A281" s="521"/>
      <c r="B281" s="522"/>
      <c r="C281" s="522"/>
      <c r="D281" s="522"/>
      <c r="E281" s="522"/>
      <c r="F281" s="522"/>
      <c r="G281" s="522"/>
      <c r="H281" s="594"/>
      <c r="I281" s="594"/>
      <c r="J281" s="594"/>
      <c r="K281" s="594"/>
      <c r="L281" s="594"/>
      <c r="M281" s="594"/>
      <c r="N281" s="594"/>
      <c r="O281" s="594"/>
      <c r="P281" s="594"/>
      <c r="Q281" s="594"/>
      <c r="R281" s="562"/>
      <c r="S281" s="593"/>
      <c r="T281" s="563"/>
      <c r="U281" s="593"/>
      <c r="V281" s="522"/>
      <c r="W281" s="524"/>
      <c r="X281" s="512"/>
    </row>
    <row r="282" spans="1:24" s="513" customFormat="1" x14ac:dyDescent="0.3">
      <c r="A282" s="521"/>
      <c r="B282" s="527" t="s">
        <v>170</v>
      </c>
      <c r="C282" s="522"/>
      <c r="D282" s="522"/>
      <c r="E282" s="522"/>
      <c r="F282" s="522"/>
      <c r="G282" s="522"/>
      <c r="H282" s="594"/>
      <c r="I282" s="594"/>
      <c r="J282" s="594"/>
      <c r="K282" s="594"/>
      <c r="L282" s="594"/>
      <c r="M282" s="594"/>
      <c r="N282" s="594"/>
      <c r="O282" s="594"/>
      <c r="P282" s="594"/>
      <c r="Q282" s="594"/>
      <c r="R282" s="598">
        <f>R280+R268+R256</f>
        <v>5429</v>
      </c>
      <c r="S282" s="593"/>
      <c r="T282" s="599">
        <f>+T280+T268+T256</f>
        <v>716165</v>
      </c>
      <c r="U282" s="593"/>
      <c r="V282" s="522"/>
      <c r="W282" s="524"/>
      <c r="X282" s="512"/>
    </row>
    <row r="283" spans="1:24" s="513" customFormat="1" x14ac:dyDescent="0.3">
      <c r="A283" s="509"/>
      <c r="B283" s="552"/>
      <c r="C283" s="552"/>
      <c r="D283" s="552"/>
      <c r="E283" s="552"/>
      <c r="F283" s="552"/>
      <c r="G283" s="552"/>
      <c r="H283" s="597"/>
      <c r="I283" s="597"/>
      <c r="J283" s="597"/>
      <c r="K283" s="597"/>
      <c r="L283" s="597"/>
      <c r="M283" s="597"/>
      <c r="N283" s="597"/>
      <c r="O283" s="597"/>
      <c r="P283" s="597"/>
      <c r="Q283" s="597"/>
      <c r="R283" s="597"/>
      <c r="S283" s="597"/>
      <c r="T283" s="596"/>
      <c r="U283" s="597"/>
      <c r="V283" s="552"/>
      <c r="W283" s="552"/>
      <c r="X283" s="512"/>
    </row>
    <row r="284" spans="1:24" s="513" customFormat="1" x14ac:dyDescent="0.3">
      <c r="A284" s="509"/>
      <c r="B284" s="510"/>
      <c r="C284" s="510"/>
      <c r="D284" s="510"/>
      <c r="E284" s="510"/>
      <c r="F284" s="510"/>
      <c r="G284" s="510"/>
      <c r="H284" s="600"/>
      <c r="I284" s="600"/>
      <c r="J284" s="600"/>
      <c r="K284" s="600"/>
      <c r="L284" s="600"/>
      <c r="M284" s="600"/>
      <c r="N284" s="600"/>
      <c r="O284" s="600"/>
      <c r="P284" s="600"/>
      <c r="Q284" s="600"/>
      <c r="R284" s="600"/>
      <c r="S284" s="600"/>
      <c r="T284" s="601"/>
      <c r="U284" s="600"/>
      <c r="V284" s="510"/>
      <c r="W284" s="510"/>
      <c r="X284" s="512"/>
    </row>
    <row r="285" spans="1:24" s="513" customFormat="1" x14ac:dyDescent="0.3">
      <c r="A285" s="509"/>
      <c r="B285" s="508" t="s">
        <v>93</v>
      </c>
      <c r="C285" s="510"/>
      <c r="D285" s="510"/>
      <c r="E285" s="510"/>
      <c r="F285" s="516" t="s">
        <v>99</v>
      </c>
      <c r="G285" s="510"/>
      <c r="H285" s="508" t="s">
        <v>101</v>
      </c>
      <c r="I285" s="510"/>
      <c r="J285" s="510"/>
      <c r="K285" s="510"/>
      <c r="L285" s="510"/>
      <c r="M285" s="510"/>
      <c r="N285" s="510"/>
      <c r="O285" s="510"/>
      <c r="P285" s="510"/>
      <c r="Q285" s="510"/>
      <c r="R285" s="510"/>
      <c r="S285" s="510"/>
      <c r="T285" s="510"/>
      <c r="U285" s="510"/>
      <c r="V285" s="510"/>
      <c r="W285" s="510"/>
      <c r="X285" s="512"/>
    </row>
    <row r="286" spans="1:24" s="513" customFormat="1" x14ac:dyDescent="0.3">
      <c r="A286" s="509"/>
      <c r="B286" s="510"/>
      <c r="C286" s="510"/>
      <c r="D286" s="510"/>
      <c r="E286" s="510"/>
      <c r="F286" s="510"/>
      <c r="G286" s="510"/>
      <c r="H286" s="510"/>
      <c r="I286" s="510"/>
      <c r="J286" s="510"/>
      <c r="K286" s="510"/>
      <c r="L286" s="510"/>
      <c r="M286" s="510"/>
      <c r="N286" s="510"/>
      <c r="O286" s="510"/>
      <c r="P286" s="510"/>
      <c r="Q286" s="510"/>
      <c r="R286" s="510"/>
      <c r="S286" s="510"/>
      <c r="T286" s="510"/>
      <c r="U286" s="510"/>
      <c r="V286" s="510"/>
      <c r="W286" s="510"/>
      <c r="X286" s="512"/>
    </row>
    <row r="287" spans="1:24" s="513" customFormat="1" x14ac:dyDescent="0.3">
      <c r="A287" s="509"/>
      <c r="B287" s="508" t="s">
        <v>327</v>
      </c>
      <c r="C287" s="508"/>
      <c r="D287" s="508"/>
      <c r="E287" s="508"/>
      <c r="F287" s="602" t="s">
        <v>278</v>
      </c>
      <c r="G287" s="508"/>
      <c r="H287" s="402" t="s">
        <v>350</v>
      </c>
      <c r="I287" s="510"/>
      <c r="J287" s="510"/>
      <c r="K287" s="510"/>
      <c r="L287" s="510"/>
      <c r="M287" s="510"/>
      <c r="N287" s="510"/>
      <c r="O287" s="510"/>
      <c r="P287" s="510"/>
      <c r="Q287" s="510"/>
      <c r="R287" s="510"/>
      <c r="S287" s="510"/>
      <c r="T287" s="510"/>
      <c r="U287" s="510"/>
      <c r="V287" s="510"/>
      <c r="W287" s="510"/>
      <c r="X287" s="512"/>
    </row>
    <row r="288" spans="1:24" s="513" customFormat="1" x14ac:dyDescent="0.3">
      <c r="A288" s="509"/>
      <c r="B288" s="508" t="s">
        <v>328</v>
      </c>
      <c r="C288" s="508"/>
      <c r="D288" s="508"/>
      <c r="E288" s="508"/>
      <c r="F288" s="602" t="s">
        <v>152</v>
      </c>
      <c r="G288" s="508"/>
      <c r="H288" s="402" t="s">
        <v>351</v>
      </c>
      <c r="I288" s="510"/>
      <c r="J288" s="510"/>
      <c r="K288" s="510"/>
      <c r="L288" s="510"/>
      <c r="M288" s="510"/>
      <c r="N288" s="510"/>
      <c r="O288" s="510"/>
      <c r="P288" s="510"/>
      <c r="Q288" s="510"/>
      <c r="R288" s="510"/>
      <c r="S288" s="510"/>
      <c r="T288" s="510"/>
      <c r="U288" s="510"/>
      <c r="V288" s="510"/>
      <c r="W288" s="510"/>
      <c r="X288" s="512"/>
    </row>
    <row r="289" spans="1:24" s="513" customFormat="1" x14ac:dyDescent="0.3">
      <c r="A289" s="509"/>
      <c r="B289" s="508"/>
      <c r="C289" s="508"/>
      <c r="D289" s="508"/>
      <c r="E289" s="508"/>
      <c r="F289" s="508"/>
      <c r="G289" s="508"/>
      <c r="H289" s="510"/>
      <c r="I289" s="510"/>
      <c r="J289" s="510"/>
      <c r="K289" s="510"/>
      <c r="L289" s="510"/>
      <c r="M289" s="510"/>
      <c r="N289" s="510"/>
      <c r="O289" s="510"/>
      <c r="P289" s="510"/>
      <c r="Q289" s="510"/>
      <c r="R289" s="510"/>
      <c r="S289" s="510"/>
      <c r="T289" s="510"/>
      <c r="U289" s="510"/>
      <c r="V289" s="510"/>
      <c r="W289" s="510"/>
      <c r="X289" s="512"/>
    </row>
    <row r="290" spans="1:24" s="513" customFormat="1" ht="18.600000000000001" thickBot="1" x14ac:dyDescent="0.4">
      <c r="A290" s="509"/>
      <c r="B290" s="603" t="str">
        <f>B196</f>
        <v>PM12 INVESTOR REPORT QUARTER ENDING OCTOBER 2018</v>
      </c>
      <c r="C290" s="508"/>
      <c r="D290" s="508"/>
      <c r="E290" s="508"/>
      <c r="F290" s="508"/>
      <c r="G290" s="508"/>
      <c r="H290" s="510"/>
      <c r="I290" s="510"/>
      <c r="J290" s="510"/>
      <c r="K290" s="510"/>
      <c r="L290" s="510"/>
      <c r="M290" s="510"/>
      <c r="N290" s="510"/>
      <c r="O290" s="510"/>
      <c r="P290" s="510"/>
      <c r="Q290" s="510"/>
      <c r="R290" s="510"/>
      <c r="S290" s="510"/>
      <c r="T290" s="510"/>
      <c r="U290" s="510"/>
      <c r="V290" s="510"/>
      <c r="W290" s="510"/>
      <c r="X290" s="512"/>
    </row>
    <row r="291" spans="1:24" x14ac:dyDescent="0.3">
      <c r="A291" s="492"/>
      <c r="B291" s="492"/>
      <c r="C291" s="492"/>
      <c r="D291" s="492"/>
      <c r="E291" s="492"/>
      <c r="F291" s="492"/>
      <c r="G291" s="492"/>
      <c r="H291" s="492"/>
      <c r="I291" s="492"/>
      <c r="J291" s="492"/>
      <c r="K291" s="492"/>
      <c r="L291" s="492"/>
      <c r="M291" s="492"/>
      <c r="N291" s="492"/>
      <c r="O291" s="492"/>
      <c r="P291" s="492"/>
      <c r="Q291" s="492"/>
      <c r="R291" s="492"/>
      <c r="S291" s="492"/>
      <c r="T291" s="492"/>
      <c r="U291" s="492"/>
      <c r="V291" s="492"/>
      <c r="W291" s="492"/>
    </row>
  </sheetData>
  <hyperlinks>
    <hyperlink ref="I9" r:id="rId1" xr:uid="{00000000-0004-0000-3000-000000000000}"/>
    <hyperlink ref="P232" r:id="rId2" xr:uid="{00000000-0004-0000-30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9CB31"/>
  </sheetPr>
  <dimension ref="A1:Y278"/>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0.58720000000000006</v>
      </c>
      <c r="T16" s="17" t="s">
        <v>145</v>
      </c>
      <c r="U16" s="137">
        <v>0.4128</v>
      </c>
      <c r="V16" s="16"/>
      <c r="W16" s="15"/>
      <c r="X16" s="5"/>
    </row>
    <row r="17" spans="1:25"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5" ht="15.6" x14ac:dyDescent="0.3">
      <c r="A18" s="6"/>
      <c r="B18" s="14" t="s">
        <v>5</v>
      </c>
      <c r="C18" s="15"/>
      <c r="D18" s="15"/>
      <c r="E18" s="15"/>
      <c r="F18" s="15"/>
      <c r="G18" s="15"/>
      <c r="H18" s="15"/>
      <c r="I18" s="15"/>
      <c r="J18" s="15"/>
      <c r="K18" s="15"/>
      <c r="L18" s="15"/>
      <c r="M18" s="15"/>
      <c r="N18" s="15"/>
      <c r="O18" s="15"/>
      <c r="P18" s="15"/>
      <c r="Q18" s="15"/>
      <c r="R18" s="15"/>
      <c r="S18" s="15"/>
      <c r="T18" s="15"/>
      <c r="U18" s="15"/>
      <c r="V18" s="19">
        <v>39409</v>
      </c>
      <c r="W18" s="15"/>
      <c r="X18" s="5"/>
      <c r="Y18" s="170"/>
    </row>
    <row r="19" spans="1:25"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5"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5"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5"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5"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5"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5"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5"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5"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5"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5"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5"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5"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5" ht="15.6" x14ac:dyDescent="0.3">
      <c r="A32" s="24"/>
      <c r="B32" s="25" t="s">
        <v>137</v>
      </c>
      <c r="C32" s="32"/>
      <c r="D32" s="146">
        <f>D31*D38</f>
        <v>1382756.55</v>
      </c>
      <c r="E32" s="32"/>
      <c r="F32" s="31">
        <f>F31*F38</f>
        <v>133666.481</v>
      </c>
      <c r="G32" s="31"/>
      <c r="H32" s="124">
        <f>H31*H38</f>
        <v>225850.261</v>
      </c>
      <c r="I32" s="124"/>
      <c r="J32" s="146">
        <f>J31*J38</f>
        <v>286691.52470000001</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1352714.85</v>
      </c>
      <c r="E33" s="36"/>
      <c r="F33" s="35">
        <f>F37*F31</f>
        <v>130762.45</v>
      </c>
      <c r="G33" s="35"/>
      <c r="H33" s="125">
        <f>H31*H37</f>
        <v>220943.45</v>
      </c>
      <c r="I33" s="125"/>
      <c r="J33" s="151">
        <f>J37*J31</f>
        <v>280462.87890000001</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751497.76428090001</v>
      </c>
      <c r="E35" s="32"/>
      <c r="F35" s="31">
        <f>F34*F38</f>
        <v>133666.481</v>
      </c>
      <c r="G35" s="31"/>
      <c r="H35" s="31">
        <f>H34*H38</f>
        <v>155759.2457148</v>
      </c>
      <c r="I35" s="31"/>
      <c r="J35" s="31">
        <f>J34*J38</f>
        <v>155810.85172939999</v>
      </c>
      <c r="K35" s="31"/>
      <c r="L35" s="31">
        <f>+L34</f>
        <v>25000</v>
      </c>
      <c r="M35" s="31"/>
      <c r="N35" s="31">
        <f>+N34</f>
        <v>86897</v>
      </c>
      <c r="O35" s="31"/>
      <c r="P35" s="31">
        <f>+P34</f>
        <v>17000</v>
      </c>
      <c r="Q35" s="31"/>
      <c r="R35" s="31">
        <f>+R34</f>
        <v>73103</v>
      </c>
      <c r="S35" s="31"/>
      <c r="T35" s="31"/>
      <c r="U35" s="164"/>
      <c r="V35" s="154">
        <f>SUM(C35:R35)</f>
        <v>1398734.3427251</v>
      </c>
      <c r="W35" s="34"/>
      <c r="X35" s="5"/>
    </row>
    <row r="36" spans="1:24" ht="15.6" x14ac:dyDescent="0.3">
      <c r="A36" s="28"/>
      <c r="B36" s="29" t="s">
        <v>295</v>
      </c>
      <c r="C36" s="126"/>
      <c r="D36" s="35">
        <f>D34*D37</f>
        <v>735170.76124830008</v>
      </c>
      <c r="E36" s="36"/>
      <c r="F36" s="35">
        <f>F34*F37</f>
        <v>130762.45</v>
      </c>
      <c r="G36" s="35"/>
      <c r="H36" s="35">
        <f>H34*H37</f>
        <v>152375.22846000001</v>
      </c>
      <c r="I36" s="35"/>
      <c r="J36" s="35">
        <f>J34*J37</f>
        <v>152425.7129178</v>
      </c>
      <c r="K36" s="35"/>
      <c r="L36" s="35">
        <f>+L34</f>
        <v>25000</v>
      </c>
      <c r="M36" s="35"/>
      <c r="N36" s="35">
        <f>+N34</f>
        <v>86897</v>
      </c>
      <c r="O36" s="35"/>
      <c r="P36" s="35">
        <f>+P34</f>
        <v>17000</v>
      </c>
      <c r="Q36" s="35"/>
      <c r="R36" s="35">
        <f>+R34</f>
        <v>73103</v>
      </c>
      <c r="S36" s="128"/>
      <c r="T36" s="128"/>
      <c r="U36" s="164"/>
      <c r="V36" s="155">
        <f>SUM(C36:R36)</f>
        <v>1372734.1526261</v>
      </c>
      <c r="W36" s="34"/>
      <c r="X36" s="5"/>
    </row>
    <row r="37" spans="1:24" ht="15.6" x14ac:dyDescent="0.3">
      <c r="A37" s="24"/>
      <c r="B37" s="122" t="s">
        <v>135</v>
      </c>
      <c r="C37" s="25"/>
      <c r="D37" s="168">
        <v>0.90180990000000005</v>
      </c>
      <c r="E37" s="169"/>
      <c r="F37" s="168">
        <v>0.90181</v>
      </c>
      <c r="G37" s="168"/>
      <c r="H37" s="168">
        <v>0.90181</v>
      </c>
      <c r="I37" s="168"/>
      <c r="J37" s="168">
        <v>0.90180990000000005</v>
      </c>
      <c r="K37" s="168"/>
      <c r="L37" s="168">
        <v>1</v>
      </c>
      <c r="M37" s="168"/>
      <c r="N37" s="168">
        <v>1</v>
      </c>
      <c r="O37" s="168"/>
      <c r="P37" s="168">
        <v>1</v>
      </c>
      <c r="Q37" s="168"/>
      <c r="R37" s="168">
        <v>1</v>
      </c>
      <c r="S37" s="30"/>
      <c r="T37" s="30"/>
      <c r="U37" s="163"/>
      <c r="V37" s="163"/>
      <c r="W37" s="25"/>
      <c r="X37" s="5"/>
    </row>
    <row r="38" spans="1:24" ht="15.6" x14ac:dyDescent="0.3">
      <c r="A38" s="24"/>
      <c r="B38" s="122" t="s">
        <v>136</v>
      </c>
      <c r="C38" s="25"/>
      <c r="D38" s="168">
        <v>0.92183769999999998</v>
      </c>
      <c r="E38" s="169"/>
      <c r="F38" s="168">
        <v>0.92183780000000004</v>
      </c>
      <c r="G38" s="168"/>
      <c r="H38" s="168">
        <v>0.92183780000000004</v>
      </c>
      <c r="I38" s="168"/>
      <c r="J38" s="168">
        <v>0.92183769999999998</v>
      </c>
      <c r="K38" s="168"/>
      <c r="L38" s="168">
        <v>1</v>
      </c>
      <c r="M38" s="168"/>
      <c r="N38" s="168">
        <v>1</v>
      </c>
      <c r="O38" s="168"/>
      <c r="P38" s="168">
        <v>1</v>
      </c>
      <c r="Q38" s="168"/>
      <c r="R38" s="168">
        <v>1</v>
      </c>
      <c r="S38" s="39"/>
      <c r="T38" s="38"/>
      <c r="U38" s="163"/>
      <c r="V38" s="39"/>
      <c r="W38" s="25"/>
      <c r="X38" s="5"/>
    </row>
    <row r="39" spans="1:24" ht="15.6" x14ac:dyDescent="0.3">
      <c r="A39" s="24"/>
      <c r="B39" s="25" t="s">
        <v>11</v>
      </c>
      <c r="C39" s="25"/>
      <c r="D39" s="30" t="s">
        <v>276</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5.0812499999999997E-2</v>
      </c>
      <c r="E40" s="25"/>
      <c r="F40" s="38">
        <v>6.5074999999999994E-2</v>
      </c>
      <c r="G40" s="39"/>
      <c r="H40" s="38">
        <v>4.6260000000000003E-2</v>
      </c>
      <c r="I40" s="38"/>
      <c r="J40" s="38">
        <v>5.6675000000000003E-2</v>
      </c>
      <c r="K40" s="39"/>
      <c r="L40" s="38">
        <v>6.6275000000000001E-2</v>
      </c>
      <c r="M40" s="39"/>
      <c r="N40" s="38">
        <v>4.7460000000000002E-2</v>
      </c>
      <c r="O40" s="39"/>
      <c r="P40" s="38">
        <v>6.8474999999999994E-2</v>
      </c>
      <c r="Q40" s="39"/>
      <c r="R40" s="38">
        <v>4.9660000000000003E-2</v>
      </c>
      <c r="S40" s="39"/>
      <c r="T40" s="38"/>
      <c r="U40" s="163"/>
      <c r="V40" s="30"/>
      <c r="W40" s="25"/>
      <c r="X40" s="5"/>
    </row>
    <row r="41" spans="1:24" ht="15.6" x14ac:dyDescent="0.3">
      <c r="A41" s="24"/>
      <c r="B41" s="25" t="s">
        <v>13</v>
      </c>
      <c r="C41" s="25"/>
      <c r="D41" s="38">
        <v>5.3100000000000001E-2</v>
      </c>
      <c r="E41" s="25"/>
      <c r="F41" s="38">
        <v>5.8740000000000001E-2</v>
      </c>
      <c r="G41" s="39"/>
      <c r="H41" s="38">
        <v>4.181E-2</v>
      </c>
      <c r="I41" s="38"/>
      <c r="J41" s="38">
        <v>5.4699999999999999E-2</v>
      </c>
      <c r="K41" s="39"/>
      <c r="L41" s="38">
        <v>5.994E-2</v>
      </c>
      <c r="M41" s="39"/>
      <c r="N41" s="38">
        <v>4.301E-2</v>
      </c>
      <c r="O41" s="39"/>
      <c r="P41" s="38">
        <v>6.2140000000000001E-2</v>
      </c>
      <c r="Q41" s="39"/>
      <c r="R41" s="38">
        <v>4.521E-2</v>
      </c>
      <c r="S41" s="39"/>
      <c r="T41" s="38"/>
      <c r="U41" s="163"/>
      <c r="V41" s="39" t="s">
        <v>199</v>
      </c>
      <c r="W41" s="25"/>
      <c r="X41" s="5"/>
    </row>
    <row r="42" spans="1:24" ht="15.6" x14ac:dyDescent="0.3">
      <c r="A42" s="24"/>
      <c r="B42" s="25" t="s">
        <v>296</v>
      </c>
      <c r="C42" s="25"/>
      <c r="D42" s="30" t="s">
        <v>268</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6.3966499999999996E-2</v>
      </c>
      <c r="E43" s="38"/>
      <c r="F43" s="38">
        <f>+F40</f>
        <v>6.5074999999999994E-2</v>
      </c>
      <c r="G43" s="38"/>
      <c r="H43" s="38">
        <v>6.5035999999999997E-2</v>
      </c>
      <c r="I43" s="38"/>
      <c r="J43" s="38">
        <v>6.5157000000000007E-2</v>
      </c>
      <c r="K43" s="38"/>
      <c r="L43" s="38">
        <f>+L40</f>
        <v>6.6275000000000001E-2</v>
      </c>
      <c r="M43" s="38"/>
      <c r="N43" s="38">
        <v>6.6376000000000004E-2</v>
      </c>
      <c r="O43" s="38"/>
      <c r="P43" s="38">
        <f>+P40</f>
        <v>6.8474999999999994E-2</v>
      </c>
      <c r="Q43" s="39"/>
      <c r="R43" s="38">
        <v>6.8710999999999994E-2</v>
      </c>
      <c r="S43" s="30"/>
      <c r="T43" s="30"/>
      <c r="U43" s="163"/>
      <c r="V43" s="39">
        <f>SUMPRODUCT(D43:R43,D35:R35)/V35</f>
        <v>6.481785475342966E-2</v>
      </c>
      <c r="W43" s="25"/>
      <c r="X43" s="5"/>
    </row>
    <row r="44" spans="1:24" ht="15.6" x14ac:dyDescent="0.3">
      <c r="A44" s="24"/>
      <c r="B44" s="25" t="s">
        <v>298</v>
      </c>
      <c r="C44" s="110"/>
      <c r="D44" s="38">
        <v>5.7631500000000002E-2</v>
      </c>
      <c r="E44" s="38"/>
      <c r="F44" s="38">
        <f>+F41</f>
        <v>5.8740000000000001E-2</v>
      </c>
      <c r="G44" s="38"/>
      <c r="H44" s="38">
        <v>5.8701000000000003E-2</v>
      </c>
      <c r="I44" s="38"/>
      <c r="J44" s="38">
        <v>5.8821999999999999E-2</v>
      </c>
      <c r="K44" s="38"/>
      <c r="L44" s="38">
        <f>+L41</f>
        <v>5.994E-2</v>
      </c>
      <c r="M44" s="38"/>
      <c r="N44" s="38">
        <v>6.0040999999999997E-2</v>
      </c>
      <c r="O44" s="38"/>
      <c r="P44" s="38">
        <f>+P41</f>
        <v>6.2140000000000001E-2</v>
      </c>
      <c r="Q44" s="39"/>
      <c r="R44" s="38">
        <v>6.2376000000000001E-2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0.17254130627938827</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39401</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92</v>
      </c>
      <c r="S57" s="25"/>
      <c r="T57" s="45">
        <v>39217</v>
      </c>
      <c r="U57" s="46"/>
      <c r="V57" s="45">
        <v>39308</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92</v>
      </c>
      <c r="S58" s="25"/>
      <c r="T58" s="45">
        <v>39309</v>
      </c>
      <c r="U58" s="46"/>
      <c r="V58" s="45">
        <v>39400</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39387</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280</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1398734</v>
      </c>
      <c r="O69" s="34"/>
      <c r="P69" s="34">
        <f>26000+4964+802</f>
        <v>31766</v>
      </c>
      <c r="Q69" s="34"/>
      <c r="R69" s="34">
        <f>4964+802</f>
        <v>5766</v>
      </c>
      <c r="S69" s="34"/>
      <c r="T69" s="34">
        <v>0</v>
      </c>
      <c r="U69" s="34"/>
      <c r="V69" s="53">
        <f>+N69-P69+R69-T69</f>
        <v>1372734</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1398734</v>
      </c>
      <c r="O72" s="34"/>
      <c r="P72" s="34">
        <f>SUM(P69:P71)</f>
        <v>31766</v>
      </c>
      <c r="Q72" s="34"/>
      <c r="R72" s="34">
        <f>SUM(R69:R71)</f>
        <v>5766</v>
      </c>
      <c r="S72" s="34"/>
      <c r="T72" s="34">
        <f>SUM(T69:T71)</f>
        <v>0</v>
      </c>
      <c r="U72" s="34"/>
      <c r="V72" s="54">
        <f>SUM(V69:V71)</f>
        <v>1372734</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1398734</v>
      </c>
      <c r="O85" s="34"/>
      <c r="P85" s="34"/>
      <c r="Q85" s="34"/>
      <c r="R85" s="34"/>
      <c r="S85" s="34"/>
      <c r="T85" s="54"/>
      <c r="U85" s="34"/>
      <c r="V85" s="54">
        <f>SUM(V72:V84)</f>
        <v>1372734</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+T195</f>
        <v>39386</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31766-62</f>
        <v>31704</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12284+7426-791-323</f>
        <v>18596</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412+344</f>
        <v>756</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461</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v>3895</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4198</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31704</v>
      </c>
      <c r="U97" s="25"/>
      <c r="V97" s="54">
        <f>SUM(V89:V96)</f>
        <v>27906</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-31</v>
      </c>
      <c r="U98" s="25"/>
      <c r="V98" s="54">
        <v>31</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32</v>
      </c>
      <c r="C100" s="25"/>
      <c r="D100" s="25"/>
      <c r="E100" s="25"/>
      <c r="F100" s="25"/>
      <c r="G100" s="25"/>
      <c r="H100" s="25"/>
      <c r="I100" s="25"/>
      <c r="J100" s="25"/>
      <c r="K100" s="25"/>
      <c r="L100" s="25"/>
      <c r="M100" s="25"/>
      <c r="N100" s="25"/>
      <c r="O100" s="25"/>
      <c r="P100" s="25"/>
      <c r="Q100" s="25"/>
      <c r="R100" s="25"/>
      <c r="S100" s="25"/>
      <c r="T100" s="34">
        <f>T97+T99+T98</f>
        <v>31673</v>
      </c>
      <c r="U100" s="25"/>
      <c r="V100" s="54">
        <f>V97+V99+V98</f>
        <v>27937</v>
      </c>
      <c r="W100" s="25"/>
      <c r="X100" s="5"/>
    </row>
    <row r="101" spans="1:25" ht="15.6" x14ac:dyDescent="0.3">
      <c r="A101" s="24"/>
      <c r="B101" s="118" t="s">
        <v>33</v>
      </c>
      <c r="C101" s="25"/>
      <c r="D101" s="25"/>
      <c r="E101" s="25"/>
      <c r="F101" s="25"/>
      <c r="G101" s="25"/>
      <c r="H101" s="25"/>
      <c r="I101" s="25"/>
      <c r="J101" s="25"/>
      <c r="K101" s="25"/>
      <c r="L101" s="25"/>
      <c r="M101" s="25"/>
      <c r="N101" s="25"/>
      <c r="O101" s="25"/>
      <c r="P101" s="25"/>
      <c r="Q101" s="25"/>
      <c r="R101" s="25"/>
      <c r="S101" s="25"/>
      <c r="T101" s="34"/>
      <c r="U101" s="25"/>
      <c r="V101" s="53"/>
      <c r="W101" s="25"/>
      <c r="X101" s="5"/>
    </row>
    <row r="102" spans="1:25" ht="15.6" x14ac:dyDescent="0.3">
      <c r="A102" s="24">
        <v>1</v>
      </c>
      <c r="B102" s="25" t="s">
        <v>34</v>
      </c>
      <c r="C102" s="25"/>
      <c r="D102" s="25"/>
      <c r="E102" s="25"/>
      <c r="F102" s="25"/>
      <c r="G102" s="25"/>
      <c r="H102" s="25"/>
      <c r="I102" s="25"/>
      <c r="J102" s="25"/>
      <c r="K102" s="25"/>
      <c r="L102" s="25"/>
      <c r="M102" s="25"/>
      <c r="N102" s="25"/>
      <c r="O102" s="25"/>
      <c r="P102" s="25"/>
      <c r="Q102" s="25"/>
      <c r="R102" s="25"/>
      <c r="S102" s="25"/>
      <c r="T102" s="25"/>
      <c r="U102" s="25"/>
      <c r="V102" s="53">
        <v>0</v>
      </c>
      <c r="W102" s="25"/>
      <c r="X102" s="5"/>
    </row>
    <row r="103" spans="1:25" ht="15.6" x14ac:dyDescent="0.3">
      <c r="A103" s="24">
        <f>+A102+1</f>
        <v>2</v>
      </c>
      <c r="B103" s="25" t="s">
        <v>259</v>
      </c>
      <c r="C103" s="25"/>
      <c r="D103" s="25"/>
      <c r="E103" s="25"/>
      <c r="F103" s="25"/>
      <c r="G103" s="25"/>
      <c r="H103" s="25"/>
      <c r="I103" s="25"/>
      <c r="J103" s="25"/>
      <c r="K103" s="25"/>
      <c r="L103" s="25"/>
      <c r="M103" s="25"/>
      <c r="N103" s="25"/>
      <c r="O103" s="25"/>
      <c r="P103" s="25"/>
      <c r="Q103" s="25"/>
      <c r="R103" s="25"/>
      <c r="S103" s="25"/>
      <c r="T103" s="25"/>
      <c r="U103" s="25"/>
      <c r="V103" s="53">
        <v>-2</v>
      </c>
      <c r="W103" s="25"/>
      <c r="X103" s="5"/>
    </row>
    <row r="104" spans="1:25" ht="15.6" x14ac:dyDescent="0.3">
      <c r="A104" s="24">
        <f>+A103+1</f>
        <v>3</v>
      </c>
      <c r="B104" s="25" t="s">
        <v>210</v>
      </c>
      <c r="C104" s="25"/>
      <c r="D104" s="25"/>
      <c r="E104" s="25"/>
      <c r="F104" s="25"/>
      <c r="G104" s="25"/>
      <c r="H104" s="25"/>
      <c r="I104" s="25"/>
      <c r="J104" s="25"/>
      <c r="K104" s="25"/>
      <c r="L104" s="25"/>
      <c r="M104" s="25"/>
      <c r="N104" s="25"/>
      <c r="O104" s="25"/>
      <c r="P104" s="25"/>
      <c r="Q104" s="25"/>
      <c r="R104" s="25"/>
      <c r="S104" s="25"/>
      <c r="T104" s="25"/>
      <c r="U104" s="25"/>
      <c r="V104" s="53">
        <f>-529-7-17</f>
        <v>-553</v>
      </c>
      <c r="W104" s="25"/>
      <c r="X104" s="5"/>
    </row>
    <row r="105" spans="1:25" ht="15.6" x14ac:dyDescent="0.3">
      <c r="A105" s="24" t="s">
        <v>132</v>
      </c>
      <c r="B105" s="25" t="s">
        <v>121</v>
      </c>
      <c r="C105" s="25"/>
      <c r="D105" s="25"/>
      <c r="E105" s="25"/>
      <c r="F105" s="25"/>
      <c r="G105" s="25"/>
      <c r="H105" s="25"/>
      <c r="I105" s="25"/>
      <c r="J105" s="25"/>
      <c r="K105" s="25"/>
      <c r="L105" s="25"/>
      <c r="M105" s="25"/>
      <c r="N105" s="25"/>
      <c r="O105" s="25"/>
      <c r="P105" s="25"/>
      <c r="Q105" s="25"/>
      <c r="R105" s="25"/>
      <c r="S105" s="25"/>
      <c r="T105" s="25"/>
      <c r="U105" s="25"/>
      <c r="V105" s="53">
        <v>0</v>
      </c>
      <c r="W105" s="25"/>
      <c r="X105" s="5"/>
    </row>
    <row r="106" spans="1:25" ht="15.6" x14ac:dyDescent="0.3">
      <c r="A106" s="24" t="s">
        <v>133</v>
      </c>
      <c r="B106" s="25" t="s">
        <v>256</v>
      </c>
      <c r="C106" s="25"/>
      <c r="D106" s="25"/>
      <c r="E106" s="25"/>
      <c r="F106" s="25"/>
      <c r="G106" s="25"/>
      <c r="H106" s="25"/>
      <c r="I106" s="25"/>
      <c r="J106" s="25"/>
      <c r="K106" s="25"/>
      <c r="L106" s="25"/>
      <c r="M106" s="25"/>
      <c r="N106" s="25"/>
      <c r="O106" s="25"/>
      <c r="P106" s="25"/>
      <c r="Q106" s="25"/>
      <c r="R106" s="25"/>
      <c r="S106" s="25"/>
      <c r="T106" s="25"/>
      <c r="U106" s="25"/>
      <c r="V106" s="53">
        <f>-12116-2553-2559</f>
        <v>-17228</v>
      </c>
      <c r="W106" s="25"/>
      <c r="X106" s="171"/>
      <c r="Y106" s="109"/>
    </row>
    <row r="107" spans="1:25" ht="15.6" x14ac:dyDescent="0.3">
      <c r="A107" s="24" t="s">
        <v>155</v>
      </c>
      <c r="B107" s="25" t="s">
        <v>190</v>
      </c>
      <c r="C107" s="25"/>
      <c r="D107" s="25"/>
      <c r="E107" s="25"/>
      <c r="F107" s="25"/>
      <c r="G107" s="25"/>
      <c r="H107" s="25"/>
      <c r="I107" s="25"/>
      <c r="J107" s="25"/>
      <c r="K107" s="25"/>
      <c r="L107" s="25"/>
      <c r="M107" s="25"/>
      <c r="N107" s="25"/>
      <c r="O107" s="25"/>
      <c r="P107" s="25"/>
      <c r="Q107" s="25"/>
      <c r="R107" s="25"/>
      <c r="S107" s="25"/>
      <c r="T107" s="25"/>
      <c r="U107" s="25"/>
      <c r="V107" s="53">
        <v>-2192</v>
      </c>
      <c r="W107" s="25"/>
      <c r="X107" s="5"/>
      <c r="Y107" s="109"/>
    </row>
    <row r="108" spans="1:25" ht="15.6" x14ac:dyDescent="0.3">
      <c r="A108" s="24" t="s">
        <v>211</v>
      </c>
      <c r="B108" s="25" t="s">
        <v>191</v>
      </c>
      <c r="C108" s="25"/>
      <c r="D108" s="25"/>
      <c r="E108" s="25"/>
      <c r="F108" s="25"/>
      <c r="G108" s="25"/>
      <c r="H108" s="25"/>
      <c r="I108" s="25"/>
      <c r="J108" s="25"/>
      <c r="K108" s="25"/>
      <c r="L108" s="25"/>
      <c r="M108" s="25"/>
      <c r="N108" s="25"/>
      <c r="O108" s="25"/>
      <c r="P108" s="25"/>
      <c r="Q108" s="25"/>
      <c r="R108" s="25"/>
      <c r="S108" s="25"/>
      <c r="T108" s="25"/>
      <c r="U108" s="25"/>
      <c r="V108" s="53">
        <v>-1454</v>
      </c>
      <c r="W108" s="25"/>
      <c r="X108" s="5"/>
      <c r="Y108" s="109"/>
    </row>
    <row r="109" spans="1:25" ht="15.6" x14ac:dyDescent="0.3">
      <c r="A109" s="24" t="s">
        <v>212</v>
      </c>
      <c r="B109" s="25" t="s">
        <v>192</v>
      </c>
      <c r="C109" s="25"/>
      <c r="D109" s="25"/>
      <c r="E109" s="25"/>
      <c r="F109" s="25"/>
      <c r="G109" s="25"/>
      <c r="H109" s="25"/>
      <c r="I109" s="25"/>
      <c r="J109" s="25"/>
      <c r="K109" s="25"/>
      <c r="L109" s="25"/>
      <c r="M109" s="25"/>
      <c r="N109" s="25"/>
      <c r="O109" s="25"/>
      <c r="P109" s="25"/>
      <c r="Q109" s="25"/>
      <c r="R109" s="25"/>
      <c r="S109" s="25"/>
      <c r="T109" s="25"/>
      <c r="U109" s="25"/>
      <c r="V109" s="53">
        <v>-418</v>
      </c>
      <c r="W109" s="25"/>
      <c r="X109" s="5"/>
      <c r="Y109" s="109"/>
    </row>
    <row r="110" spans="1:25" ht="15.6" x14ac:dyDescent="0.3">
      <c r="A110" s="24" t="s">
        <v>213</v>
      </c>
      <c r="B110" s="25" t="s">
        <v>202</v>
      </c>
      <c r="C110" s="25"/>
      <c r="D110" s="25"/>
      <c r="E110" s="25"/>
      <c r="F110" s="25"/>
      <c r="G110" s="25"/>
      <c r="H110" s="25"/>
      <c r="I110" s="25"/>
      <c r="J110" s="25"/>
      <c r="K110" s="25"/>
      <c r="L110" s="25"/>
      <c r="M110" s="25"/>
      <c r="N110" s="25"/>
      <c r="O110" s="25"/>
      <c r="P110" s="25"/>
      <c r="Q110" s="25"/>
      <c r="R110" s="25"/>
      <c r="S110" s="25"/>
      <c r="T110" s="25"/>
      <c r="U110" s="25"/>
      <c r="V110" s="53">
        <v>-1266</v>
      </c>
      <c r="W110" s="25"/>
      <c r="X110" s="5"/>
      <c r="Y110" s="109"/>
    </row>
    <row r="111" spans="1:25" ht="15.6" x14ac:dyDescent="0.3">
      <c r="A111" s="24" t="s">
        <v>258</v>
      </c>
      <c r="B111" s="25" t="s">
        <v>257</v>
      </c>
      <c r="C111" s="25"/>
      <c r="D111" s="25"/>
      <c r="E111" s="25"/>
      <c r="F111" s="25"/>
      <c r="G111" s="25"/>
      <c r="H111" s="25"/>
      <c r="I111" s="25"/>
      <c r="J111" s="25"/>
      <c r="K111" s="25"/>
      <c r="L111" s="25"/>
      <c r="M111" s="25"/>
      <c r="N111" s="25"/>
      <c r="O111" s="25"/>
      <c r="P111" s="25"/>
      <c r="Q111" s="25"/>
      <c r="R111" s="25"/>
      <c r="S111" s="25"/>
      <c r="T111" s="25"/>
      <c r="U111" s="25"/>
      <c r="V111" s="53">
        <v>-293</v>
      </c>
      <c r="W111" s="25"/>
      <c r="X111" s="5"/>
      <c r="Y111" s="109"/>
    </row>
    <row r="112" spans="1:25" ht="15.6" x14ac:dyDescent="0.3">
      <c r="A112" s="24">
        <v>7</v>
      </c>
      <c r="B112" s="25" t="s">
        <v>35</v>
      </c>
      <c r="C112" s="25"/>
      <c r="D112" s="25"/>
      <c r="E112" s="25"/>
      <c r="F112" s="25"/>
      <c r="G112" s="25"/>
      <c r="H112" s="25"/>
      <c r="I112" s="25"/>
      <c r="J112" s="25"/>
      <c r="K112" s="25"/>
      <c r="L112" s="25"/>
      <c r="M112" s="25"/>
      <c r="N112" s="25"/>
      <c r="O112" s="25"/>
      <c r="P112" s="25"/>
      <c r="Q112" s="25"/>
      <c r="R112" s="25"/>
      <c r="S112" s="25"/>
      <c r="T112" s="25"/>
      <c r="U112" s="25"/>
      <c r="V112" s="53">
        <v>-10</v>
      </c>
      <c r="W112" s="25"/>
      <c r="X112" s="5"/>
    </row>
    <row r="113" spans="1:24" ht="15.6" x14ac:dyDescent="0.3">
      <c r="A113" s="24">
        <f t="shared" ref="A113:A118" si="0">+A112+1</f>
        <v>8</v>
      </c>
      <c r="B113" s="25" t="s">
        <v>46</v>
      </c>
      <c r="C113" s="25"/>
      <c r="D113" s="25"/>
      <c r="E113" s="25"/>
      <c r="F113" s="25"/>
      <c r="G113" s="25"/>
      <c r="H113" s="25"/>
      <c r="I113" s="25"/>
      <c r="J113" s="25"/>
      <c r="K113" s="25"/>
      <c r="L113" s="25"/>
      <c r="M113" s="25"/>
      <c r="N113" s="25"/>
      <c r="O113" s="25"/>
      <c r="P113" s="25"/>
      <c r="Q113" s="25"/>
      <c r="R113" s="25"/>
      <c r="S113" s="25"/>
      <c r="T113" s="34">
        <f>-V113</f>
        <v>62</v>
      </c>
      <c r="U113" s="25"/>
      <c r="V113" s="53">
        <v>-62</v>
      </c>
      <c r="W113" s="25"/>
      <c r="X113" s="5"/>
    </row>
    <row r="114" spans="1:24" ht="15.6" x14ac:dyDescent="0.3">
      <c r="A114" s="24">
        <f t="shared" si="0"/>
        <v>9</v>
      </c>
      <c r="B114" s="25" t="s">
        <v>130</v>
      </c>
      <c r="C114" s="25"/>
      <c r="D114" s="25"/>
      <c r="E114" s="25"/>
      <c r="F114" s="25"/>
      <c r="G114" s="25"/>
      <c r="H114" s="25"/>
      <c r="I114" s="25"/>
      <c r="J114" s="25"/>
      <c r="K114" s="25"/>
      <c r="L114" s="25"/>
      <c r="M114" s="25"/>
      <c r="N114" s="25"/>
      <c r="O114" s="25"/>
      <c r="P114" s="25"/>
      <c r="Q114" s="25"/>
      <c r="R114" s="25"/>
      <c r="S114" s="25"/>
      <c r="T114" s="25"/>
      <c r="U114" s="25"/>
      <c r="V114" s="53">
        <v>0</v>
      </c>
      <c r="W114" s="25"/>
      <c r="X114" s="5"/>
    </row>
    <row r="115" spans="1:24" ht="15.6" x14ac:dyDescent="0.3">
      <c r="A115" s="24">
        <f t="shared" si="0"/>
        <v>10</v>
      </c>
      <c r="B115" s="25" t="s">
        <v>36</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11</v>
      </c>
      <c r="B116" s="25" t="s">
        <v>37</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12</v>
      </c>
      <c r="B117" s="25" t="s">
        <v>154</v>
      </c>
      <c r="C117" s="25"/>
      <c r="D117" s="25"/>
      <c r="E117" s="25"/>
      <c r="F117" s="25"/>
      <c r="G117" s="25"/>
      <c r="H117" s="25"/>
      <c r="I117" s="25"/>
      <c r="J117" s="25"/>
      <c r="K117" s="25"/>
      <c r="L117" s="25"/>
      <c r="M117" s="25"/>
      <c r="N117" s="25"/>
      <c r="O117" s="25"/>
      <c r="P117" s="25"/>
      <c r="Q117" s="25"/>
      <c r="R117" s="25"/>
      <c r="S117" s="25"/>
      <c r="T117" s="25"/>
      <c r="U117" s="25"/>
      <c r="V117" s="53">
        <v>-529</v>
      </c>
      <c r="W117" s="25"/>
      <c r="X117" s="5"/>
    </row>
    <row r="118" spans="1:24" ht="15.6" x14ac:dyDescent="0.3">
      <c r="A118" s="24">
        <f t="shared" si="0"/>
        <v>13</v>
      </c>
      <c r="B118" s="25" t="s">
        <v>131</v>
      </c>
      <c r="C118" s="25"/>
      <c r="D118" s="25"/>
      <c r="E118" s="25"/>
      <c r="F118" s="25"/>
      <c r="G118" s="25"/>
      <c r="H118" s="25"/>
      <c r="I118" s="25"/>
      <c r="J118" s="25"/>
      <c r="K118" s="25"/>
      <c r="L118" s="25"/>
      <c r="M118" s="25"/>
      <c r="N118" s="25"/>
      <c r="O118" s="25"/>
      <c r="P118" s="25"/>
      <c r="Q118" s="25"/>
      <c r="R118" s="25"/>
      <c r="S118" s="25"/>
      <c r="T118" s="25"/>
      <c r="U118" s="25"/>
      <c r="V118" s="53">
        <f>-V100-SUM(V102:V117)</f>
        <v>-3930</v>
      </c>
      <c r="W118" s="25"/>
      <c r="X118" s="5"/>
    </row>
    <row r="119" spans="1:24" ht="15.6" x14ac:dyDescent="0.3">
      <c r="A119" s="24"/>
      <c r="B119" s="118" t="s">
        <v>38</v>
      </c>
      <c r="C119" s="25"/>
      <c r="D119" s="25"/>
      <c r="E119" s="25"/>
      <c r="F119" s="25"/>
      <c r="G119" s="25"/>
      <c r="H119" s="25"/>
      <c r="I119" s="25"/>
      <c r="J119" s="25"/>
      <c r="K119" s="25"/>
      <c r="L119" s="25"/>
      <c r="M119" s="25"/>
      <c r="N119" s="25"/>
      <c r="O119" s="25"/>
      <c r="P119" s="25"/>
      <c r="Q119" s="25"/>
      <c r="R119" s="25"/>
      <c r="S119" s="25"/>
      <c r="T119" s="25"/>
      <c r="U119" s="25"/>
      <c r="V119" s="59"/>
      <c r="W119" s="25"/>
      <c r="X119" s="5"/>
    </row>
    <row r="120" spans="1:24" ht="15.6" x14ac:dyDescent="0.3">
      <c r="A120" s="24"/>
      <c r="B120" s="25" t="s">
        <v>179</v>
      </c>
      <c r="C120" s="25"/>
      <c r="D120" s="25"/>
      <c r="E120" s="25"/>
      <c r="F120" s="25"/>
      <c r="G120" s="25"/>
      <c r="H120" s="25"/>
      <c r="I120" s="25"/>
      <c r="J120" s="25"/>
      <c r="K120" s="25"/>
      <c r="L120" s="25"/>
      <c r="M120" s="25"/>
      <c r="N120" s="25"/>
      <c r="O120" s="25"/>
      <c r="P120" s="25"/>
      <c r="Q120" s="25"/>
      <c r="R120" s="25"/>
      <c r="S120" s="25"/>
      <c r="T120" s="34">
        <f>-T179</f>
        <v>-15</v>
      </c>
      <c r="U120" s="34"/>
      <c r="V120" s="53"/>
      <c r="W120" s="25"/>
      <c r="X120" s="5"/>
    </row>
    <row r="121" spans="1:24" ht="15.6" x14ac:dyDescent="0.3">
      <c r="A121" s="24"/>
      <c r="B121" s="25" t="s">
        <v>180</v>
      </c>
      <c r="C121" s="25"/>
      <c r="D121" s="25"/>
      <c r="E121" s="25"/>
      <c r="F121" s="25"/>
      <c r="G121" s="25"/>
      <c r="H121" s="25"/>
      <c r="I121" s="25"/>
      <c r="J121" s="25"/>
      <c r="K121" s="25"/>
      <c r="L121" s="25"/>
      <c r="M121" s="25"/>
      <c r="N121" s="25"/>
      <c r="O121" s="25"/>
      <c r="P121" s="25"/>
      <c r="Q121" s="25"/>
      <c r="R121" s="25"/>
      <c r="S121" s="25"/>
      <c r="T121" s="34">
        <v>-4</v>
      </c>
      <c r="U121" s="34"/>
      <c r="V121" s="53"/>
      <c r="W121" s="25"/>
      <c r="X121" s="5"/>
    </row>
    <row r="122" spans="1:24" ht="15.6" x14ac:dyDescent="0.3">
      <c r="A122" s="24"/>
      <c r="B122" s="25" t="s">
        <v>39</v>
      </c>
      <c r="C122" s="25"/>
      <c r="D122" s="25"/>
      <c r="E122" s="25"/>
      <c r="F122" s="25"/>
      <c r="G122" s="25"/>
      <c r="H122" s="25"/>
      <c r="I122" s="25"/>
      <c r="J122" s="25"/>
      <c r="K122" s="25"/>
      <c r="L122" s="25"/>
      <c r="M122" s="25"/>
      <c r="N122" s="25"/>
      <c r="O122" s="25"/>
      <c r="P122" s="25"/>
      <c r="Q122" s="25"/>
      <c r="R122" s="25"/>
      <c r="S122" s="25"/>
      <c r="T122" s="34">
        <f>-S179</f>
        <v>-5716</v>
      </c>
      <c r="U122" s="34"/>
      <c r="V122" s="53"/>
      <c r="W122" s="25"/>
      <c r="X122" s="5"/>
    </row>
    <row r="123" spans="1:24" ht="15.6" x14ac:dyDescent="0.3">
      <c r="A123" s="24"/>
      <c r="B123" s="25" t="s">
        <v>203</v>
      </c>
      <c r="C123" s="25"/>
      <c r="D123" s="25"/>
      <c r="E123" s="25"/>
      <c r="F123" s="25"/>
      <c r="G123" s="25"/>
      <c r="H123" s="25"/>
      <c r="I123" s="25"/>
      <c r="J123" s="25"/>
      <c r="K123" s="25"/>
      <c r="L123" s="25"/>
      <c r="M123" s="25"/>
      <c r="N123" s="25"/>
      <c r="O123" s="25"/>
      <c r="P123" s="25"/>
      <c r="Q123" s="25"/>
      <c r="R123" s="25"/>
      <c r="S123" s="25"/>
      <c r="T123" s="34">
        <v>-16327</v>
      </c>
      <c r="U123" s="34"/>
      <c r="V123" s="53"/>
      <c r="W123" s="25"/>
      <c r="X123" s="5"/>
    </row>
    <row r="124" spans="1:24" ht="15.6" x14ac:dyDescent="0.3">
      <c r="A124" s="24"/>
      <c r="B124" s="25" t="s">
        <v>201</v>
      </c>
      <c r="C124" s="25"/>
      <c r="D124" s="25"/>
      <c r="E124" s="25"/>
      <c r="F124" s="25"/>
      <c r="G124" s="25"/>
      <c r="H124" s="25"/>
      <c r="I124" s="25"/>
      <c r="J124" s="25"/>
      <c r="K124" s="25"/>
      <c r="L124" s="25"/>
      <c r="M124" s="25"/>
      <c r="N124" s="25"/>
      <c r="O124" s="25"/>
      <c r="P124" s="25"/>
      <c r="Q124" s="25"/>
      <c r="R124" s="25"/>
      <c r="S124" s="25"/>
      <c r="T124" s="34">
        <v>-2904</v>
      </c>
      <c r="U124" s="34"/>
      <c r="V124" s="53"/>
      <c r="W124" s="25"/>
      <c r="X124" s="5"/>
    </row>
    <row r="125" spans="1:24" ht="15.6" x14ac:dyDescent="0.3">
      <c r="A125" s="24"/>
      <c r="B125" s="25" t="s">
        <v>200</v>
      </c>
      <c r="C125" s="25"/>
      <c r="D125" s="25"/>
      <c r="E125" s="25"/>
      <c r="F125" s="25"/>
      <c r="G125" s="25"/>
      <c r="H125" s="25"/>
      <c r="I125" s="25"/>
      <c r="J125" s="25"/>
      <c r="K125" s="25"/>
      <c r="L125" s="25"/>
      <c r="M125" s="25"/>
      <c r="N125" s="25"/>
      <c r="O125" s="25"/>
      <c r="P125" s="25"/>
      <c r="Q125" s="25"/>
      <c r="R125" s="25"/>
      <c r="S125" s="25"/>
      <c r="T125" s="34">
        <v>-3384</v>
      </c>
      <c r="U125" s="34"/>
      <c r="V125" s="53"/>
      <c r="W125" s="25"/>
      <c r="X125" s="5"/>
    </row>
    <row r="126" spans="1:24" ht="15.6" x14ac:dyDescent="0.3">
      <c r="A126" s="24"/>
      <c r="B126" s="25" t="s">
        <v>260</v>
      </c>
      <c r="C126" s="25"/>
      <c r="D126" s="25"/>
      <c r="E126" s="25"/>
      <c r="F126" s="25"/>
      <c r="G126" s="25"/>
      <c r="H126" s="25"/>
      <c r="I126" s="25"/>
      <c r="J126" s="25"/>
      <c r="K126" s="25"/>
      <c r="L126" s="25"/>
      <c r="M126" s="25"/>
      <c r="N126" s="25"/>
      <c r="O126" s="25"/>
      <c r="P126" s="25"/>
      <c r="Q126" s="25"/>
      <c r="R126" s="25"/>
      <c r="S126" s="25"/>
      <c r="T126" s="34">
        <v>-3385</v>
      </c>
      <c r="U126" s="34"/>
      <c r="V126" s="53"/>
      <c r="W126" s="25"/>
      <c r="X126" s="5"/>
    </row>
    <row r="127" spans="1:24" ht="15.6" x14ac:dyDescent="0.3">
      <c r="A127" s="24"/>
      <c r="B127" s="25" t="s">
        <v>195</v>
      </c>
      <c r="C127" s="25"/>
      <c r="D127" s="25"/>
      <c r="E127" s="25"/>
      <c r="F127" s="25"/>
      <c r="G127" s="25"/>
      <c r="H127" s="25"/>
      <c r="I127" s="25"/>
      <c r="J127" s="25"/>
      <c r="K127" s="25"/>
      <c r="L127" s="25"/>
      <c r="M127" s="25"/>
      <c r="N127" s="25"/>
      <c r="O127" s="25"/>
      <c r="P127" s="25"/>
      <c r="Q127" s="25"/>
      <c r="R127" s="25"/>
      <c r="S127" s="25"/>
      <c r="T127" s="34">
        <v>0</v>
      </c>
      <c r="U127" s="34"/>
      <c r="V127" s="53"/>
      <c r="W127" s="25"/>
      <c r="X127" s="5"/>
    </row>
    <row r="128" spans="1:24" ht="15.6" x14ac:dyDescent="0.3">
      <c r="A128" s="24"/>
      <c r="B128" s="25" t="s">
        <v>194</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261</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193</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40</v>
      </c>
      <c r="C131" s="25"/>
      <c r="D131" s="25"/>
      <c r="E131" s="25"/>
      <c r="F131" s="25"/>
      <c r="G131" s="25"/>
      <c r="H131" s="25"/>
      <c r="I131" s="25"/>
      <c r="J131" s="25"/>
      <c r="K131" s="25"/>
      <c r="L131" s="25"/>
      <c r="M131" s="25"/>
      <c r="N131" s="25"/>
      <c r="O131" s="25"/>
      <c r="P131" s="25"/>
      <c r="Q131" s="25"/>
      <c r="R131" s="25"/>
      <c r="S131" s="25"/>
      <c r="T131" s="34">
        <f>SUM(T120:T130)</f>
        <v>-31735</v>
      </c>
      <c r="U131" s="34"/>
      <c r="V131" s="34">
        <f>SUM(V101:V128)</f>
        <v>-27937</v>
      </c>
      <c r="W131" s="25"/>
      <c r="X131" s="5"/>
    </row>
    <row r="132" spans="1:24" ht="15.6" x14ac:dyDescent="0.3">
      <c r="A132" s="24"/>
      <c r="B132" s="25" t="s">
        <v>41</v>
      </c>
      <c r="C132" s="25"/>
      <c r="D132" s="25"/>
      <c r="E132" s="25"/>
      <c r="F132" s="25"/>
      <c r="G132" s="25"/>
      <c r="H132" s="25"/>
      <c r="I132" s="25"/>
      <c r="J132" s="25"/>
      <c r="K132" s="25"/>
      <c r="L132" s="25"/>
      <c r="M132" s="25"/>
      <c r="N132" s="25"/>
      <c r="O132" s="25"/>
      <c r="P132" s="25"/>
      <c r="Q132" s="25"/>
      <c r="R132" s="25"/>
      <c r="S132" s="25"/>
      <c r="T132" s="34">
        <f>T100+T131+T113</f>
        <v>0</v>
      </c>
      <c r="U132" s="34"/>
      <c r="V132" s="34">
        <f>V100+V131</f>
        <v>0</v>
      </c>
      <c r="W132" s="25"/>
      <c r="X132" s="5"/>
    </row>
    <row r="133" spans="1:24" ht="15.6" x14ac:dyDescent="0.3">
      <c r="A133" s="24"/>
      <c r="B133" s="25"/>
      <c r="C133" s="25"/>
      <c r="D133" s="25"/>
      <c r="E133" s="25"/>
      <c r="F133" s="25"/>
      <c r="G133" s="25"/>
      <c r="H133" s="25"/>
      <c r="I133" s="25"/>
      <c r="J133" s="25"/>
      <c r="K133" s="25"/>
      <c r="L133" s="25"/>
      <c r="M133" s="25"/>
      <c r="N133" s="25"/>
      <c r="O133" s="25"/>
      <c r="P133" s="25"/>
      <c r="Q133" s="25"/>
      <c r="R133" s="25"/>
      <c r="S133" s="25"/>
      <c r="T133" s="34"/>
      <c r="U133" s="34"/>
      <c r="V133" s="34"/>
      <c r="W133" s="25"/>
      <c r="X133" s="5"/>
    </row>
    <row r="134" spans="1:24" ht="15.6" x14ac:dyDescent="0.3">
      <c r="A134" s="6"/>
      <c r="B134" s="8"/>
      <c r="C134" s="8"/>
      <c r="D134" s="8"/>
      <c r="E134" s="8"/>
      <c r="F134" s="8"/>
      <c r="G134" s="8"/>
      <c r="H134" s="8"/>
      <c r="I134" s="8"/>
      <c r="J134" s="8"/>
      <c r="K134" s="8"/>
      <c r="L134" s="8"/>
      <c r="M134" s="8"/>
      <c r="N134" s="8"/>
      <c r="O134" s="8"/>
      <c r="P134" s="8"/>
      <c r="Q134" s="8"/>
      <c r="R134" s="8"/>
      <c r="S134" s="8"/>
      <c r="T134" s="8"/>
      <c r="U134" s="8"/>
      <c r="V134" s="52"/>
      <c r="W134" s="8"/>
      <c r="X134" s="5"/>
    </row>
    <row r="135" spans="1:24" ht="18" thickBot="1" x14ac:dyDescent="0.35">
      <c r="A135" s="101"/>
      <c r="B135" s="102" t="str">
        <f>B64</f>
        <v>PM12 INVESTOR REPORT QUARTER ENDING OCTOBER 2007</v>
      </c>
      <c r="C135" s="103"/>
      <c r="D135" s="103"/>
      <c r="E135" s="103"/>
      <c r="F135" s="103"/>
      <c r="G135" s="103"/>
      <c r="H135" s="103"/>
      <c r="I135" s="103"/>
      <c r="J135" s="103"/>
      <c r="K135" s="103"/>
      <c r="L135" s="103"/>
      <c r="M135" s="103"/>
      <c r="N135" s="103"/>
      <c r="O135" s="103"/>
      <c r="P135" s="103"/>
      <c r="Q135" s="103"/>
      <c r="R135" s="103"/>
      <c r="S135" s="103"/>
      <c r="T135" s="103"/>
      <c r="U135" s="103"/>
      <c r="V135" s="106"/>
      <c r="W135" s="105"/>
      <c r="X135" s="5"/>
    </row>
    <row r="136" spans="1:24" ht="15.6" x14ac:dyDescent="0.3">
      <c r="A136" s="2"/>
      <c r="B136" s="60" t="s">
        <v>42</v>
      </c>
      <c r="C136" s="4"/>
      <c r="D136" s="4"/>
      <c r="E136" s="4"/>
      <c r="F136" s="4"/>
      <c r="G136" s="4"/>
      <c r="H136" s="4"/>
      <c r="I136" s="4"/>
      <c r="J136" s="4"/>
      <c r="K136" s="4"/>
      <c r="L136" s="4"/>
      <c r="M136" s="4"/>
      <c r="N136" s="4"/>
      <c r="O136" s="4"/>
      <c r="P136" s="4"/>
      <c r="Q136" s="4"/>
      <c r="R136" s="4"/>
      <c r="S136" s="4"/>
      <c r="T136" s="4"/>
      <c r="U136" s="4"/>
      <c r="V136" s="50"/>
      <c r="W136" s="4"/>
      <c r="X136" s="5"/>
    </row>
    <row r="137" spans="1:24" ht="15.6" x14ac:dyDescent="0.3">
      <c r="A137" s="6"/>
      <c r="B137" s="21"/>
      <c r="C137" s="8"/>
      <c r="D137" s="8"/>
      <c r="E137" s="8"/>
      <c r="F137" s="8"/>
      <c r="G137" s="8"/>
      <c r="H137" s="8"/>
      <c r="I137" s="8"/>
      <c r="J137" s="8"/>
      <c r="K137" s="8"/>
      <c r="L137" s="8"/>
      <c r="M137" s="8"/>
      <c r="N137" s="8"/>
      <c r="O137" s="8"/>
      <c r="P137" s="8"/>
      <c r="Q137" s="8"/>
      <c r="R137" s="8"/>
      <c r="S137" s="8"/>
      <c r="T137" s="8"/>
      <c r="U137" s="8"/>
      <c r="V137" s="52"/>
      <c r="W137" s="8"/>
      <c r="X137" s="5"/>
    </row>
    <row r="138" spans="1:24" ht="15.6" x14ac:dyDescent="0.3">
      <c r="A138" s="6"/>
      <c r="B138" s="119" t="s">
        <v>43</v>
      </c>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24"/>
      <c r="B139" s="25" t="s">
        <v>44</v>
      </c>
      <c r="C139" s="25"/>
      <c r="D139" s="25"/>
      <c r="E139" s="25"/>
      <c r="F139" s="25"/>
      <c r="G139" s="25"/>
      <c r="H139" s="25"/>
      <c r="I139" s="25"/>
      <c r="J139" s="25"/>
      <c r="K139" s="25"/>
      <c r="L139" s="25"/>
      <c r="M139" s="25"/>
      <c r="N139" s="25"/>
      <c r="O139" s="25"/>
      <c r="P139" s="25"/>
      <c r="Q139" s="25"/>
      <c r="R139" s="25"/>
      <c r="S139" s="25"/>
      <c r="T139" s="25"/>
      <c r="U139" s="25"/>
      <c r="V139" s="53">
        <f>+V34*0.019</f>
        <v>28503.895</v>
      </c>
      <c r="W139" s="25"/>
      <c r="X139" s="5"/>
    </row>
    <row r="140" spans="1:24" ht="15.6" x14ac:dyDescent="0.3">
      <c r="A140" s="24"/>
      <c r="B140" s="25" t="s">
        <v>45</v>
      </c>
      <c r="C140" s="25"/>
      <c r="D140" s="25"/>
      <c r="E140" s="25"/>
      <c r="F140" s="25"/>
      <c r="G140" s="25"/>
      <c r="H140" s="25"/>
      <c r="I140" s="25"/>
      <c r="J140" s="25"/>
      <c r="K140" s="25"/>
      <c r="L140" s="25"/>
      <c r="M140" s="25"/>
      <c r="N140" s="25"/>
      <c r="O140" s="25"/>
      <c r="P140" s="25"/>
      <c r="Q140" s="25"/>
      <c r="R140" s="25"/>
      <c r="S140" s="25"/>
      <c r="T140" s="25"/>
      <c r="U140" s="25"/>
      <c r="V140" s="53">
        <v>28504</v>
      </c>
      <c r="W140" s="25"/>
      <c r="X140" s="5"/>
    </row>
    <row r="141" spans="1:24" ht="15.6" x14ac:dyDescent="0.3">
      <c r="A141" s="24"/>
      <c r="B141" s="25" t="s">
        <v>141</v>
      </c>
      <c r="C141" s="25"/>
      <c r="D141" s="25"/>
      <c r="E141" s="25"/>
      <c r="F141" s="25"/>
      <c r="G141" s="25"/>
      <c r="H141" s="25"/>
      <c r="I141" s="25"/>
      <c r="J141" s="25"/>
      <c r="K141" s="25"/>
      <c r="L141" s="25"/>
      <c r="M141" s="25"/>
      <c r="N141" s="25"/>
      <c r="O141" s="25"/>
      <c r="P141" s="25"/>
      <c r="Q141" s="25"/>
      <c r="R141" s="25"/>
      <c r="S141" s="25"/>
      <c r="T141" s="25"/>
      <c r="U141" s="25"/>
      <c r="V141" s="53">
        <v>0</v>
      </c>
      <c r="W141" s="25"/>
      <c r="X141" s="5"/>
    </row>
    <row r="142" spans="1:24" ht="15.6" x14ac:dyDescent="0.3">
      <c r="A142" s="24"/>
      <c r="B142" s="25" t="s">
        <v>128</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129</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181</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46</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134</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230</v>
      </c>
      <c r="C147" s="25"/>
      <c r="D147" s="25"/>
      <c r="E147" s="25"/>
      <c r="F147" s="25"/>
      <c r="G147" s="25"/>
      <c r="H147" s="25"/>
      <c r="I147" s="25"/>
      <c r="J147" s="25"/>
      <c r="K147" s="25"/>
      <c r="L147" s="25"/>
      <c r="M147" s="25"/>
      <c r="N147" s="25"/>
      <c r="O147" s="25"/>
      <c r="P147" s="25"/>
      <c r="Q147" s="25"/>
      <c r="R147" s="25"/>
      <c r="S147" s="25"/>
      <c r="T147" s="25"/>
      <c r="U147" s="25"/>
      <c r="V147" s="53">
        <v>0</v>
      </c>
      <c r="W147" s="25"/>
      <c r="X147" s="5"/>
      <c r="Y147" s="109"/>
    </row>
    <row r="148" spans="1:25" ht="15.6" x14ac:dyDescent="0.3">
      <c r="A148" s="24"/>
      <c r="B148" s="25" t="s">
        <v>47</v>
      </c>
      <c r="C148" s="25"/>
      <c r="D148" s="25"/>
      <c r="E148" s="25"/>
      <c r="F148" s="25"/>
      <c r="G148" s="25"/>
      <c r="H148" s="25"/>
      <c r="I148" s="25"/>
      <c r="J148" s="25"/>
      <c r="K148" s="25"/>
      <c r="L148" s="25"/>
      <c r="M148" s="25"/>
      <c r="N148" s="25"/>
      <c r="O148" s="25"/>
      <c r="P148" s="25"/>
      <c r="Q148" s="25"/>
      <c r="R148" s="25"/>
      <c r="S148" s="25"/>
      <c r="T148" s="25"/>
      <c r="U148" s="25"/>
      <c r="V148" s="53">
        <f>SUM(V140:V147)</f>
        <v>28504</v>
      </c>
      <c r="W148" s="25"/>
      <c r="X148" s="5"/>
    </row>
    <row r="149" spans="1:25" ht="15.6" x14ac:dyDescent="0.3">
      <c r="A149" s="24"/>
      <c r="B149" s="25"/>
      <c r="C149" s="25"/>
      <c r="D149" s="25"/>
      <c r="E149" s="25"/>
      <c r="F149" s="25"/>
      <c r="G149" s="25"/>
      <c r="H149" s="25"/>
      <c r="I149" s="25"/>
      <c r="J149" s="25"/>
      <c r="K149" s="25"/>
      <c r="L149" s="25"/>
      <c r="M149" s="25"/>
      <c r="N149" s="25"/>
      <c r="O149" s="25"/>
      <c r="P149" s="25"/>
      <c r="Q149" s="25"/>
      <c r="R149" s="25"/>
      <c r="S149" s="25"/>
      <c r="T149" s="25"/>
      <c r="U149" s="25"/>
      <c r="V149" s="53"/>
      <c r="W149" s="25"/>
      <c r="X149" s="5"/>
    </row>
    <row r="150" spans="1:25" ht="15.6" x14ac:dyDescent="0.3">
      <c r="A150" s="24"/>
      <c r="B150" s="138" t="s">
        <v>269</v>
      </c>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25" t="s">
        <v>160</v>
      </c>
      <c r="C151" s="25"/>
      <c r="D151" s="25"/>
      <c r="E151" s="25"/>
      <c r="F151" s="25"/>
      <c r="G151" s="25"/>
      <c r="H151" s="25"/>
      <c r="I151" s="25"/>
      <c r="J151" s="25"/>
      <c r="K151" s="25"/>
      <c r="L151" s="25"/>
      <c r="M151" s="25"/>
      <c r="N151" s="25"/>
      <c r="O151" s="25"/>
      <c r="P151" s="25"/>
      <c r="Q151" s="25"/>
      <c r="R151" s="25"/>
      <c r="S151" s="25"/>
      <c r="T151" s="25"/>
      <c r="U151" s="25"/>
      <c r="V151" s="53">
        <v>0</v>
      </c>
      <c r="W151" s="25"/>
      <c r="X151" s="5"/>
    </row>
    <row r="152" spans="1:25" ht="15.6" x14ac:dyDescent="0.3">
      <c r="A152" s="24"/>
      <c r="B152" s="25" t="s">
        <v>178</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270</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61"/>
      <c r="W155" s="25"/>
      <c r="X155" s="5"/>
    </row>
    <row r="156" spans="1:25" ht="15.6" x14ac:dyDescent="0.3">
      <c r="A156" s="6"/>
      <c r="B156" s="119" t="s">
        <v>24</v>
      </c>
      <c r="C156" s="8"/>
      <c r="D156" s="8"/>
      <c r="E156" s="8"/>
      <c r="F156" s="8"/>
      <c r="G156" s="8"/>
      <c r="H156" s="8"/>
      <c r="I156" s="8"/>
      <c r="J156" s="8"/>
      <c r="K156" s="8"/>
      <c r="L156" s="8"/>
      <c r="M156" s="8"/>
      <c r="N156" s="8"/>
      <c r="O156" s="8"/>
      <c r="P156" s="8"/>
      <c r="Q156" s="8"/>
      <c r="R156" s="8"/>
      <c r="S156" s="8"/>
      <c r="T156" s="8"/>
      <c r="U156" s="8"/>
      <c r="V156" s="52"/>
      <c r="W156" s="8"/>
      <c r="X156" s="5"/>
    </row>
    <row r="157" spans="1:25" ht="15.6" x14ac:dyDescent="0.3">
      <c r="A157" s="24"/>
      <c r="B157" s="25" t="s">
        <v>48</v>
      </c>
      <c r="C157" s="25"/>
      <c r="D157" s="25"/>
      <c r="E157" s="25"/>
      <c r="F157" s="25"/>
      <c r="G157" s="25"/>
      <c r="H157" s="25"/>
      <c r="I157" s="25"/>
      <c r="J157" s="25"/>
      <c r="K157" s="25"/>
      <c r="L157" s="25"/>
      <c r="M157" s="25"/>
      <c r="N157" s="25"/>
      <c r="O157" s="25"/>
      <c r="P157" s="25"/>
      <c r="Q157" s="25"/>
      <c r="R157" s="25"/>
      <c r="S157" s="25"/>
      <c r="T157" s="25"/>
      <c r="U157" s="25"/>
      <c r="V157" s="59" t="s">
        <v>123</v>
      </c>
      <c r="W157" s="25"/>
      <c r="X157" s="5"/>
    </row>
    <row r="158" spans="1:25" ht="15.6" x14ac:dyDescent="0.3">
      <c r="A158" s="24"/>
      <c r="B158" s="25" t="s">
        <v>49</v>
      </c>
      <c r="C158" s="163"/>
      <c r="D158" s="163"/>
      <c r="E158" s="163"/>
      <c r="F158" s="163"/>
      <c r="G158" s="163"/>
      <c r="H158" s="163"/>
      <c r="I158" s="163"/>
      <c r="J158" s="163"/>
      <c r="K158" s="163"/>
      <c r="L158" s="163"/>
      <c r="M158" s="163"/>
      <c r="N158" s="163"/>
      <c r="O158" s="163"/>
      <c r="P158" s="163"/>
      <c r="Q158" s="163"/>
      <c r="R158" s="163"/>
      <c r="S158" s="163"/>
      <c r="T158" s="163"/>
      <c r="U158" s="163"/>
      <c r="V158" s="59" t="s">
        <v>123</v>
      </c>
      <c r="W158" s="25"/>
      <c r="X158" s="5"/>
    </row>
    <row r="159" spans="1:25" ht="15.6" x14ac:dyDescent="0.3">
      <c r="A159" s="24"/>
      <c r="B159" s="25" t="s">
        <v>50</v>
      </c>
      <c r="C159" s="25"/>
      <c r="D159" s="25"/>
      <c r="E159" s="25"/>
      <c r="F159" s="25"/>
      <c r="G159" s="25"/>
      <c r="H159" s="25"/>
      <c r="I159" s="25"/>
      <c r="J159" s="25"/>
      <c r="K159" s="25"/>
      <c r="L159" s="25"/>
      <c r="M159" s="25"/>
      <c r="N159" s="25"/>
      <c r="O159" s="25"/>
      <c r="P159" s="25"/>
      <c r="Q159" s="25"/>
      <c r="R159" s="25"/>
      <c r="S159" s="25"/>
      <c r="T159" s="25"/>
      <c r="U159" s="25"/>
      <c r="V159" s="59" t="s">
        <v>123</v>
      </c>
      <c r="W159" s="25"/>
      <c r="X159" s="5"/>
    </row>
    <row r="160" spans="1:25" ht="15.6" x14ac:dyDescent="0.3">
      <c r="A160" s="24"/>
      <c r="B160" s="25" t="s">
        <v>51</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c r="C161" s="25"/>
      <c r="D161" s="25"/>
      <c r="E161" s="25"/>
      <c r="F161" s="25"/>
      <c r="G161" s="25"/>
      <c r="H161" s="25"/>
      <c r="I161" s="25"/>
      <c r="J161" s="25"/>
      <c r="K161" s="25"/>
      <c r="L161" s="25"/>
      <c r="M161" s="25"/>
      <c r="N161" s="25"/>
      <c r="O161" s="25"/>
      <c r="P161" s="25"/>
      <c r="Q161" s="25"/>
      <c r="R161" s="25"/>
      <c r="S161" s="25"/>
      <c r="T161" s="25"/>
      <c r="U161" s="25"/>
      <c r="V161" s="61"/>
      <c r="W161" s="25"/>
      <c r="X161" s="5"/>
    </row>
    <row r="162" spans="1:24" ht="15.6" x14ac:dyDescent="0.3">
      <c r="A162" s="6"/>
      <c r="B162" s="119" t="s">
        <v>52</v>
      </c>
      <c r="C162" s="8"/>
      <c r="D162" s="8"/>
      <c r="E162" s="8"/>
      <c r="F162" s="8"/>
      <c r="G162" s="8"/>
      <c r="H162" s="8"/>
      <c r="I162" s="8"/>
      <c r="J162" s="8"/>
      <c r="K162" s="8"/>
      <c r="L162" s="8"/>
      <c r="M162" s="8"/>
      <c r="N162" s="8"/>
      <c r="O162" s="8"/>
      <c r="P162" s="8"/>
      <c r="Q162" s="8"/>
      <c r="R162" s="8"/>
      <c r="S162" s="8"/>
      <c r="T162" s="8"/>
      <c r="U162" s="8"/>
      <c r="V162" s="63"/>
      <c r="W162" s="8"/>
      <c r="X162" s="5"/>
    </row>
    <row r="163" spans="1:24" ht="15.6" x14ac:dyDescent="0.3">
      <c r="A163" s="24"/>
      <c r="B163" s="25" t="s">
        <v>53</v>
      </c>
      <c r="C163" s="25"/>
      <c r="D163" s="25"/>
      <c r="E163" s="25"/>
      <c r="F163" s="25"/>
      <c r="G163" s="25"/>
      <c r="H163" s="25"/>
      <c r="I163" s="25"/>
      <c r="J163" s="25"/>
      <c r="K163" s="25"/>
      <c r="L163" s="25"/>
      <c r="M163" s="25"/>
      <c r="N163" s="25"/>
      <c r="O163" s="25"/>
      <c r="P163" s="25"/>
      <c r="Q163" s="25"/>
      <c r="R163" s="25"/>
      <c r="S163" s="25"/>
      <c r="T163" s="25"/>
      <c r="U163" s="25"/>
      <c r="V163" s="53">
        <v>0</v>
      </c>
      <c r="W163" s="25"/>
      <c r="X163" s="5"/>
    </row>
    <row r="164" spans="1:24" ht="15.6" x14ac:dyDescent="0.3">
      <c r="A164" s="24"/>
      <c r="B164" s="25" t="s">
        <v>54</v>
      </c>
      <c r="C164" s="25"/>
      <c r="D164" s="25"/>
      <c r="E164" s="25"/>
      <c r="F164" s="25"/>
      <c r="G164" s="25"/>
      <c r="H164" s="25"/>
      <c r="I164" s="25"/>
      <c r="J164" s="25"/>
      <c r="K164" s="25"/>
      <c r="L164" s="25"/>
      <c r="M164" s="25"/>
      <c r="N164" s="25"/>
      <c r="O164" s="25"/>
      <c r="P164" s="25"/>
      <c r="Q164" s="25"/>
      <c r="R164" s="25"/>
      <c r="S164" s="25"/>
      <c r="T164" s="25"/>
      <c r="U164" s="25"/>
      <c r="V164" s="53">
        <f>-V113</f>
        <v>62</v>
      </c>
      <c r="W164" s="25"/>
      <c r="X164" s="5"/>
    </row>
    <row r="165" spans="1:24" ht="15.6" x14ac:dyDescent="0.3">
      <c r="A165" s="24"/>
      <c r="B165" s="25" t="s">
        <v>55</v>
      </c>
      <c r="C165" s="25"/>
      <c r="D165" s="25"/>
      <c r="E165" s="25"/>
      <c r="F165" s="25"/>
      <c r="G165" s="25"/>
      <c r="H165" s="25"/>
      <c r="I165" s="25"/>
      <c r="J165" s="25"/>
      <c r="K165" s="25"/>
      <c r="L165" s="25"/>
      <c r="M165" s="25"/>
      <c r="N165" s="25"/>
      <c r="O165" s="25"/>
      <c r="P165" s="25"/>
      <c r="Q165" s="25"/>
      <c r="R165" s="25"/>
      <c r="S165" s="25"/>
      <c r="T165" s="25"/>
      <c r="U165" s="25"/>
      <c r="V165" s="53">
        <f>V164+V163</f>
        <v>62</v>
      </c>
      <c r="W165" s="25"/>
      <c r="X165" s="5"/>
    </row>
    <row r="166" spans="1:24" ht="15.6" x14ac:dyDescent="0.3">
      <c r="A166" s="24"/>
      <c r="B166" s="25" t="s">
        <v>310</v>
      </c>
      <c r="C166" s="25"/>
      <c r="D166" s="25"/>
      <c r="E166" s="25"/>
      <c r="F166" s="25"/>
      <c r="G166" s="25"/>
      <c r="H166" s="25"/>
      <c r="I166" s="25"/>
      <c r="J166" s="25"/>
      <c r="K166" s="25"/>
      <c r="L166" s="25"/>
      <c r="M166" s="25"/>
      <c r="N166" s="25"/>
      <c r="O166" s="25"/>
      <c r="P166" s="25"/>
      <c r="Q166" s="25"/>
      <c r="R166" s="25"/>
      <c r="S166" s="25"/>
      <c r="T166" s="25"/>
      <c r="U166" s="25"/>
      <c r="V166" s="53">
        <f>V113</f>
        <v>-62</v>
      </c>
      <c r="W166" s="25"/>
      <c r="X166" s="5"/>
    </row>
    <row r="167" spans="1:24" ht="15.6" x14ac:dyDescent="0.3">
      <c r="A167" s="24"/>
      <c r="B167" s="25" t="s">
        <v>56</v>
      </c>
      <c r="C167" s="25"/>
      <c r="D167" s="25"/>
      <c r="E167" s="25"/>
      <c r="F167" s="25"/>
      <c r="G167" s="25"/>
      <c r="H167" s="25"/>
      <c r="I167" s="25"/>
      <c r="J167" s="25"/>
      <c r="K167" s="25"/>
      <c r="L167" s="25"/>
      <c r="M167" s="25"/>
      <c r="N167" s="25"/>
      <c r="O167" s="25"/>
      <c r="P167" s="25"/>
      <c r="Q167" s="25"/>
      <c r="R167" s="25"/>
      <c r="S167" s="25"/>
      <c r="T167" s="25"/>
      <c r="U167" s="25"/>
      <c r="V167" s="53">
        <f>V165+V166</f>
        <v>0</v>
      </c>
      <c r="W167" s="25"/>
      <c r="X167" s="5"/>
    </row>
    <row r="168" spans="1:24" ht="16.2" thickBot="1" x14ac:dyDescent="0.35">
      <c r="A168" s="24"/>
      <c r="B168" s="25"/>
      <c r="C168" s="25"/>
      <c r="D168" s="25"/>
      <c r="E168" s="25"/>
      <c r="F168" s="25"/>
      <c r="G168" s="25"/>
      <c r="H168" s="25"/>
      <c r="I168" s="25"/>
      <c r="J168" s="25"/>
      <c r="K168" s="25"/>
      <c r="L168" s="25"/>
      <c r="M168" s="25"/>
      <c r="N168" s="25"/>
      <c r="O168" s="25"/>
      <c r="P168" s="25"/>
      <c r="Q168" s="25"/>
      <c r="R168" s="25"/>
      <c r="S168" s="25"/>
      <c r="T168" s="25"/>
      <c r="U168" s="25"/>
      <c r="V168" s="61"/>
      <c r="W168" s="25"/>
      <c r="X168" s="5"/>
    </row>
    <row r="169" spans="1:24" ht="15.6" x14ac:dyDescent="0.3">
      <c r="A169" s="2"/>
      <c r="B169" s="4"/>
      <c r="C169" s="4"/>
      <c r="D169" s="4"/>
      <c r="E169" s="4"/>
      <c r="F169" s="4"/>
      <c r="G169" s="4"/>
      <c r="H169" s="4"/>
      <c r="I169" s="4"/>
      <c r="J169" s="4"/>
      <c r="K169" s="4"/>
      <c r="L169" s="4"/>
      <c r="M169" s="4"/>
      <c r="N169" s="4"/>
      <c r="O169" s="4"/>
      <c r="P169" s="4"/>
      <c r="Q169" s="4"/>
      <c r="R169" s="4"/>
      <c r="S169" s="4"/>
      <c r="T169" s="4"/>
      <c r="U169" s="4"/>
      <c r="V169" s="50"/>
      <c r="W169" s="4"/>
      <c r="X169" s="5"/>
    </row>
    <row r="170" spans="1:24" ht="15.6" x14ac:dyDescent="0.3">
      <c r="A170" s="6"/>
      <c r="B170" s="119" t="s">
        <v>57</v>
      </c>
      <c r="C170" s="8"/>
      <c r="D170" s="8"/>
      <c r="E170" s="8"/>
      <c r="F170" s="8"/>
      <c r="G170" s="8"/>
      <c r="H170" s="8"/>
      <c r="I170" s="8"/>
      <c r="J170" s="8"/>
      <c r="K170" s="8"/>
      <c r="L170" s="8"/>
      <c r="M170" s="8"/>
      <c r="N170" s="8"/>
      <c r="O170" s="8"/>
      <c r="P170" s="8"/>
      <c r="Q170" s="8"/>
      <c r="R170" s="8"/>
      <c r="S170" s="8"/>
      <c r="T170" s="8"/>
      <c r="U170" s="8"/>
      <c r="V170" s="52"/>
      <c r="W170" s="8"/>
      <c r="X170" s="5"/>
    </row>
    <row r="171" spans="1:24" ht="15.6" x14ac:dyDescent="0.3">
      <c r="A171" s="6"/>
      <c r="B171" s="21"/>
      <c r="C171" s="8"/>
      <c r="D171" s="8"/>
      <c r="E171" s="8"/>
      <c r="F171" s="8"/>
      <c r="G171" s="8"/>
      <c r="H171" s="8"/>
      <c r="I171" s="8"/>
      <c r="J171" s="8"/>
      <c r="K171" s="8"/>
      <c r="L171" s="8"/>
      <c r="M171" s="8"/>
      <c r="N171" s="8"/>
      <c r="O171" s="8"/>
      <c r="P171" s="8"/>
      <c r="Q171" s="8"/>
      <c r="R171" s="8"/>
      <c r="S171" s="8"/>
      <c r="T171" s="8"/>
      <c r="U171" s="8"/>
      <c r="V171" s="52"/>
      <c r="W171" s="8"/>
      <c r="X171" s="5"/>
    </row>
    <row r="172" spans="1:24" ht="15.6" x14ac:dyDescent="0.3">
      <c r="A172" s="24"/>
      <c r="B172" s="25" t="s">
        <v>58</v>
      </c>
      <c r="C172" s="25"/>
      <c r="D172" s="25"/>
      <c r="E172" s="25"/>
      <c r="F172" s="25"/>
      <c r="G172" s="25"/>
      <c r="H172" s="25"/>
      <c r="I172" s="25"/>
      <c r="J172" s="25"/>
      <c r="K172" s="25"/>
      <c r="L172" s="25"/>
      <c r="M172" s="25"/>
      <c r="N172" s="25"/>
      <c r="O172" s="25"/>
      <c r="P172" s="25"/>
      <c r="Q172" s="25"/>
      <c r="R172" s="25"/>
      <c r="S172" s="25"/>
      <c r="T172" s="25"/>
      <c r="U172" s="25"/>
      <c r="V172" s="53">
        <f>V72</f>
        <v>1372734</v>
      </c>
      <c r="W172" s="25"/>
      <c r="X172" s="5"/>
    </row>
    <row r="173" spans="1:24" ht="15.6" x14ac:dyDescent="0.3">
      <c r="A173" s="24"/>
      <c r="B173" s="25" t="s">
        <v>59</v>
      </c>
      <c r="C173" s="25"/>
      <c r="D173" s="25"/>
      <c r="E173" s="25"/>
      <c r="F173" s="25"/>
      <c r="G173" s="25"/>
      <c r="H173" s="25"/>
      <c r="I173" s="25"/>
      <c r="J173" s="25"/>
      <c r="K173" s="25"/>
      <c r="L173" s="25"/>
      <c r="M173" s="25"/>
      <c r="N173" s="25"/>
      <c r="O173" s="25"/>
      <c r="P173" s="25"/>
      <c r="Q173" s="25"/>
      <c r="R173" s="25"/>
      <c r="S173" s="25"/>
      <c r="T173" s="25"/>
      <c r="U173" s="25"/>
      <c r="V173" s="53">
        <f>V85</f>
        <v>1372734</v>
      </c>
      <c r="W173" s="25"/>
      <c r="X173" s="5"/>
    </row>
    <row r="174" spans="1:24" ht="16.2" thickBot="1" x14ac:dyDescent="0.35">
      <c r="A174" s="24"/>
      <c r="B174" s="25"/>
      <c r="C174" s="25"/>
      <c r="D174" s="25"/>
      <c r="E174" s="25"/>
      <c r="F174" s="25"/>
      <c r="G174" s="25"/>
      <c r="H174" s="25"/>
      <c r="I174" s="25"/>
      <c r="J174" s="25"/>
      <c r="K174" s="25"/>
      <c r="L174" s="25"/>
      <c r="M174" s="25"/>
      <c r="N174" s="25"/>
      <c r="O174" s="25"/>
      <c r="P174" s="25"/>
      <c r="Q174" s="25"/>
      <c r="R174" s="25"/>
      <c r="S174" s="25"/>
      <c r="T174" s="25"/>
      <c r="U174" s="25"/>
      <c r="V174" s="61"/>
      <c r="W174" s="25"/>
      <c r="X174" s="5"/>
    </row>
    <row r="175" spans="1:24" ht="15.6" x14ac:dyDescent="0.3">
      <c r="A175" s="2"/>
      <c r="B175" s="4"/>
      <c r="C175" s="4"/>
      <c r="D175" s="4"/>
      <c r="E175" s="4"/>
      <c r="F175" s="4"/>
      <c r="G175" s="4"/>
      <c r="H175" s="4"/>
      <c r="I175" s="4"/>
      <c r="J175" s="4"/>
      <c r="K175" s="4"/>
      <c r="L175" s="4"/>
      <c r="M175" s="4"/>
      <c r="N175" s="4"/>
      <c r="O175" s="4"/>
      <c r="P175" s="4"/>
      <c r="Q175" s="4"/>
      <c r="R175" s="4"/>
      <c r="S175" s="4"/>
      <c r="T175" s="4"/>
      <c r="U175" s="4"/>
      <c r="V175" s="50"/>
      <c r="W175" s="4"/>
      <c r="X175" s="5"/>
    </row>
    <row r="176" spans="1:24" ht="15.6" x14ac:dyDescent="0.3">
      <c r="A176" s="6"/>
      <c r="B176" s="119" t="s">
        <v>60</v>
      </c>
      <c r="C176" s="117"/>
      <c r="D176" s="117"/>
      <c r="E176" s="117"/>
      <c r="F176" s="117"/>
      <c r="G176" s="117"/>
      <c r="H176" s="120"/>
      <c r="I176" s="120"/>
      <c r="J176" s="120"/>
      <c r="K176" s="120"/>
      <c r="L176" s="120"/>
      <c r="M176" s="120"/>
      <c r="N176" s="120"/>
      <c r="O176" s="120"/>
      <c r="P176" s="120"/>
      <c r="Q176" s="120"/>
      <c r="R176" s="120"/>
      <c r="S176" s="120" t="s">
        <v>103</v>
      </c>
      <c r="T176" s="120" t="s">
        <v>182</v>
      </c>
      <c r="U176" s="111"/>
      <c r="V176" s="121" t="s">
        <v>119</v>
      </c>
      <c r="W176" s="10"/>
      <c r="X176" s="5"/>
    </row>
    <row r="177" spans="1:24" ht="15.6" x14ac:dyDescent="0.3">
      <c r="A177" s="24"/>
      <c r="B177" s="25" t="s">
        <v>61</v>
      </c>
      <c r="C177" s="25"/>
      <c r="D177" s="25"/>
      <c r="E177" s="25"/>
      <c r="F177" s="25"/>
      <c r="G177" s="25"/>
      <c r="H177" s="25"/>
      <c r="I177" s="25"/>
      <c r="J177" s="25"/>
      <c r="K177" s="25"/>
      <c r="L177" s="25"/>
      <c r="M177" s="25"/>
      <c r="N177" s="25"/>
      <c r="O177" s="25"/>
      <c r="P177" s="25"/>
      <c r="Q177" s="25"/>
      <c r="R177" s="25"/>
      <c r="S177" s="53">
        <f>+V34*0.16</f>
        <v>240032.80000000002</v>
      </c>
      <c r="T177" s="40"/>
      <c r="U177" s="25"/>
      <c r="V177" s="53"/>
      <c r="W177" s="25"/>
      <c r="X177" s="5"/>
    </row>
    <row r="178" spans="1:24" ht="15.6" x14ac:dyDescent="0.3">
      <c r="A178" s="24"/>
      <c r="B178" s="25" t="s">
        <v>62</v>
      </c>
      <c r="C178" s="25"/>
      <c r="D178" s="25"/>
      <c r="E178" s="25"/>
      <c r="F178" s="25"/>
      <c r="G178" s="25"/>
      <c r="H178" s="25"/>
      <c r="I178" s="25"/>
      <c r="J178" s="25"/>
      <c r="K178" s="25"/>
      <c r="L178" s="25"/>
      <c r="M178" s="25"/>
      <c r="N178" s="25"/>
      <c r="O178" s="25"/>
      <c r="P178" s="25"/>
      <c r="Q178" s="25"/>
      <c r="R178" s="25"/>
      <c r="S178" s="53">
        <f>'July 07'!S180</f>
        <v>23289</v>
      </c>
      <c r="T178" s="53">
        <f>'July 07'!T180</f>
        <v>5276</v>
      </c>
      <c r="U178" s="25"/>
      <c r="V178" s="53">
        <f>S178+T178</f>
        <v>28565</v>
      </c>
      <c r="W178" s="25"/>
      <c r="X178" s="5"/>
    </row>
    <row r="179" spans="1:24" ht="15.6" x14ac:dyDescent="0.3">
      <c r="A179" s="24"/>
      <c r="B179" s="25" t="s">
        <v>63</v>
      </c>
      <c r="C179" s="25"/>
      <c r="D179" s="25"/>
      <c r="E179" s="25"/>
      <c r="F179" s="25"/>
      <c r="G179" s="25"/>
      <c r="H179" s="25"/>
      <c r="I179" s="25"/>
      <c r="J179" s="25"/>
      <c r="K179" s="25"/>
      <c r="L179" s="25"/>
      <c r="M179" s="25"/>
      <c r="N179" s="25"/>
      <c r="O179" s="25"/>
      <c r="P179" s="25"/>
      <c r="Q179" s="25"/>
      <c r="R179" s="25"/>
      <c r="S179" s="34">
        <v>5716</v>
      </c>
      <c r="T179" s="34">
        <v>15</v>
      </c>
      <c r="U179" s="25"/>
      <c r="V179" s="53">
        <f>S179+T179</f>
        <v>5731</v>
      </c>
      <c r="W179" s="25"/>
      <c r="X179" s="5"/>
    </row>
    <row r="180" spans="1:24" ht="15.6" x14ac:dyDescent="0.3">
      <c r="A180" s="24"/>
      <c r="B180" s="25" t="s">
        <v>64</v>
      </c>
      <c r="C180" s="25"/>
      <c r="D180" s="25"/>
      <c r="E180" s="25"/>
      <c r="F180" s="25"/>
      <c r="G180" s="25"/>
      <c r="H180" s="25"/>
      <c r="I180" s="25"/>
      <c r="J180" s="25"/>
      <c r="K180" s="25"/>
      <c r="L180" s="25"/>
      <c r="M180" s="25"/>
      <c r="N180" s="25"/>
      <c r="O180" s="25"/>
      <c r="P180" s="25"/>
      <c r="Q180" s="25"/>
      <c r="R180" s="25"/>
      <c r="S180" s="53">
        <f>S178+S179</f>
        <v>29005</v>
      </c>
      <c r="T180" s="53">
        <f>T179+T178</f>
        <v>5291</v>
      </c>
      <c r="U180" s="25"/>
      <c r="V180" s="53">
        <f>S180+T180</f>
        <v>34296</v>
      </c>
      <c r="W180" s="25"/>
      <c r="X180" s="5"/>
    </row>
    <row r="181" spans="1:24" ht="15.6" x14ac:dyDescent="0.3">
      <c r="A181" s="24"/>
      <c r="B181" s="25" t="s">
        <v>65</v>
      </c>
      <c r="C181" s="25"/>
      <c r="D181" s="25"/>
      <c r="E181" s="25"/>
      <c r="F181" s="25"/>
      <c r="G181" s="25"/>
      <c r="H181" s="25"/>
      <c r="I181" s="25"/>
      <c r="J181" s="25"/>
      <c r="K181" s="25"/>
      <c r="L181" s="25"/>
      <c r="M181" s="25"/>
      <c r="N181" s="25"/>
      <c r="O181" s="25"/>
      <c r="P181" s="25"/>
      <c r="Q181" s="25"/>
      <c r="R181" s="25"/>
      <c r="S181" s="53">
        <f>S177-S180-T180</f>
        <v>205736.80000000002</v>
      </c>
      <c r="T181" s="40"/>
      <c r="U181" s="25"/>
      <c r="V181" s="53"/>
      <c r="W181" s="25"/>
      <c r="X181" s="5"/>
    </row>
    <row r="182" spans="1:24" ht="16.2" thickBot="1" x14ac:dyDescent="0.35">
      <c r="A182" s="24"/>
      <c r="B182" s="25"/>
      <c r="C182" s="25"/>
      <c r="D182" s="25"/>
      <c r="E182" s="25"/>
      <c r="F182" s="25"/>
      <c r="G182" s="25"/>
      <c r="H182" s="25"/>
      <c r="I182" s="25"/>
      <c r="J182" s="25"/>
      <c r="K182" s="25"/>
      <c r="L182" s="25"/>
      <c r="M182" s="25"/>
      <c r="N182" s="25"/>
      <c r="O182" s="25"/>
      <c r="P182" s="25"/>
      <c r="Q182" s="25"/>
      <c r="R182" s="25"/>
      <c r="S182" s="25"/>
      <c r="T182" s="25"/>
      <c r="U182" s="25"/>
      <c r="V182" s="61"/>
      <c r="W182" s="25"/>
      <c r="X182" s="5"/>
    </row>
    <row r="183" spans="1:24" ht="15.6" x14ac:dyDescent="0.3">
      <c r="A183" s="2"/>
      <c r="B183" s="4"/>
      <c r="C183" s="4"/>
      <c r="D183" s="4"/>
      <c r="E183" s="4"/>
      <c r="F183" s="4"/>
      <c r="G183" s="4"/>
      <c r="H183" s="4"/>
      <c r="I183" s="4"/>
      <c r="J183" s="4"/>
      <c r="K183" s="4"/>
      <c r="L183" s="4"/>
      <c r="M183" s="4"/>
      <c r="N183" s="4"/>
      <c r="O183" s="4"/>
      <c r="P183" s="4"/>
      <c r="Q183" s="4"/>
      <c r="R183" s="4"/>
      <c r="S183" s="4"/>
      <c r="T183" s="4"/>
      <c r="U183" s="4"/>
      <c r="V183" s="50"/>
      <c r="W183" s="4"/>
      <c r="X183" s="5"/>
    </row>
    <row r="184" spans="1:24" ht="15.6" x14ac:dyDescent="0.3">
      <c r="A184" s="6"/>
      <c r="B184" s="119" t="s">
        <v>66</v>
      </c>
      <c r="C184" s="8"/>
      <c r="D184" s="8"/>
      <c r="E184" s="8"/>
      <c r="F184" s="8"/>
      <c r="G184" s="8"/>
      <c r="H184" s="8"/>
      <c r="I184" s="8"/>
      <c r="J184" s="8"/>
      <c r="K184" s="8"/>
      <c r="L184" s="8"/>
      <c r="M184" s="8"/>
      <c r="N184" s="8"/>
      <c r="O184" s="8"/>
      <c r="P184" s="8"/>
      <c r="Q184" s="8"/>
      <c r="R184" s="8"/>
      <c r="S184" s="8"/>
      <c r="T184" s="8"/>
      <c r="U184" s="8"/>
      <c r="V184" s="65"/>
      <c r="W184" s="8"/>
      <c r="X184" s="5"/>
    </row>
    <row r="185" spans="1:24" ht="15.6" x14ac:dyDescent="0.3">
      <c r="A185" s="24"/>
      <c r="B185" s="25" t="s">
        <v>67</v>
      </c>
      <c r="C185" s="25"/>
      <c r="D185" s="25"/>
      <c r="E185" s="25"/>
      <c r="F185" s="25"/>
      <c r="G185" s="25"/>
      <c r="H185" s="25"/>
      <c r="I185" s="25"/>
      <c r="J185" s="25"/>
      <c r="K185" s="25"/>
      <c r="L185" s="25"/>
      <c r="M185" s="25"/>
      <c r="N185" s="25"/>
      <c r="O185" s="25"/>
      <c r="P185" s="25"/>
      <c r="Q185" s="25"/>
      <c r="R185" s="25"/>
      <c r="S185" s="25"/>
      <c r="T185" s="25"/>
      <c r="U185" s="25"/>
      <c r="V185" s="59">
        <f>(V100+V102+V103+V104+V105)/-(V106+V107)</f>
        <v>1.4099897013388261</v>
      </c>
      <c r="W185" s="25" t="s">
        <v>120</v>
      </c>
      <c r="X185" s="5"/>
    </row>
    <row r="186" spans="1:24" ht="15.6" x14ac:dyDescent="0.3">
      <c r="A186" s="24"/>
      <c r="B186" s="25" t="s">
        <v>68</v>
      </c>
      <c r="C186" s="25"/>
      <c r="D186" s="25"/>
      <c r="E186" s="25"/>
      <c r="F186" s="25"/>
      <c r="G186" s="25"/>
      <c r="H186" s="25"/>
      <c r="I186" s="25"/>
      <c r="J186" s="25"/>
      <c r="K186" s="25"/>
      <c r="L186" s="25"/>
      <c r="M186" s="25"/>
      <c r="N186" s="25"/>
      <c r="O186" s="25"/>
      <c r="P186" s="25"/>
      <c r="Q186" s="25"/>
      <c r="R186" s="25"/>
      <c r="S186" s="25"/>
      <c r="T186" s="25"/>
      <c r="U186" s="25"/>
      <c r="V186" s="66">
        <v>1.41</v>
      </c>
      <c r="W186" s="25" t="s">
        <v>120</v>
      </c>
      <c r="X186" s="5"/>
    </row>
    <row r="187" spans="1:24" ht="15.6" x14ac:dyDescent="0.3">
      <c r="A187" s="24"/>
      <c r="B187" s="25" t="s">
        <v>69</v>
      </c>
      <c r="C187" s="25"/>
      <c r="D187" s="25"/>
      <c r="E187" s="25"/>
      <c r="F187" s="25"/>
      <c r="G187" s="25"/>
      <c r="H187" s="25"/>
      <c r="I187" s="25"/>
      <c r="J187" s="25"/>
      <c r="K187" s="25"/>
      <c r="L187" s="25"/>
      <c r="M187" s="25"/>
      <c r="N187" s="25"/>
      <c r="O187" s="25"/>
      <c r="P187" s="25"/>
      <c r="Q187" s="25"/>
      <c r="R187" s="25"/>
      <c r="S187" s="25"/>
      <c r="T187" s="25"/>
      <c r="U187" s="25"/>
      <c r="V187" s="59">
        <f>(V100+V102+V103+V104+V105+V106+V107)/-(V108+V109)</f>
        <v>4.2532051282051286</v>
      </c>
      <c r="W187" s="25" t="s">
        <v>120</v>
      </c>
      <c r="X187" s="5"/>
    </row>
    <row r="188" spans="1:24" ht="15.6" x14ac:dyDescent="0.3">
      <c r="A188" s="24"/>
      <c r="B188" s="25" t="s">
        <v>70</v>
      </c>
      <c r="C188" s="25"/>
      <c r="D188" s="25"/>
      <c r="E188" s="25"/>
      <c r="F188" s="25"/>
      <c r="G188" s="25"/>
      <c r="H188" s="25"/>
      <c r="I188" s="25"/>
      <c r="J188" s="25"/>
      <c r="K188" s="25"/>
      <c r="L188" s="25"/>
      <c r="M188" s="25"/>
      <c r="N188" s="25"/>
      <c r="O188" s="25"/>
      <c r="P188" s="25"/>
      <c r="Q188" s="25"/>
      <c r="R188" s="25"/>
      <c r="S188" s="25"/>
      <c r="T188" s="25"/>
      <c r="U188" s="25"/>
      <c r="V188" s="66">
        <v>4.4400000000000004</v>
      </c>
      <c r="W188" s="25" t="s">
        <v>120</v>
      </c>
      <c r="X188" s="5"/>
    </row>
    <row r="189" spans="1:24" ht="15.6" x14ac:dyDescent="0.3">
      <c r="A189" s="24"/>
      <c r="B189" s="25" t="s">
        <v>204</v>
      </c>
      <c r="C189" s="25"/>
      <c r="D189" s="25"/>
      <c r="E189" s="25"/>
      <c r="F189" s="25"/>
      <c r="G189" s="25"/>
      <c r="H189" s="25"/>
      <c r="I189" s="25"/>
      <c r="J189" s="25"/>
      <c r="K189" s="25"/>
      <c r="L189" s="25"/>
      <c r="M189" s="25"/>
      <c r="N189" s="25"/>
      <c r="O189" s="25"/>
      <c r="P189" s="25"/>
      <c r="Q189" s="25"/>
      <c r="R189" s="25"/>
      <c r="S189" s="25"/>
      <c r="T189" s="25"/>
      <c r="U189" s="25"/>
      <c r="V189" s="59">
        <f>(V100+V102+V103+V104+V105+V106+V107+V108+V109)/-(V110+V111)</f>
        <v>3.9063502245028863</v>
      </c>
      <c r="W189" s="25" t="s">
        <v>120</v>
      </c>
      <c r="X189" s="5"/>
    </row>
    <row r="190" spans="1:24" ht="15.6" x14ac:dyDescent="0.3">
      <c r="A190" s="24"/>
      <c r="B190" s="25" t="s">
        <v>205</v>
      </c>
      <c r="C190" s="25"/>
      <c r="D190" s="25"/>
      <c r="E190" s="25"/>
      <c r="F190" s="25"/>
      <c r="G190" s="25"/>
      <c r="H190" s="25"/>
      <c r="I190" s="25"/>
      <c r="J190" s="25"/>
      <c r="K190" s="25"/>
      <c r="L190" s="25"/>
      <c r="M190" s="25"/>
      <c r="N190" s="25"/>
      <c r="O190" s="25"/>
      <c r="P190" s="25"/>
      <c r="Q190" s="25"/>
      <c r="R190" s="25"/>
      <c r="S190" s="25"/>
      <c r="T190" s="25"/>
      <c r="U190" s="25"/>
      <c r="V190" s="66">
        <v>4.0999999999999996</v>
      </c>
      <c r="W190" s="25" t="s">
        <v>120</v>
      </c>
      <c r="X190" s="5"/>
    </row>
    <row r="191" spans="1:24" ht="15.6" x14ac:dyDescent="0.3">
      <c r="A191" s="24"/>
      <c r="B191" s="25"/>
      <c r="C191" s="25"/>
      <c r="D191" s="25"/>
      <c r="E191" s="25"/>
      <c r="F191" s="25"/>
      <c r="G191" s="25"/>
      <c r="H191" s="25"/>
      <c r="I191" s="25"/>
      <c r="J191" s="25"/>
      <c r="K191" s="25"/>
      <c r="L191" s="25"/>
      <c r="M191" s="25"/>
      <c r="N191" s="25"/>
      <c r="O191" s="25"/>
      <c r="P191" s="25"/>
      <c r="Q191" s="25"/>
      <c r="R191" s="25"/>
      <c r="S191" s="25"/>
      <c r="T191" s="25"/>
      <c r="U191" s="25"/>
      <c r="V191" s="25"/>
      <c r="W191" s="25"/>
      <c r="X191" s="5"/>
    </row>
    <row r="192" spans="1:24"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25"/>
      <c r="W192" s="25"/>
      <c r="X192" s="5"/>
    </row>
    <row r="193" spans="1:24" ht="15.6" x14ac:dyDescent="0.3">
      <c r="A193" s="6"/>
      <c r="B193" s="8"/>
      <c r="C193" s="8"/>
      <c r="D193" s="8"/>
      <c r="E193" s="8"/>
      <c r="F193" s="8"/>
      <c r="G193" s="8"/>
      <c r="H193" s="8"/>
      <c r="I193" s="8"/>
      <c r="J193" s="8"/>
      <c r="K193" s="8"/>
      <c r="L193" s="8"/>
      <c r="M193" s="8"/>
      <c r="N193" s="8"/>
      <c r="O193" s="8"/>
      <c r="P193" s="8"/>
      <c r="Q193" s="8"/>
      <c r="R193" s="8"/>
      <c r="S193" s="8"/>
      <c r="T193" s="8"/>
      <c r="U193" s="8"/>
      <c r="V193" s="8"/>
      <c r="W193" s="8"/>
      <c r="X193" s="5"/>
    </row>
    <row r="194" spans="1:24" ht="18" thickBot="1" x14ac:dyDescent="0.35">
      <c r="A194" s="101"/>
      <c r="B194" s="102" t="str">
        <f>B135</f>
        <v>PM12 INVESTOR REPORT QUARTER ENDING OCTOBER 2007</v>
      </c>
      <c r="C194" s="165"/>
      <c r="D194" s="165"/>
      <c r="E194" s="165"/>
      <c r="F194" s="165"/>
      <c r="G194" s="165"/>
      <c r="H194" s="165"/>
      <c r="I194" s="165"/>
      <c r="J194" s="165"/>
      <c r="K194" s="165"/>
      <c r="L194" s="165"/>
      <c r="M194" s="165"/>
      <c r="N194" s="165"/>
      <c r="O194" s="165"/>
      <c r="P194" s="165"/>
      <c r="Q194" s="165"/>
      <c r="R194" s="165"/>
      <c r="S194" s="165"/>
      <c r="T194" s="165"/>
      <c r="U194" s="165"/>
      <c r="V194" s="165"/>
      <c r="W194" s="166"/>
      <c r="X194" s="5"/>
    </row>
    <row r="195" spans="1:24" ht="15.6" x14ac:dyDescent="0.3">
      <c r="A195" s="67"/>
      <c r="B195" s="60" t="s">
        <v>71</v>
      </c>
      <c r="C195" s="68"/>
      <c r="D195" s="68"/>
      <c r="E195" s="68"/>
      <c r="F195" s="68"/>
      <c r="G195" s="69"/>
      <c r="H195" s="69"/>
      <c r="I195" s="69"/>
      <c r="J195" s="69"/>
      <c r="K195" s="69"/>
      <c r="L195" s="69"/>
      <c r="M195" s="69"/>
      <c r="N195" s="69"/>
      <c r="O195" s="69"/>
      <c r="P195" s="69"/>
      <c r="Q195" s="69"/>
      <c r="R195" s="69"/>
      <c r="S195" s="69"/>
      <c r="T195" s="70">
        <v>39386</v>
      </c>
      <c r="U195" s="4"/>
      <c r="V195" s="4"/>
      <c r="W195" s="4"/>
      <c r="X195" s="5"/>
    </row>
    <row r="196" spans="1:24" ht="15.6" x14ac:dyDescent="0.3">
      <c r="A196" s="71"/>
      <c r="B196" s="72"/>
      <c r="C196" s="73"/>
      <c r="D196" s="73"/>
      <c r="E196" s="73"/>
      <c r="F196" s="73"/>
      <c r="G196" s="74"/>
      <c r="H196" s="74"/>
      <c r="I196" s="74"/>
      <c r="J196" s="74"/>
      <c r="K196" s="74"/>
      <c r="L196" s="74"/>
      <c r="M196" s="74"/>
      <c r="N196" s="74"/>
      <c r="O196" s="74"/>
      <c r="P196" s="74"/>
      <c r="Q196" s="74"/>
      <c r="R196" s="74"/>
      <c r="S196" s="74"/>
      <c r="T196" s="74"/>
      <c r="U196" s="8"/>
      <c r="V196" s="8"/>
      <c r="W196" s="8"/>
      <c r="X196" s="5"/>
    </row>
    <row r="197" spans="1:24" ht="15.6" x14ac:dyDescent="0.3">
      <c r="A197" s="75"/>
      <c r="B197" s="76" t="s">
        <v>72</v>
      </c>
      <c r="C197" s="77"/>
      <c r="D197" s="77"/>
      <c r="E197" s="77"/>
      <c r="F197" s="77"/>
      <c r="G197" s="64"/>
      <c r="H197" s="64"/>
      <c r="I197" s="64"/>
      <c r="J197" s="64"/>
      <c r="K197" s="64"/>
      <c r="L197" s="64"/>
      <c r="M197" s="64"/>
      <c r="N197" s="64"/>
      <c r="O197" s="64"/>
      <c r="P197" s="64"/>
      <c r="Q197" s="64"/>
      <c r="R197" s="64"/>
      <c r="S197" s="64"/>
      <c r="T197" s="78">
        <v>5.2060000000000002E-2</v>
      </c>
      <c r="U197" s="25"/>
      <c r="V197" s="25"/>
      <c r="W197" s="25"/>
      <c r="X197" s="5"/>
    </row>
    <row r="198" spans="1:24" ht="15.6" x14ac:dyDescent="0.3">
      <c r="A198" s="75"/>
      <c r="B198" s="76" t="s">
        <v>156</v>
      </c>
      <c r="C198" s="77"/>
      <c r="D198" s="77"/>
      <c r="E198" s="77"/>
      <c r="F198" s="77"/>
      <c r="G198" s="64"/>
      <c r="H198" s="64"/>
      <c r="I198" s="64"/>
      <c r="J198" s="64"/>
      <c r="K198" s="64"/>
      <c r="L198" s="64"/>
      <c r="M198" s="64"/>
      <c r="N198" s="64"/>
      <c r="O198" s="64"/>
      <c r="P198" s="64"/>
      <c r="Q198" s="64"/>
      <c r="R198" s="64"/>
      <c r="S198" s="64"/>
      <c r="T198" s="39">
        <f>'Oct 06'!T197</f>
        <v>4.8538814772447772E-2</v>
      </c>
      <c r="U198" s="25"/>
      <c r="V198" s="25"/>
      <c r="W198" s="25"/>
      <c r="X198" s="5"/>
    </row>
    <row r="199" spans="1:24" ht="15.6" x14ac:dyDescent="0.3">
      <c r="A199" s="75"/>
      <c r="B199" s="76" t="s">
        <v>73</v>
      </c>
      <c r="C199" s="77"/>
      <c r="D199" s="77"/>
      <c r="E199" s="77"/>
      <c r="F199" s="77"/>
      <c r="G199" s="64"/>
      <c r="H199" s="64"/>
      <c r="I199" s="64"/>
      <c r="J199" s="64"/>
      <c r="K199" s="64"/>
      <c r="L199" s="64"/>
      <c r="M199" s="64"/>
      <c r="N199" s="64"/>
      <c r="O199" s="64"/>
      <c r="P199" s="64"/>
      <c r="Q199" s="64"/>
      <c r="R199" s="64"/>
      <c r="S199" s="64"/>
      <c r="T199" s="78">
        <f>T197-T198</f>
        <v>3.5211852275522301E-3</v>
      </c>
      <c r="U199" s="25"/>
      <c r="V199" s="25"/>
      <c r="W199" s="25"/>
      <c r="X199" s="5"/>
    </row>
    <row r="200" spans="1:24" ht="15.6" x14ac:dyDescent="0.3">
      <c r="A200" s="75"/>
      <c r="B200" s="76" t="s">
        <v>74</v>
      </c>
      <c r="C200" s="77"/>
      <c r="D200" s="77"/>
      <c r="E200" s="77"/>
      <c r="F200" s="77"/>
      <c r="G200" s="64"/>
      <c r="H200" s="64"/>
      <c r="I200" s="64"/>
      <c r="J200" s="64"/>
      <c r="K200" s="64"/>
      <c r="L200" s="64"/>
      <c r="M200" s="64"/>
      <c r="N200" s="64"/>
      <c r="O200" s="64"/>
      <c r="P200" s="64"/>
      <c r="Q200" s="64"/>
      <c r="R200" s="64"/>
      <c r="S200" s="64"/>
      <c r="T200" s="78">
        <v>5.484E-2</v>
      </c>
      <c r="U200" s="25"/>
      <c r="V200" s="25"/>
      <c r="W200" s="25"/>
      <c r="X200" s="5"/>
    </row>
    <row r="201" spans="1:24" ht="15.6" x14ac:dyDescent="0.3">
      <c r="A201" s="75"/>
      <c r="B201" s="76" t="s">
        <v>225</v>
      </c>
      <c r="C201" s="77"/>
      <c r="D201" s="77"/>
      <c r="E201" s="77"/>
      <c r="F201" s="77"/>
      <c r="G201" s="64"/>
      <c r="H201" s="64"/>
      <c r="I201" s="64"/>
      <c r="J201" s="64"/>
      <c r="K201" s="64"/>
      <c r="L201" s="64"/>
      <c r="M201" s="64"/>
      <c r="N201" s="64"/>
      <c r="O201" s="64"/>
      <c r="P201" s="64"/>
      <c r="Q201" s="64"/>
      <c r="R201" s="64"/>
      <c r="S201" s="64"/>
      <c r="T201" s="78">
        <f>V43</f>
        <v>6.481785475342966E-2</v>
      </c>
      <c r="U201" s="25"/>
      <c r="V201" s="25"/>
      <c r="W201" s="25"/>
      <c r="X201" s="5"/>
    </row>
    <row r="202" spans="1:24" ht="15.6" x14ac:dyDescent="0.3">
      <c r="A202" s="75"/>
      <c r="B202" s="76" t="s">
        <v>75</v>
      </c>
      <c r="C202" s="77"/>
      <c r="D202" s="77"/>
      <c r="E202" s="77"/>
      <c r="F202" s="77"/>
      <c r="G202" s="64"/>
      <c r="H202" s="64"/>
      <c r="I202" s="64"/>
      <c r="J202" s="64"/>
      <c r="K202" s="64"/>
      <c r="L202" s="64"/>
      <c r="M202" s="64"/>
      <c r="N202" s="64"/>
      <c r="O202" s="64"/>
      <c r="P202" s="64"/>
      <c r="Q202" s="64"/>
      <c r="R202" s="64"/>
      <c r="S202" s="64"/>
      <c r="T202" s="78">
        <f>T200-T201</f>
        <v>-9.9778547534296602E-3</v>
      </c>
      <c r="U202" s="25"/>
      <c r="V202" s="25"/>
      <c r="W202" s="25"/>
      <c r="X202" s="5"/>
    </row>
    <row r="203" spans="1:24" ht="15.6" x14ac:dyDescent="0.3">
      <c r="A203" s="75"/>
      <c r="B203" s="76" t="s">
        <v>271</v>
      </c>
      <c r="C203" s="77"/>
      <c r="D203" s="77"/>
      <c r="E203" s="77"/>
      <c r="F203" s="77"/>
      <c r="G203" s="64"/>
      <c r="H203" s="64"/>
      <c r="I203" s="64"/>
      <c r="J203" s="64"/>
      <c r="K203" s="64"/>
      <c r="L203" s="64"/>
      <c r="M203" s="64"/>
      <c r="N203" s="64"/>
      <c r="O203" s="64"/>
      <c r="P203" s="64"/>
      <c r="Q203" s="64"/>
      <c r="R203" s="64"/>
      <c r="S203" s="64"/>
      <c r="T203" s="78">
        <f>+V100/N72</f>
        <v>1.9973061354053023E-2</v>
      </c>
      <c r="U203" s="25"/>
      <c r="V203" s="25"/>
      <c r="W203" s="25"/>
      <c r="X203" s="5"/>
    </row>
    <row r="204" spans="1:24" ht="15.6" x14ac:dyDescent="0.3">
      <c r="A204" s="75"/>
      <c r="B204" s="76" t="s">
        <v>214</v>
      </c>
      <c r="C204" s="77"/>
      <c r="D204" s="77"/>
      <c r="E204" s="77"/>
      <c r="F204" s="77"/>
      <c r="G204" s="64"/>
      <c r="H204" s="64"/>
      <c r="I204" s="64"/>
      <c r="J204" s="64"/>
      <c r="K204" s="64"/>
      <c r="L204" s="64"/>
      <c r="M204" s="64"/>
      <c r="N204" s="64"/>
      <c r="O204" s="64"/>
      <c r="P204" s="64"/>
      <c r="Q204" s="64"/>
      <c r="R204" s="64"/>
      <c r="S204" s="64"/>
      <c r="T204" s="129">
        <v>50710</v>
      </c>
      <c r="U204" s="25"/>
      <c r="V204" s="25"/>
      <c r="W204" s="25"/>
      <c r="X204" s="5"/>
    </row>
    <row r="205" spans="1:24" ht="15.6" x14ac:dyDescent="0.3">
      <c r="A205" s="75"/>
      <c r="B205" s="76" t="s">
        <v>215</v>
      </c>
      <c r="C205" s="77"/>
      <c r="D205" s="77"/>
      <c r="E205" s="77"/>
      <c r="F205" s="77"/>
      <c r="G205" s="64"/>
      <c r="H205" s="64"/>
      <c r="I205" s="64"/>
      <c r="J205" s="64"/>
      <c r="K205" s="64"/>
      <c r="L205" s="64"/>
      <c r="M205" s="64"/>
      <c r="N205" s="64"/>
      <c r="O205" s="64"/>
      <c r="P205" s="64"/>
      <c r="Q205" s="64"/>
      <c r="R205" s="64"/>
      <c r="S205" s="64"/>
      <c r="T205" s="129">
        <v>50710</v>
      </c>
      <c r="U205" s="25"/>
      <c r="V205" s="25"/>
      <c r="W205" s="25"/>
      <c r="X205" s="5"/>
    </row>
    <row r="206" spans="1:24" ht="15.6" x14ac:dyDescent="0.3">
      <c r="A206" s="75"/>
      <c r="B206" s="76" t="s">
        <v>216</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76</v>
      </c>
      <c r="C207" s="77"/>
      <c r="D207" s="77"/>
      <c r="E207" s="77"/>
      <c r="F207" s="77"/>
      <c r="G207" s="64"/>
      <c r="H207" s="64"/>
      <c r="I207" s="64"/>
      <c r="J207" s="64"/>
      <c r="K207" s="64"/>
      <c r="L207" s="64"/>
      <c r="M207" s="64"/>
      <c r="N207" s="64"/>
      <c r="O207" s="64"/>
      <c r="P207" s="64"/>
      <c r="Q207" s="64"/>
      <c r="R207" s="64"/>
      <c r="S207" s="64"/>
      <c r="T207" s="133">
        <v>21.06</v>
      </c>
      <c r="U207" s="25" t="s">
        <v>115</v>
      </c>
      <c r="V207" s="25"/>
      <c r="W207" s="25"/>
      <c r="X207" s="5"/>
    </row>
    <row r="208" spans="1:24" ht="15.6" x14ac:dyDescent="0.3">
      <c r="A208" s="75"/>
      <c r="B208" s="76" t="s">
        <v>77</v>
      </c>
      <c r="C208" s="77"/>
      <c r="D208" s="77"/>
      <c r="E208" s="77"/>
      <c r="F208" s="77"/>
      <c r="G208" s="64"/>
      <c r="H208" s="64"/>
      <c r="I208" s="64"/>
      <c r="J208" s="64"/>
      <c r="K208" s="64"/>
      <c r="L208" s="64"/>
      <c r="M208" s="64"/>
      <c r="N208" s="64"/>
      <c r="O208" s="64"/>
      <c r="P208" s="64"/>
      <c r="Q208" s="64"/>
      <c r="R208" s="64"/>
      <c r="S208" s="64"/>
      <c r="T208" s="133">
        <v>19.91</v>
      </c>
      <c r="U208" s="25" t="s">
        <v>115</v>
      </c>
      <c r="V208" s="25"/>
      <c r="W208" s="25"/>
      <c r="X208" s="5"/>
    </row>
    <row r="209" spans="1:24" ht="15.6" x14ac:dyDescent="0.3">
      <c r="A209" s="75"/>
      <c r="B209" s="76" t="s">
        <v>78</v>
      </c>
      <c r="C209" s="77"/>
      <c r="D209" s="77"/>
      <c r="E209" s="77"/>
      <c r="F209" s="77"/>
      <c r="G209" s="64"/>
      <c r="H209" s="64"/>
      <c r="I209" s="64"/>
      <c r="J209" s="64"/>
      <c r="K209" s="64"/>
      <c r="L209" s="64"/>
      <c r="M209" s="64"/>
      <c r="N209" s="64"/>
      <c r="O209" s="64"/>
      <c r="P209" s="64"/>
      <c r="Q209" s="64"/>
      <c r="R209" s="64"/>
      <c r="S209" s="64"/>
      <c r="T209" s="78">
        <f>+P69/N69</f>
        <v>2.2710536814004666E-2</v>
      </c>
      <c r="U209" s="25"/>
      <c r="V209" s="25"/>
      <c r="W209" s="25"/>
      <c r="X209" s="5"/>
    </row>
    <row r="210" spans="1:24" ht="15.6" x14ac:dyDescent="0.3">
      <c r="A210" s="75"/>
      <c r="B210" s="76" t="s">
        <v>79</v>
      </c>
      <c r="C210" s="77"/>
      <c r="D210" s="77"/>
      <c r="E210" s="77"/>
      <c r="F210" s="77"/>
      <c r="G210" s="64"/>
      <c r="H210" s="64"/>
      <c r="I210" s="64"/>
      <c r="J210" s="64"/>
      <c r="K210" s="64"/>
      <c r="L210" s="64"/>
      <c r="M210" s="64"/>
      <c r="N210" s="64"/>
      <c r="O210" s="64"/>
      <c r="P210" s="64"/>
      <c r="Q210" s="64"/>
      <c r="R210" s="64"/>
      <c r="S210" s="64"/>
      <c r="T210" s="78">
        <v>8.4500000000000006E-2</v>
      </c>
      <c r="U210" s="25"/>
      <c r="V210" s="25"/>
      <c r="W210" s="25"/>
      <c r="X210" s="5"/>
    </row>
    <row r="211" spans="1:24" ht="15.6" x14ac:dyDescent="0.3">
      <c r="A211" s="75"/>
      <c r="B211" s="76"/>
      <c r="C211" s="76"/>
      <c r="D211" s="76"/>
      <c r="E211" s="76"/>
      <c r="F211" s="76"/>
      <c r="G211" s="25"/>
      <c r="H211" s="25"/>
      <c r="I211" s="25"/>
      <c r="J211" s="25"/>
      <c r="K211" s="25"/>
      <c r="L211" s="25"/>
      <c r="M211" s="25"/>
      <c r="N211" s="25"/>
      <c r="O211" s="25"/>
      <c r="P211" s="25"/>
      <c r="Q211" s="25"/>
      <c r="R211" s="25"/>
      <c r="S211" s="25"/>
      <c r="T211" s="61"/>
      <c r="U211" s="25"/>
      <c r="V211" s="79"/>
      <c r="W211" s="25"/>
      <c r="X211" s="5"/>
    </row>
    <row r="212" spans="1:24" ht="15.6" x14ac:dyDescent="0.3">
      <c r="A212" s="80"/>
      <c r="B212" s="14" t="s">
        <v>80</v>
      </c>
      <c r="C212" s="81"/>
      <c r="D212" s="81"/>
      <c r="E212" s="81"/>
      <c r="F212" s="82"/>
      <c r="G212" s="81"/>
      <c r="H212" s="17"/>
      <c r="I212" s="17"/>
      <c r="J212" s="17"/>
      <c r="K212" s="17"/>
      <c r="L212" s="17"/>
      <c r="M212" s="17"/>
      <c r="N212" s="17"/>
      <c r="O212" s="17"/>
      <c r="P212" s="17"/>
      <c r="Q212" s="17"/>
      <c r="R212" s="17"/>
      <c r="S212" s="17" t="s">
        <v>104</v>
      </c>
      <c r="T212" s="83" t="s">
        <v>111</v>
      </c>
      <c r="U212" s="8"/>
      <c r="V212" s="8"/>
      <c r="W212" s="8"/>
      <c r="X212" s="5"/>
    </row>
    <row r="213" spans="1:24" ht="15.6" x14ac:dyDescent="0.3">
      <c r="A213" s="84"/>
      <c r="B213" s="76" t="s">
        <v>81</v>
      </c>
      <c r="C213" s="54"/>
      <c r="D213" s="54"/>
      <c r="E213" s="54"/>
      <c r="F213" s="25"/>
      <c r="G213" s="25"/>
      <c r="H213" s="30"/>
      <c r="I213" s="30"/>
      <c r="J213" s="30"/>
      <c r="K213" s="30"/>
      <c r="L213" s="30"/>
      <c r="M213" s="30"/>
      <c r="N213" s="30"/>
      <c r="O213" s="30"/>
      <c r="P213" s="30"/>
      <c r="Q213" s="30"/>
      <c r="R213" s="30"/>
      <c r="S213" s="30">
        <v>1</v>
      </c>
      <c r="T213" s="85">
        <v>106</v>
      </c>
      <c r="U213" s="25"/>
      <c r="V213" s="79"/>
      <c r="W213" s="86"/>
      <c r="X213" s="5"/>
    </row>
    <row r="214" spans="1:24" ht="15.6" x14ac:dyDescent="0.3">
      <c r="A214" s="84"/>
      <c r="B214" s="76" t="s">
        <v>150</v>
      </c>
      <c r="C214" s="54"/>
      <c r="D214" s="54"/>
      <c r="E214" s="54"/>
      <c r="F214" s="25"/>
      <c r="G214" s="25"/>
      <c r="H214" s="30"/>
      <c r="I214" s="30"/>
      <c r="J214" s="30"/>
      <c r="K214" s="30"/>
      <c r="L214" s="30"/>
      <c r="M214" s="30"/>
      <c r="N214" s="30"/>
      <c r="O214" s="30"/>
      <c r="P214" s="30"/>
      <c r="Q214" s="30"/>
      <c r="R214" s="30"/>
      <c r="S214" s="152">
        <f>+R254</f>
        <v>15</v>
      </c>
      <c r="T214" s="85">
        <f>+T254</f>
        <v>2560</v>
      </c>
      <c r="U214" s="25"/>
      <c r="V214" s="79"/>
      <c r="W214" s="86"/>
      <c r="X214" s="5"/>
    </row>
    <row r="215" spans="1:24" ht="15.6" x14ac:dyDescent="0.3">
      <c r="A215" s="84"/>
      <c r="B215" s="76" t="s">
        <v>82</v>
      </c>
      <c r="C215" s="54"/>
      <c r="D215" s="54"/>
      <c r="E215" s="54"/>
      <c r="F215" s="25"/>
      <c r="G215" s="25"/>
      <c r="H215" s="30"/>
      <c r="I215" s="30"/>
      <c r="J215" s="30"/>
      <c r="K215" s="30"/>
      <c r="L215" s="30"/>
      <c r="M215" s="30"/>
      <c r="N215" s="30"/>
      <c r="O215" s="30"/>
      <c r="P215" s="30"/>
      <c r="Q215" s="30"/>
      <c r="R215" s="30"/>
      <c r="S215" s="30">
        <v>0</v>
      </c>
      <c r="T215" s="85">
        <v>0</v>
      </c>
      <c r="U215" s="25"/>
      <c r="V215" s="79"/>
      <c r="W215" s="86"/>
      <c r="X215" s="5"/>
    </row>
    <row r="216" spans="1:24" ht="15.6" x14ac:dyDescent="0.3">
      <c r="A216" s="84"/>
      <c r="B216" s="122" t="s">
        <v>83</v>
      </c>
      <c r="C216" s="54"/>
      <c r="D216" s="54"/>
      <c r="E216" s="54"/>
      <c r="F216" s="25"/>
      <c r="G216" s="25"/>
      <c r="H216" s="25"/>
      <c r="I216" s="25"/>
      <c r="J216" s="25"/>
      <c r="K216" s="25"/>
      <c r="L216" s="25"/>
      <c r="M216" s="25"/>
      <c r="N216" s="25"/>
      <c r="O216" s="25"/>
      <c r="P216" s="25"/>
      <c r="Q216" s="25"/>
      <c r="R216" s="25"/>
      <c r="S216" s="25"/>
      <c r="T216" s="85">
        <v>0</v>
      </c>
      <c r="U216" s="25"/>
      <c r="V216" s="79"/>
      <c r="W216" s="86"/>
      <c r="X216" s="5"/>
    </row>
    <row r="217" spans="1:24" ht="15.6" x14ac:dyDescent="0.3">
      <c r="A217" s="84"/>
      <c r="B217" s="122" t="s">
        <v>84</v>
      </c>
      <c r="C217" s="54"/>
      <c r="D217" s="54"/>
      <c r="E217" s="54"/>
      <c r="F217" s="25"/>
      <c r="G217" s="25"/>
      <c r="H217" s="25"/>
      <c r="I217" s="25"/>
      <c r="J217" s="25"/>
      <c r="K217" s="25"/>
      <c r="L217" s="25"/>
      <c r="M217" s="25"/>
      <c r="N217" s="25"/>
      <c r="O217" s="25"/>
      <c r="P217" s="25"/>
      <c r="Q217" s="25"/>
      <c r="R217" s="25"/>
      <c r="S217" s="25"/>
      <c r="T217" s="62" t="s">
        <v>112</v>
      </c>
      <c r="U217" s="25"/>
      <c r="V217" s="79"/>
      <c r="W217" s="86"/>
      <c r="X217" s="5"/>
    </row>
    <row r="218" spans="1:24" ht="15.6" x14ac:dyDescent="0.3">
      <c r="A218" s="87"/>
      <c r="B218" s="122" t="s">
        <v>85</v>
      </c>
      <c r="C218" s="76"/>
      <c r="D218" s="76"/>
      <c r="E218" s="76"/>
      <c r="F218" s="76"/>
      <c r="G218" s="25"/>
      <c r="H218" s="25"/>
      <c r="I218" s="25"/>
      <c r="J218" s="25"/>
      <c r="K218" s="25"/>
      <c r="L218" s="25"/>
      <c r="M218" s="25"/>
      <c r="N218" s="25"/>
      <c r="O218" s="25"/>
      <c r="P218" s="25"/>
      <c r="Q218" s="25"/>
      <c r="R218" s="25"/>
      <c r="S218" s="25"/>
      <c r="T218" s="85"/>
      <c r="U218" s="25"/>
      <c r="V218" s="79"/>
      <c r="W218" s="88"/>
      <c r="X218" s="5"/>
    </row>
    <row r="219" spans="1:24" ht="15.6" x14ac:dyDescent="0.3">
      <c r="A219" s="87"/>
      <c r="B219" s="131" t="s">
        <v>86</v>
      </c>
      <c r="C219" s="76"/>
      <c r="D219" s="76"/>
      <c r="E219" s="76"/>
      <c r="F219" s="76"/>
      <c r="G219" s="25"/>
      <c r="H219" s="25"/>
      <c r="I219" s="25"/>
      <c r="J219" s="25"/>
      <c r="K219" s="25"/>
      <c r="L219" s="25"/>
      <c r="M219" s="25"/>
      <c r="N219" s="25"/>
      <c r="O219" s="25"/>
      <c r="P219" s="25"/>
      <c r="Q219" s="25"/>
      <c r="R219" s="25"/>
      <c r="S219" s="30"/>
      <c r="T219" s="85">
        <f>+V164</f>
        <v>62</v>
      </c>
      <c r="U219" s="25"/>
      <c r="V219" s="79"/>
      <c r="W219" s="88"/>
      <c r="X219" s="5"/>
    </row>
    <row r="220" spans="1:24" ht="15.6" x14ac:dyDescent="0.3">
      <c r="A220" s="84"/>
      <c r="B220" s="76" t="s">
        <v>87</v>
      </c>
      <c r="C220" s="54"/>
      <c r="D220" s="54"/>
      <c r="E220" s="54"/>
      <c r="F220" s="54"/>
      <c r="G220" s="25"/>
      <c r="H220" s="25"/>
      <c r="I220" s="25"/>
      <c r="J220" s="25"/>
      <c r="K220" s="25"/>
      <c r="L220" s="25"/>
      <c r="M220" s="25"/>
      <c r="N220" s="25"/>
      <c r="O220" s="25"/>
      <c r="P220" s="25"/>
      <c r="Q220" s="25"/>
      <c r="R220" s="25"/>
      <c r="S220" s="30"/>
      <c r="T220" s="85">
        <f>'July 07'!T220+'Oct 07'!T219</f>
        <v>82</v>
      </c>
      <c r="U220" s="25"/>
      <c r="V220" s="79"/>
      <c r="W220" s="88"/>
      <c r="X220" s="5"/>
    </row>
    <row r="221" spans="1:24" ht="15.6" x14ac:dyDescent="0.3">
      <c r="A221" s="87"/>
      <c r="B221" s="122" t="s">
        <v>292</v>
      </c>
      <c r="C221" s="76"/>
      <c r="D221" s="76"/>
      <c r="E221" s="76"/>
      <c r="F221" s="76"/>
      <c r="G221" s="25"/>
      <c r="H221" s="25"/>
      <c r="I221" s="25"/>
      <c r="J221" s="25"/>
      <c r="K221" s="25"/>
      <c r="L221" s="25"/>
      <c r="M221" s="25"/>
      <c r="N221" s="25"/>
      <c r="O221" s="25"/>
      <c r="P221" s="25"/>
      <c r="Q221" s="25"/>
      <c r="R221" s="25"/>
      <c r="S221" s="30"/>
      <c r="T221" s="85"/>
      <c r="U221" s="25"/>
      <c r="V221" s="79"/>
      <c r="W221" s="88"/>
      <c r="X221" s="5"/>
    </row>
    <row r="222" spans="1:24" ht="15.6" x14ac:dyDescent="0.3">
      <c r="A222" s="87"/>
      <c r="B222" s="76" t="s">
        <v>290</v>
      </c>
      <c r="C222" s="76"/>
      <c r="D222" s="76"/>
      <c r="E222" s="76"/>
      <c r="F222" s="76"/>
      <c r="G222" s="25"/>
      <c r="H222" s="25"/>
      <c r="I222" s="25"/>
      <c r="J222" s="25"/>
      <c r="K222" s="25"/>
      <c r="L222" s="25"/>
      <c r="M222" s="25"/>
      <c r="N222" s="25"/>
      <c r="O222" s="25"/>
      <c r="P222" s="25"/>
      <c r="Q222" s="25"/>
      <c r="R222" s="25"/>
      <c r="S222" s="30">
        <v>0</v>
      </c>
      <c r="T222" s="85">
        <v>0</v>
      </c>
      <c r="U222" s="25"/>
      <c r="V222" s="79"/>
      <c r="W222" s="88"/>
      <c r="X222" s="5"/>
    </row>
    <row r="223" spans="1:24" ht="15.6" x14ac:dyDescent="0.3">
      <c r="A223" s="84"/>
      <c r="B223" s="76" t="s">
        <v>88</v>
      </c>
      <c r="C223" s="89"/>
      <c r="D223" s="89"/>
      <c r="E223" s="89"/>
      <c r="F223" s="90"/>
      <c r="G223" s="25"/>
      <c r="H223" s="25"/>
      <c r="I223" s="25"/>
      <c r="J223" s="25"/>
      <c r="K223" s="25"/>
      <c r="L223" s="25"/>
      <c r="M223" s="25"/>
      <c r="N223" s="25"/>
      <c r="O223" s="25"/>
      <c r="P223" s="25"/>
      <c r="Q223" s="25"/>
      <c r="R223" s="25"/>
      <c r="S223" s="25"/>
      <c r="T223" s="62">
        <v>0</v>
      </c>
      <c r="U223" s="25"/>
      <c r="V223" s="79"/>
      <c r="W223" s="88"/>
      <c r="X223" s="5"/>
    </row>
    <row r="224" spans="1:24" ht="15.6" x14ac:dyDescent="0.3">
      <c r="A224" s="84"/>
      <c r="B224" s="76" t="s">
        <v>89</v>
      </c>
      <c r="C224" s="89"/>
      <c r="D224" s="89"/>
      <c r="E224" s="89"/>
      <c r="F224" s="90"/>
      <c r="G224" s="25"/>
      <c r="H224" s="25"/>
      <c r="I224" s="25"/>
      <c r="J224" s="25"/>
      <c r="K224" s="25"/>
      <c r="L224" s="25"/>
      <c r="M224" s="25"/>
      <c r="N224" s="25"/>
      <c r="O224" s="25"/>
      <c r="P224" s="25"/>
      <c r="Q224" s="25"/>
      <c r="R224" s="25"/>
      <c r="S224" s="25"/>
      <c r="T224" s="62">
        <v>0</v>
      </c>
      <c r="U224" s="25"/>
      <c r="V224" s="79"/>
      <c r="W224" s="88"/>
      <c r="X224" s="5"/>
    </row>
    <row r="225" spans="1:25" ht="15.6" x14ac:dyDescent="0.3">
      <c r="A225" s="84"/>
      <c r="B225" s="122" t="s">
        <v>223</v>
      </c>
      <c r="C225" s="89"/>
      <c r="D225" s="89"/>
      <c r="E225" s="89"/>
      <c r="F225" s="90"/>
      <c r="G225" s="25"/>
      <c r="H225" s="25"/>
      <c r="I225" s="25"/>
      <c r="J225" s="25"/>
      <c r="K225" s="25"/>
      <c r="L225" s="25"/>
      <c r="M225" s="25"/>
      <c r="N225" s="25"/>
      <c r="O225" s="25"/>
      <c r="P225" s="25"/>
      <c r="Q225" s="25"/>
      <c r="R225" s="25"/>
      <c r="S225" s="25"/>
      <c r="T225" s="91"/>
      <c r="U225" s="25"/>
      <c r="V225" s="79"/>
      <c r="W225" s="88"/>
      <c r="X225" s="5"/>
    </row>
    <row r="226" spans="1:25" ht="15.6" x14ac:dyDescent="0.3">
      <c r="A226" s="84"/>
      <c r="B226" s="76" t="s">
        <v>290</v>
      </c>
      <c r="C226" s="89"/>
      <c r="D226" s="89"/>
      <c r="E226" s="89"/>
      <c r="F226" s="90"/>
      <c r="G226" s="25"/>
      <c r="H226" s="25"/>
      <c r="I226" s="25"/>
      <c r="J226" s="25"/>
      <c r="K226" s="25"/>
      <c r="L226" s="25"/>
      <c r="M226" s="25"/>
      <c r="N226" s="25"/>
      <c r="O226" s="25"/>
      <c r="P226" s="25"/>
      <c r="Q226" s="25"/>
      <c r="R226" s="25"/>
      <c r="S226" s="30">
        <v>4</v>
      </c>
      <c r="T226" s="85">
        <v>536</v>
      </c>
      <c r="U226" s="25"/>
      <c r="V226" s="79"/>
      <c r="W226" s="88"/>
      <c r="X226" s="5"/>
    </row>
    <row r="227" spans="1:25" ht="15.6" x14ac:dyDescent="0.3">
      <c r="A227" s="84"/>
      <c r="B227" s="76" t="s">
        <v>224</v>
      </c>
      <c r="C227" s="89"/>
      <c r="D227" s="89"/>
      <c r="E227" s="89"/>
      <c r="F227" s="90"/>
      <c r="G227" s="25"/>
      <c r="H227" s="25"/>
      <c r="I227" s="25"/>
      <c r="J227" s="25"/>
      <c r="K227" s="25"/>
      <c r="L227" s="25"/>
      <c r="M227" s="25"/>
      <c r="N227" s="25"/>
      <c r="O227" s="25"/>
      <c r="P227" s="25"/>
      <c r="Q227" s="25"/>
      <c r="R227" s="25"/>
      <c r="S227" s="25"/>
      <c r="T227" s="62">
        <v>4.8499999999999996</v>
      </c>
      <c r="U227" s="25"/>
      <c r="V227" s="79"/>
      <c r="W227" s="88"/>
      <c r="X227" s="5"/>
    </row>
    <row r="228" spans="1:25" ht="15.6" x14ac:dyDescent="0.3">
      <c r="A228" s="84"/>
      <c r="B228" s="76"/>
      <c r="C228" s="89"/>
      <c r="D228" s="89"/>
      <c r="E228" s="89"/>
      <c r="F228" s="90"/>
      <c r="G228" s="25"/>
      <c r="H228" s="25"/>
      <c r="I228" s="25"/>
      <c r="J228" s="25"/>
      <c r="K228" s="25"/>
      <c r="L228" s="25"/>
      <c r="M228" s="25"/>
      <c r="N228" s="25"/>
      <c r="O228" s="25"/>
      <c r="P228" s="25"/>
      <c r="Q228" s="25"/>
      <c r="R228" s="25"/>
      <c r="S228" s="25"/>
      <c r="T228" s="91"/>
      <c r="U228" s="25"/>
      <c r="V228" s="79"/>
      <c r="W228" s="88"/>
      <c r="X228" s="5"/>
    </row>
    <row r="229" spans="1:25" ht="15.6" x14ac:dyDescent="0.3">
      <c r="A229" s="84"/>
      <c r="B229" s="76"/>
      <c r="C229" s="89"/>
      <c r="D229" s="89"/>
      <c r="E229" s="89"/>
      <c r="F229" s="90"/>
      <c r="G229" s="25"/>
      <c r="H229" s="25"/>
      <c r="I229" s="25"/>
      <c r="J229" s="25"/>
      <c r="K229" s="25"/>
      <c r="L229" s="25"/>
      <c r="M229" s="25"/>
      <c r="N229" s="25"/>
      <c r="O229" s="25"/>
      <c r="P229" s="25"/>
      <c r="Q229" s="25"/>
      <c r="R229" s="25"/>
      <c r="S229" s="25"/>
      <c r="T229" s="91"/>
      <c r="U229" s="25"/>
      <c r="V229" s="79"/>
      <c r="W229" s="88"/>
      <c r="X229" s="5"/>
    </row>
    <row r="230" spans="1:25" ht="17.399999999999999" x14ac:dyDescent="0.3">
      <c r="A230" s="84"/>
      <c r="B230" s="149" t="s">
        <v>174</v>
      </c>
      <c r="C230" s="89"/>
      <c r="D230" s="89"/>
      <c r="E230" s="89"/>
      <c r="F230" s="90"/>
      <c r="G230" s="25"/>
      <c r="H230" s="25"/>
      <c r="I230" s="25"/>
      <c r="J230" s="25"/>
      <c r="K230" s="25"/>
      <c r="L230" s="25"/>
      <c r="M230" s="25"/>
      <c r="N230" s="25"/>
      <c r="O230" s="25"/>
      <c r="P230" s="150" t="s">
        <v>173</v>
      </c>
      <c r="Q230" s="25"/>
      <c r="R230" s="25"/>
      <c r="S230" s="25"/>
      <c r="T230" s="91"/>
      <c r="U230" s="25"/>
      <c r="V230" s="79"/>
      <c r="W230" s="88"/>
      <c r="X230" s="5"/>
    </row>
    <row r="231" spans="1:25" ht="15.6" x14ac:dyDescent="0.3">
      <c r="A231" s="84"/>
      <c r="B231" s="76"/>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5.6" x14ac:dyDescent="0.3">
      <c r="A232" s="6"/>
      <c r="B232" s="14" t="s">
        <v>167</v>
      </c>
      <c r="C232" s="81"/>
      <c r="D232" s="81"/>
      <c r="E232" s="81"/>
      <c r="F232" s="82"/>
      <c r="G232" s="81"/>
      <c r="H232" s="17"/>
      <c r="I232" s="17"/>
      <c r="J232" s="17"/>
      <c r="K232" s="17"/>
      <c r="L232" s="17"/>
      <c r="M232" s="17"/>
      <c r="N232" s="17"/>
      <c r="O232" s="17"/>
      <c r="P232" s="17"/>
      <c r="Q232" s="17"/>
      <c r="R232" s="83" t="s">
        <v>104</v>
      </c>
      <c r="S232" s="17" t="s">
        <v>105</v>
      </c>
      <c r="T232" s="83" t="s">
        <v>113</v>
      </c>
      <c r="U232" s="17" t="s">
        <v>105</v>
      </c>
      <c r="V232" s="8"/>
      <c r="W232" s="92"/>
      <c r="X232" s="5"/>
    </row>
    <row r="233" spans="1:25" ht="15.6" x14ac:dyDescent="0.3">
      <c r="A233" s="24"/>
      <c r="B233" s="54" t="s">
        <v>90</v>
      </c>
      <c r="C233" s="93"/>
      <c r="D233" s="93"/>
      <c r="E233" s="93"/>
      <c r="F233" s="25"/>
      <c r="G233" s="93"/>
      <c r="H233" s="93"/>
      <c r="I233" s="93"/>
      <c r="J233" s="93"/>
      <c r="K233" s="93"/>
      <c r="L233" s="93"/>
      <c r="M233" s="93"/>
      <c r="N233" s="93"/>
      <c r="O233" s="93"/>
      <c r="P233" s="93"/>
      <c r="Q233" s="93"/>
      <c r="R233" s="54">
        <v>10127</v>
      </c>
      <c r="S233" s="94">
        <f t="shared" ref="S233:S240" si="1">R233/$R$242</f>
        <v>0.99371994897458538</v>
      </c>
      <c r="T233" s="53">
        <v>1362068</v>
      </c>
      <c r="U233" s="132">
        <f t="shared" ref="U233:U240" si="2">T233/$T$242</f>
        <v>0.99408396305870639</v>
      </c>
      <c r="V233" s="79"/>
      <c r="W233" s="88"/>
      <c r="X233" s="5"/>
    </row>
    <row r="234" spans="1:25" ht="15.6" x14ac:dyDescent="0.3">
      <c r="A234" s="24"/>
      <c r="B234" s="54" t="s">
        <v>91</v>
      </c>
      <c r="C234" s="93"/>
      <c r="D234" s="93"/>
      <c r="E234" s="93"/>
      <c r="F234" s="25"/>
      <c r="G234" s="94"/>
      <c r="H234" s="93"/>
      <c r="I234" s="93"/>
      <c r="J234" s="93"/>
      <c r="K234" s="93"/>
      <c r="L234" s="93"/>
      <c r="M234" s="93"/>
      <c r="N234" s="93"/>
      <c r="O234" s="93"/>
      <c r="P234" s="93"/>
      <c r="Q234" s="93"/>
      <c r="R234" s="54">
        <v>55</v>
      </c>
      <c r="S234" s="94">
        <f t="shared" si="1"/>
        <v>5.3969188499656557E-3</v>
      </c>
      <c r="T234" s="53">
        <v>6859</v>
      </c>
      <c r="U234" s="132">
        <f t="shared" si="2"/>
        <v>5.0059335529648056E-3</v>
      </c>
      <c r="V234" s="79"/>
      <c r="W234" s="88"/>
      <c r="X234" s="5"/>
      <c r="Y234" s="109"/>
    </row>
    <row r="235" spans="1:25" ht="15.6" x14ac:dyDescent="0.3">
      <c r="A235" s="24"/>
      <c r="B235" s="54" t="s">
        <v>92</v>
      </c>
      <c r="C235" s="93"/>
      <c r="D235" s="93"/>
      <c r="E235" s="93"/>
      <c r="F235" s="25"/>
      <c r="G235" s="94"/>
      <c r="H235" s="93"/>
      <c r="I235" s="93"/>
      <c r="J235" s="93"/>
      <c r="K235" s="93"/>
      <c r="L235" s="93"/>
      <c r="M235" s="93"/>
      <c r="N235" s="93"/>
      <c r="O235" s="93"/>
      <c r="P235" s="93"/>
      <c r="Q235" s="93"/>
      <c r="R235" s="54">
        <v>4</v>
      </c>
      <c r="S235" s="94">
        <f t="shared" si="1"/>
        <v>3.9250318908841132E-4</v>
      </c>
      <c r="T235" s="53">
        <v>541</v>
      </c>
      <c r="U235" s="132">
        <f t="shared" si="2"/>
        <v>3.9484036334071438E-4</v>
      </c>
      <c r="V235" s="79"/>
      <c r="W235" s="88"/>
      <c r="X235" s="5"/>
    </row>
    <row r="236" spans="1:25" ht="15.6" x14ac:dyDescent="0.3">
      <c r="A236" s="24"/>
      <c r="B236" s="54" t="s">
        <v>161</v>
      </c>
      <c r="C236" s="93"/>
      <c r="D236" s="93"/>
      <c r="E236" s="93"/>
      <c r="F236" s="25"/>
      <c r="G236" s="94"/>
      <c r="H236" s="93"/>
      <c r="I236" s="93"/>
      <c r="J236" s="93"/>
      <c r="K236" s="93"/>
      <c r="L236" s="93"/>
      <c r="M236" s="93"/>
      <c r="N236" s="93"/>
      <c r="O236" s="93"/>
      <c r="P236" s="93"/>
      <c r="Q236" s="93"/>
      <c r="R236" s="54">
        <v>1</v>
      </c>
      <c r="S236" s="94">
        <f t="shared" si="1"/>
        <v>9.8125797272102829E-5</v>
      </c>
      <c r="T236" s="53">
        <v>113</v>
      </c>
      <c r="U236" s="132">
        <f t="shared" si="2"/>
        <v>8.2471277370611319E-5</v>
      </c>
      <c r="V236" s="79"/>
      <c r="W236" s="88"/>
      <c r="X236" s="5"/>
      <c r="Y236" s="109"/>
    </row>
    <row r="237" spans="1:25" ht="15.6" x14ac:dyDescent="0.3">
      <c r="A237" s="24"/>
      <c r="B237" s="54" t="s">
        <v>162</v>
      </c>
      <c r="C237" s="93"/>
      <c r="D237" s="93"/>
      <c r="E237" s="93"/>
      <c r="F237" s="25"/>
      <c r="G237" s="94"/>
      <c r="H237" s="93"/>
      <c r="I237" s="93"/>
      <c r="J237" s="93"/>
      <c r="K237" s="93"/>
      <c r="L237" s="93"/>
      <c r="M237" s="93"/>
      <c r="N237" s="93"/>
      <c r="O237" s="93"/>
      <c r="P237" s="93"/>
      <c r="Q237" s="93"/>
      <c r="R237" s="54">
        <v>3</v>
      </c>
      <c r="S237" s="94">
        <f t="shared" si="1"/>
        <v>2.9437739181630853E-4</v>
      </c>
      <c r="T237" s="53">
        <v>487</v>
      </c>
      <c r="U237" s="132">
        <f t="shared" si="2"/>
        <v>3.5542931043794438E-4</v>
      </c>
      <c r="V237" s="79"/>
      <c r="W237" s="88"/>
      <c r="X237" s="5"/>
    </row>
    <row r="238" spans="1:25" ht="15.6" x14ac:dyDescent="0.3">
      <c r="A238" s="24"/>
      <c r="B238" s="54" t="s">
        <v>163</v>
      </c>
      <c r="C238" s="93"/>
      <c r="D238" s="93"/>
      <c r="E238" s="93"/>
      <c r="F238" s="25"/>
      <c r="G238" s="94"/>
      <c r="H238" s="93"/>
      <c r="I238" s="93"/>
      <c r="J238" s="93"/>
      <c r="K238" s="93"/>
      <c r="L238" s="93"/>
      <c r="M238" s="93"/>
      <c r="N238" s="93"/>
      <c r="O238" s="93"/>
      <c r="P238" s="93"/>
      <c r="Q238" s="93"/>
      <c r="R238" s="54">
        <v>1</v>
      </c>
      <c r="S238" s="94">
        <f t="shared" si="1"/>
        <v>9.8125797272102829E-5</v>
      </c>
      <c r="T238" s="53">
        <v>106</v>
      </c>
      <c r="U238" s="132">
        <f t="shared" si="2"/>
        <v>7.7362437179511514E-5</v>
      </c>
      <c r="V238" s="79"/>
      <c r="W238" s="88"/>
      <c r="X238" s="5"/>
      <c r="Y238" s="109"/>
    </row>
    <row r="239" spans="1:25" ht="15.6" x14ac:dyDescent="0.3">
      <c r="A239" s="24"/>
      <c r="B239" s="54" t="s">
        <v>164</v>
      </c>
      <c r="C239" s="93"/>
      <c r="D239" s="93"/>
      <c r="E239" s="93"/>
      <c r="F239" s="25"/>
      <c r="G239" s="94"/>
      <c r="H239" s="93"/>
      <c r="I239" s="93"/>
      <c r="J239" s="93"/>
      <c r="K239" s="93"/>
      <c r="L239" s="93"/>
      <c r="M239" s="93"/>
      <c r="N239" s="93"/>
      <c r="O239" s="93"/>
      <c r="P239" s="93"/>
      <c r="Q239" s="93"/>
      <c r="R239" s="54">
        <v>0</v>
      </c>
      <c r="S239" s="94">
        <f t="shared" si="1"/>
        <v>0</v>
      </c>
      <c r="T239" s="53">
        <v>0</v>
      </c>
      <c r="U239" s="132">
        <f t="shared" si="2"/>
        <v>0</v>
      </c>
      <c r="V239" s="79"/>
      <c r="W239" s="88"/>
      <c r="X239" s="5"/>
    </row>
    <row r="240" spans="1:25" ht="15.6" x14ac:dyDescent="0.3">
      <c r="A240" s="24"/>
      <c r="B240" s="54" t="s">
        <v>165</v>
      </c>
      <c r="C240" s="93"/>
      <c r="D240" s="93"/>
      <c r="E240" s="93"/>
      <c r="F240" s="25"/>
      <c r="G240" s="94"/>
      <c r="H240" s="93"/>
      <c r="I240" s="93"/>
      <c r="J240" s="93"/>
      <c r="K240" s="93"/>
      <c r="L240" s="93"/>
      <c r="M240" s="93"/>
      <c r="N240" s="93"/>
      <c r="O240" s="93"/>
      <c r="P240" s="93"/>
      <c r="Q240" s="93"/>
      <c r="R240" s="54">
        <v>0</v>
      </c>
      <c r="S240" s="94">
        <f t="shared" si="1"/>
        <v>0</v>
      </c>
      <c r="T240" s="53">
        <v>0</v>
      </c>
      <c r="U240" s="132">
        <f t="shared" si="2"/>
        <v>0</v>
      </c>
      <c r="V240" s="79"/>
      <c r="W240" s="88"/>
      <c r="X240" s="5"/>
      <c r="Y240" s="109"/>
    </row>
    <row r="241" spans="1:24" ht="15.6" x14ac:dyDescent="0.3">
      <c r="A241" s="24"/>
      <c r="B241" s="54"/>
      <c r="C241" s="93"/>
      <c r="D241" s="93"/>
      <c r="E241" s="93"/>
      <c r="F241" s="25"/>
      <c r="G241" s="94"/>
      <c r="H241" s="93"/>
      <c r="I241" s="93"/>
      <c r="J241" s="93"/>
      <c r="K241" s="93"/>
      <c r="L241" s="93"/>
      <c r="M241" s="93"/>
      <c r="N241" s="93"/>
      <c r="O241" s="93"/>
      <c r="P241" s="93"/>
      <c r="Q241" s="93"/>
      <c r="R241" s="54"/>
      <c r="S241" s="94"/>
      <c r="T241" s="53"/>
      <c r="U241" s="132"/>
      <c r="V241" s="79"/>
      <c r="W241" s="88"/>
      <c r="X241" s="5"/>
    </row>
    <row r="242" spans="1:24" ht="15.6" x14ac:dyDescent="0.3">
      <c r="A242" s="24"/>
      <c r="B242" s="25" t="s">
        <v>119</v>
      </c>
      <c r="C242" s="25"/>
      <c r="D242" s="25"/>
      <c r="E242" s="25"/>
      <c r="F242" s="25"/>
      <c r="G242" s="25"/>
      <c r="H242" s="95"/>
      <c r="I242" s="95"/>
      <c r="J242" s="95"/>
      <c r="K242" s="95"/>
      <c r="L242" s="95"/>
      <c r="M242" s="95"/>
      <c r="N242" s="95"/>
      <c r="O242" s="95"/>
      <c r="P242" s="95"/>
      <c r="Q242" s="95"/>
      <c r="R242" s="34">
        <f>SUM(R233:R241)</f>
        <v>10191</v>
      </c>
      <c r="S242" s="132">
        <f>SUM(S233:S241)</f>
        <v>0.99999999999999989</v>
      </c>
      <c r="T242" s="53">
        <f>SUM(T233:T241)</f>
        <v>1370174</v>
      </c>
      <c r="U242" s="132">
        <f>SUM(U233:U241)</f>
        <v>1</v>
      </c>
      <c r="V242" s="25"/>
      <c r="W242" s="25"/>
      <c r="X242" s="5"/>
    </row>
    <row r="243" spans="1:24" ht="15.6" x14ac:dyDescent="0.3">
      <c r="A243" s="24"/>
      <c r="B243" s="25"/>
      <c r="C243" s="25"/>
      <c r="D243" s="25"/>
      <c r="E243" s="25"/>
      <c r="F243" s="25"/>
      <c r="G243" s="25"/>
      <c r="H243" s="95"/>
      <c r="I243" s="95"/>
      <c r="J243" s="95"/>
      <c r="K243" s="95"/>
      <c r="L243" s="95"/>
      <c r="M243" s="95"/>
      <c r="N243" s="95"/>
      <c r="O243" s="95"/>
      <c r="P243" s="95"/>
      <c r="Q243" s="95"/>
      <c r="R243" s="34"/>
      <c r="S243" s="132"/>
      <c r="T243" s="53"/>
      <c r="U243" s="132"/>
      <c r="V243" s="25"/>
      <c r="W243" s="25"/>
      <c r="X243" s="5"/>
    </row>
    <row r="244" spans="1:24" ht="15.6" x14ac:dyDescent="0.3">
      <c r="A244" s="141"/>
      <c r="B244" s="14" t="s">
        <v>168</v>
      </c>
      <c r="C244" s="81"/>
      <c r="D244" s="81"/>
      <c r="E244" s="81"/>
      <c r="F244" s="82"/>
      <c r="G244" s="81"/>
      <c r="H244" s="17"/>
      <c r="I244" s="17"/>
      <c r="J244" s="17"/>
      <c r="K244" s="17"/>
      <c r="L244" s="17"/>
      <c r="M244" s="17"/>
      <c r="N244" s="17"/>
      <c r="O244" s="17"/>
      <c r="P244" s="17"/>
      <c r="Q244" s="17"/>
      <c r="R244" s="83" t="s">
        <v>104</v>
      </c>
      <c r="S244" s="17" t="s">
        <v>105</v>
      </c>
      <c r="T244" s="83" t="s">
        <v>113</v>
      </c>
      <c r="U244" s="17" t="s">
        <v>105</v>
      </c>
      <c r="V244" s="139"/>
      <c r="W244" s="140"/>
      <c r="X244" s="5"/>
    </row>
    <row r="245" spans="1:24" ht="15.6" x14ac:dyDescent="0.3">
      <c r="A245" s="24"/>
      <c r="B245" s="54" t="s">
        <v>90</v>
      </c>
      <c r="C245" s="93"/>
      <c r="D245" s="93"/>
      <c r="E245" s="93"/>
      <c r="F245" s="25"/>
      <c r="G245" s="93"/>
      <c r="H245" s="93"/>
      <c r="I245" s="93"/>
      <c r="J245" s="93"/>
      <c r="K245" s="93"/>
      <c r="L245" s="93"/>
      <c r="M245" s="93"/>
      <c r="N245" s="93"/>
      <c r="O245" s="93"/>
      <c r="P245" s="93"/>
      <c r="Q245" s="93"/>
      <c r="R245" s="54">
        <v>1</v>
      </c>
      <c r="S245" s="94">
        <f t="shared" ref="S245:S252" si="3">R245/$R$254</f>
        <v>6.6666666666666666E-2</v>
      </c>
      <c r="T245" s="53">
        <v>65</v>
      </c>
      <c r="U245" s="132">
        <f t="shared" ref="U245:U252" si="4">T245/$T$254</f>
        <v>2.5390625E-2</v>
      </c>
      <c r="V245" s="25"/>
      <c r="W245" s="25"/>
      <c r="X245" s="5"/>
    </row>
    <row r="246" spans="1:24" ht="15.6" x14ac:dyDescent="0.3">
      <c r="A246" s="24"/>
      <c r="B246" s="54" t="s">
        <v>91</v>
      </c>
      <c r="C246" s="93"/>
      <c r="D246" s="93"/>
      <c r="E246" s="93"/>
      <c r="F246" s="25"/>
      <c r="G246" s="94"/>
      <c r="H246" s="93"/>
      <c r="I246" s="93"/>
      <c r="J246" s="93"/>
      <c r="K246" s="93"/>
      <c r="L246" s="93"/>
      <c r="M246" s="93"/>
      <c r="N246" s="93"/>
      <c r="O246" s="93"/>
      <c r="P246" s="93"/>
      <c r="Q246" s="93"/>
      <c r="R246" s="54">
        <v>2</v>
      </c>
      <c r="S246" s="94">
        <f t="shared" si="3"/>
        <v>0.13333333333333333</v>
      </c>
      <c r="T246" s="53">
        <v>294</v>
      </c>
      <c r="U246" s="132">
        <f t="shared" si="4"/>
        <v>0.11484374999999999</v>
      </c>
      <c r="V246" s="25"/>
      <c r="W246" s="25"/>
      <c r="X246" s="5"/>
    </row>
    <row r="247" spans="1:24" ht="15.6" x14ac:dyDescent="0.3">
      <c r="A247" s="24"/>
      <c r="B247" s="54" t="s">
        <v>92</v>
      </c>
      <c r="C247" s="93"/>
      <c r="D247" s="93"/>
      <c r="E247" s="93"/>
      <c r="F247" s="25"/>
      <c r="G247" s="94"/>
      <c r="H247" s="93"/>
      <c r="I247" s="93"/>
      <c r="J247" s="93"/>
      <c r="K247" s="93"/>
      <c r="L247" s="93"/>
      <c r="M247" s="93"/>
      <c r="N247" s="93"/>
      <c r="O247" s="93"/>
      <c r="P247" s="93"/>
      <c r="Q247" s="93"/>
      <c r="R247" s="54">
        <v>2</v>
      </c>
      <c r="S247" s="94">
        <f t="shared" si="3"/>
        <v>0.13333333333333333</v>
      </c>
      <c r="T247" s="53">
        <v>664</v>
      </c>
      <c r="U247" s="132">
        <f t="shared" si="4"/>
        <v>0.25937500000000002</v>
      </c>
      <c r="V247" s="25"/>
      <c r="W247" s="25"/>
      <c r="X247" s="5"/>
    </row>
    <row r="248" spans="1:24" ht="15.6" x14ac:dyDescent="0.3">
      <c r="A248" s="24"/>
      <c r="B248" s="54" t="s">
        <v>161</v>
      </c>
      <c r="C248" s="93"/>
      <c r="D248" s="93"/>
      <c r="E248" s="93"/>
      <c r="F248" s="25"/>
      <c r="G248" s="94"/>
      <c r="H248" s="93"/>
      <c r="I248" s="93"/>
      <c r="J248" s="93"/>
      <c r="K248" s="93"/>
      <c r="L248" s="93"/>
      <c r="M248" s="93"/>
      <c r="N248" s="93"/>
      <c r="O248" s="93"/>
      <c r="P248" s="93"/>
      <c r="Q248" s="93"/>
      <c r="R248" s="54">
        <v>2</v>
      </c>
      <c r="S248" s="94">
        <f t="shared" si="3"/>
        <v>0.13333333333333333</v>
      </c>
      <c r="T248" s="53">
        <v>293</v>
      </c>
      <c r="U248" s="132">
        <f t="shared" si="4"/>
        <v>0.114453125</v>
      </c>
      <c r="V248" s="25"/>
      <c r="W248" s="25"/>
      <c r="X248" s="5"/>
    </row>
    <row r="249" spans="1:24" ht="15.6" x14ac:dyDescent="0.3">
      <c r="A249" s="24"/>
      <c r="B249" s="54" t="s">
        <v>162</v>
      </c>
      <c r="C249" s="93"/>
      <c r="D249" s="93"/>
      <c r="E249" s="93"/>
      <c r="F249" s="25"/>
      <c r="G249" s="94"/>
      <c r="H249" s="93"/>
      <c r="I249" s="93"/>
      <c r="J249" s="93"/>
      <c r="K249" s="93"/>
      <c r="L249" s="93"/>
      <c r="M249" s="93"/>
      <c r="N249" s="93"/>
      <c r="O249" s="93"/>
      <c r="P249" s="93"/>
      <c r="Q249" s="93"/>
      <c r="R249" s="54">
        <v>1</v>
      </c>
      <c r="S249" s="94">
        <f t="shared" si="3"/>
        <v>6.6666666666666666E-2</v>
      </c>
      <c r="T249" s="53">
        <v>260</v>
      </c>
      <c r="U249" s="132">
        <f t="shared" si="4"/>
        <v>0.1015625</v>
      </c>
      <c r="V249" s="25"/>
      <c r="W249" s="25"/>
      <c r="X249" s="5"/>
    </row>
    <row r="250" spans="1:24" ht="15.6" x14ac:dyDescent="0.3">
      <c r="A250" s="24"/>
      <c r="B250" s="54" t="s">
        <v>163</v>
      </c>
      <c r="C250" s="93"/>
      <c r="D250" s="93"/>
      <c r="E250" s="93"/>
      <c r="F250" s="25"/>
      <c r="G250" s="94"/>
      <c r="H250" s="93"/>
      <c r="I250" s="93"/>
      <c r="J250" s="93"/>
      <c r="K250" s="93"/>
      <c r="L250" s="93"/>
      <c r="M250" s="93"/>
      <c r="N250" s="93"/>
      <c r="O250" s="93"/>
      <c r="P250" s="93"/>
      <c r="Q250" s="93"/>
      <c r="R250" s="54">
        <v>1</v>
      </c>
      <c r="S250" s="94">
        <f t="shared" si="3"/>
        <v>6.6666666666666666E-2</v>
      </c>
      <c r="T250" s="53">
        <v>166</v>
      </c>
      <c r="U250" s="132">
        <f t="shared" si="4"/>
        <v>6.4843750000000006E-2</v>
      </c>
      <c r="V250" s="25"/>
      <c r="W250" s="25"/>
      <c r="X250" s="5"/>
    </row>
    <row r="251" spans="1:24" ht="15.6" x14ac:dyDescent="0.3">
      <c r="A251" s="24"/>
      <c r="B251" s="54" t="s">
        <v>164</v>
      </c>
      <c r="C251" s="93"/>
      <c r="D251" s="93"/>
      <c r="E251" s="93"/>
      <c r="F251" s="25"/>
      <c r="G251" s="94"/>
      <c r="H251" s="93"/>
      <c r="I251" s="93"/>
      <c r="J251" s="93"/>
      <c r="K251" s="93"/>
      <c r="L251" s="93"/>
      <c r="M251" s="93"/>
      <c r="N251" s="93"/>
      <c r="O251" s="93"/>
      <c r="P251" s="93"/>
      <c r="Q251" s="93"/>
      <c r="R251" s="54">
        <v>4</v>
      </c>
      <c r="S251" s="94">
        <f t="shared" si="3"/>
        <v>0.26666666666666666</v>
      </c>
      <c r="T251" s="53">
        <v>460</v>
      </c>
      <c r="U251" s="132">
        <f t="shared" si="4"/>
        <v>0.1796875</v>
      </c>
      <c r="V251" s="25"/>
      <c r="W251" s="25"/>
      <c r="X251" s="5"/>
    </row>
    <row r="252" spans="1:24" ht="15.6" x14ac:dyDescent="0.3">
      <c r="A252" s="24"/>
      <c r="B252" s="54" t="s">
        <v>165</v>
      </c>
      <c r="C252" s="93"/>
      <c r="D252" s="93"/>
      <c r="E252" s="93"/>
      <c r="F252" s="25"/>
      <c r="G252" s="94"/>
      <c r="H252" s="93"/>
      <c r="I252" s="93"/>
      <c r="J252" s="93"/>
      <c r="K252" s="93"/>
      <c r="L252" s="93"/>
      <c r="M252" s="93"/>
      <c r="N252" s="93"/>
      <c r="O252" s="93"/>
      <c r="P252" s="93"/>
      <c r="Q252" s="93"/>
      <c r="R252" s="54">
        <v>2</v>
      </c>
      <c r="S252" s="94">
        <f t="shared" si="3"/>
        <v>0.13333333333333333</v>
      </c>
      <c r="T252" s="53">
        <v>358</v>
      </c>
      <c r="U252" s="132">
        <f t="shared" si="4"/>
        <v>0.13984374999999999</v>
      </c>
      <c r="V252" s="25"/>
      <c r="W252" s="25"/>
      <c r="X252" s="5"/>
    </row>
    <row r="253" spans="1:24" ht="15.6" x14ac:dyDescent="0.3">
      <c r="A253" s="24"/>
      <c r="B253" s="54"/>
      <c r="C253" s="93"/>
      <c r="D253" s="93"/>
      <c r="E253" s="93"/>
      <c r="F253" s="25"/>
      <c r="G253" s="94"/>
      <c r="H253" s="93"/>
      <c r="I253" s="93"/>
      <c r="J253" s="93"/>
      <c r="K253" s="93"/>
      <c r="L253" s="93"/>
      <c r="M253" s="93"/>
      <c r="N253" s="93"/>
      <c r="O253" s="93"/>
      <c r="P253" s="93"/>
      <c r="Q253" s="93"/>
      <c r="R253" s="54"/>
      <c r="S253" s="94"/>
      <c r="T253" s="53"/>
      <c r="U253" s="132"/>
      <c r="V253" s="25"/>
      <c r="W253" s="25"/>
      <c r="X253" s="5"/>
    </row>
    <row r="254" spans="1:24" ht="15.6" x14ac:dyDescent="0.3">
      <c r="A254" s="24"/>
      <c r="B254" s="25" t="s">
        <v>119</v>
      </c>
      <c r="C254" s="25"/>
      <c r="D254" s="25"/>
      <c r="E254" s="25"/>
      <c r="F254" s="25"/>
      <c r="G254" s="25"/>
      <c r="H254" s="95"/>
      <c r="I254" s="95"/>
      <c r="J254" s="95"/>
      <c r="K254" s="95"/>
      <c r="L254" s="95"/>
      <c r="M254" s="95"/>
      <c r="N254" s="95"/>
      <c r="O254" s="95"/>
      <c r="P254" s="95"/>
      <c r="Q254" s="95"/>
      <c r="R254" s="34">
        <f>SUM(R245:R253)</f>
        <v>15</v>
      </c>
      <c r="S254" s="132">
        <f>SUM(S245:S253)</f>
        <v>1</v>
      </c>
      <c r="T254" s="53">
        <f>SUM(T245:T253)</f>
        <v>2560</v>
      </c>
      <c r="U254" s="132">
        <f>SUM(U245:U253)</f>
        <v>1</v>
      </c>
      <c r="V254" s="25"/>
      <c r="W254" s="25"/>
      <c r="X254" s="5"/>
    </row>
    <row r="255" spans="1:24" ht="15.6" x14ac:dyDescent="0.3">
      <c r="A255" s="24"/>
      <c r="B255" s="25"/>
      <c r="C255" s="25"/>
      <c r="D255" s="25"/>
      <c r="E255" s="25"/>
      <c r="F255" s="25"/>
      <c r="G255" s="25"/>
      <c r="H255" s="95"/>
      <c r="I255" s="95"/>
      <c r="J255" s="95"/>
      <c r="K255" s="95"/>
      <c r="L255" s="95"/>
      <c r="M255" s="95"/>
      <c r="N255" s="95"/>
      <c r="O255" s="95"/>
      <c r="P255" s="95"/>
      <c r="Q255" s="95"/>
      <c r="R255" s="34"/>
      <c r="S255" s="132"/>
      <c r="T255" s="53"/>
      <c r="U255" s="132"/>
      <c r="V255" s="25"/>
      <c r="W255" s="25"/>
      <c r="X255" s="5"/>
    </row>
    <row r="256" spans="1:24" ht="15.6" x14ac:dyDescent="0.3">
      <c r="A256" s="141"/>
      <c r="B256" s="14" t="s">
        <v>169</v>
      </c>
      <c r="C256" s="139"/>
      <c r="D256" s="139"/>
      <c r="E256" s="139"/>
      <c r="F256" s="139"/>
      <c r="G256" s="139"/>
      <c r="H256" s="145"/>
      <c r="I256" s="145"/>
      <c r="J256" s="145"/>
      <c r="K256" s="145"/>
      <c r="L256" s="145"/>
      <c r="M256" s="145"/>
      <c r="N256" s="145"/>
      <c r="O256" s="145"/>
      <c r="P256" s="145"/>
      <c r="Q256" s="145"/>
      <c r="R256" s="83" t="s">
        <v>104</v>
      </c>
      <c r="S256" s="17" t="s">
        <v>105</v>
      </c>
      <c r="T256" s="83" t="s">
        <v>113</v>
      </c>
      <c r="U256" s="17" t="s">
        <v>105</v>
      </c>
      <c r="V256" s="139"/>
      <c r="W256" s="140"/>
      <c r="X256" s="5"/>
    </row>
    <row r="257" spans="1:24" ht="15.6" x14ac:dyDescent="0.3">
      <c r="A257" s="24"/>
      <c r="B257" s="54" t="s">
        <v>90</v>
      </c>
      <c r="C257" s="25"/>
      <c r="D257" s="25"/>
      <c r="E257" s="25"/>
      <c r="F257" s="25"/>
      <c r="G257" s="25"/>
      <c r="H257" s="95"/>
      <c r="I257" s="95"/>
      <c r="J257" s="95"/>
      <c r="K257" s="95"/>
      <c r="L257" s="95"/>
      <c r="M257" s="95"/>
      <c r="N257" s="95"/>
      <c r="O257" s="95"/>
      <c r="P257" s="95"/>
      <c r="Q257" s="95"/>
      <c r="R257" s="54">
        <v>0</v>
      </c>
      <c r="S257" s="94">
        <v>0</v>
      </c>
      <c r="T257" s="53">
        <v>0</v>
      </c>
      <c r="U257" s="132">
        <v>0</v>
      </c>
      <c r="V257" s="25"/>
      <c r="W257" s="25"/>
      <c r="X257" s="5"/>
    </row>
    <row r="258" spans="1:24" ht="15.6" x14ac:dyDescent="0.3">
      <c r="A258" s="24"/>
      <c r="B258" s="54" t="s">
        <v>91</v>
      </c>
      <c r="C258" s="25"/>
      <c r="D258" s="25"/>
      <c r="E258" s="25"/>
      <c r="F258" s="25"/>
      <c r="G258" s="25"/>
      <c r="H258" s="95"/>
      <c r="I258" s="95"/>
      <c r="J258" s="95"/>
      <c r="K258" s="95"/>
      <c r="L258" s="95"/>
      <c r="M258" s="95"/>
      <c r="N258" s="95"/>
      <c r="O258" s="95"/>
      <c r="P258" s="95"/>
      <c r="Q258" s="95"/>
      <c r="R258" s="54">
        <v>0</v>
      </c>
      <c r="S258" s="94">
        <v>0</v>
      </c>
      <c r="T258" s="53">
        <v>0</v>
      </c>
      <c r="U258" s="132">
        <v>0</v>
      </c>
      <c r="V258" s="25"/>
      <c r="W258" s="25"/>
      <c r="X258" s="5"/>
    </row>
    <row r="259" spans="1:24" ht="15.6" x14ac:dyDescent="0.3">
      <c r="A259" s="24"/>
      <c r="B259" s="54" t="s">
        <v>92</v>
      </c>
      <c r="C259" s="25"/>
      <c r="D259" s="25"/>
      <c r="E259" s="25"/>
      <c r="F259" s="25"/>
      <c r="G259" s="25"/>
      <c r="H259" s="95"/>
      <c r="I259" s="95"/>
      <c r="J259" s="95"/>
      <c r="K259" s="95"/>
      <c r="L259" s="95"/>
      <c r="M259" s="95"/>
      <c r="N259" s="95"/>
      <c r="O259" s="95"/>
      <c r="P259" s="95"/>
      <c r="Q259" s="95"/>
      <c r="R259" s="54">
        <v>0</v>
      </c>
      <c r="S259" s="94">
        <v>0</v>
      </c>
      <c r="T259" s="53">
        <v>0</v>
      </c>
      <c r="U259" s="132">
        <v>0</v>
      </c>
      <c r="V259" s="25"/>
      <c r="W259" s="25"/>
      <c r="X259" s="5"/>
    </row>
    <row r="260" spans="1:24" ht="15.6" x14ac:dyDescent="0.3">
      <c r="A260" s="24"/>
      <c r="B260" s="54" t="s">
        <v>161</v>
      </c>
      <c r="C260" s="25"/>
      <c r="D260" s="25"/>
      <c r="E260" s="25"/>
      <c r="F260" s="25"/>
      <c r="G260" s="25"/>
      <c r="H260" s="95"/>
      <c r="I260" s="95"/>
      <c r="J260" s="95"/>
      <c r="K260" s="95"/>
      <c r="L260" s="95"/>
      <c r="M260" s="95"/>
      <c r="N260" s="95"/>
      <c r="O260" s="95"/>
      <c r="P260" s="95"/>
      <c r="Q260" s="95"/>
      <c r="R260" s="54">
        <v>0</v>
      </c>
      <c r="S260" s="94">
        <v>0</v>
      </c>
      <c r="T260" s="53">
        <v>0</v>
      </c>
      <c r="U260" s="132">
        <v>0</v>
      </c>
      <c r="V260" s="25"/>
      <c r="W260" s="25"/>
      <c r="X260" s="5"/>
    </row>
    <row r="261" spans="1:24" ht="15.6" x14ac:dyDescent="0.3">
      <c r="A261" s="24"/>
      <c r="B261" s="54" t="s">
        <v>162</v>
      </c>
      <c r="C261" s="25"/>
      <c r="D261" s="25"/>
      <c r="E261" s="25"/>
      <c r="F261" s="25"/>
      <c r="G261" s="25"/>
      <c r="H261" s="95"/>
      <c r="I261" s="95"/>
      <c r="J261" s="95"/>
      <c r="K261" s="95"/>
      <c r="L261" s="95"/>
      <c r="M261" s="95"/>
      <c r="N261" s="95"/>
      <c r="O261" s="95"/>
      <c r="P261" s="95"/>
      <c r="Q261" s="95"/>
      <c r="R261" s="54">
        <v>0</v>
      </c>
      <c r="S261" s="94">
        <v>0</v>
      </c>
      <c r="T261" s="53">
        <v>0</v>
      </c>
      <c r="U261" s="132">
        <v>0</v>
      </c>
      <c r="V261" s="25"/>
      <c r="W261" s="25"/>
      <c r="X261" s="5"/>
    </row>
    <row r="262" spans="1:24" ht="15.6" x14ac:dyDescent="0.3">
      <c r="A262" s="24"/>
      <c r="B262" s="54" t="s">
        <v>163</v>
      </c>
      <c r="C262" s="25"/>
      <c r="D262" s="25"/>
      <c r="E262" s="25"/>
      <c r="F262" s="25"/>
      <c r="G262" s="25"/>
      <c r="H262" s="95"/>
      <c r="I262" s="95"/>
      <c r="J262" s="95"/>
      <c r="K262" s="95"/>
      <c r="L262" s="95"/>
      <c r="M262" s="95"/>
      <c r="N262" s="95"/>
      <c r="O262" s="95"/>
      <c r="P262" s="95"/>
      <c r="Q262" s="95"/>
      <c r="R262" s="54">
        <v>0</v>
      </c>
      <c r="S262" s="94">
        <v>0</v>
      </c>
      <c r="T262" s="53">
        <v>0</v>
      </c>
      <c r="U262" s="132">
        <v>0</v>
      </c>
      <c r="V262" s="25"/>
      <c r="W262" s="25"/>
      <c r="X262" s="5"/>
    </row>
    <row r="263" spans="1:24" ht="15.6" x14ac:dyDescent="0.3">
      <c r="A263" s="24"/>
      <c r="B263" s="54" t="s">
        <v>164</v>
      </c>
      <c r="C263" s="25"/>
      <c r="D263" s="25"/>
      <c r="E263" s="25"/>
      <c r="F263" s="25"/>
      <c r="G263" s="25"/>
      <c r="H263" s="95"/>
      <c r="I263" s="95"/>
      <c r="J263" s="95"/>
      <c r="K263" s="95"/>
      <c r="L263" s="95"/>
      <c r="M263" s="95"/>
      <c r="N263" s="95"/>
      <c r="O263" s="95"/>
      <c r="P263" s="95"/>
      <c r="Q263" s="95"/>
      <c r="R263" s="54">
        <v>0</v>
      </c>
      <c r="S263" s="94">
        <v>0</v>
      </c>
      <c r="T263" s="53">
        <v>0</v>
      </c>
      <c r="U263" s="132">
        <v>0</v>
      </c>
      <c r="V263" s="25"/>
      <c r="W263" s="25"/>
      <c r="X263" s="5"/>
    </row>
    <row r="264" spans="1:24" ht="15.6" x14ac:dyDescent="0.3">
      <c r="A264" s="24"/>
      <c r="B264" s="54" t="s">
        <v>165</v>
      </c>
      <c r="C264" s="25"/>
      <c r="D264" s="25"/>
      <c r="E264" s="25"/>
      <c r="F264" s="25"/>
      <c r="G264" s="25"/>
      <c r="H264" s="95"/>
      <c r="I264" s="95"/>
      <c r="J264" s="95"/>
      <c r="K264" s="95"/>
      <c r="L264" s="95"/>
      <c r="M264" s="95"/>
      <c r="N264" s="95"/>
      <c r="O264" s="95"/>
      <c r="P264" s="95"/>
      <c r="Q264" s="95"/>
      <c r="R264" s="54">
        <v>0</v>
      </c>
      <c r="S264" s="94">
        <v>0</v>
      </c>
      <c r="T264" s="53">
        <v>0</v>
      </c>
      <c r="U264" s="132">
        <v>0</v>
      </c>
      <c r="V264" s="25"/>
      <c r="W264" s="25"/>
      <c r="X264" s="5"/>
    </row>
    <row r="265" spans="1:24" ht="15.6" x14ac:dyDescent="0.3">
      <c r="A265" s="24"/>
      <c r="B265" s="54"/>
      <c r="C265" s="25"/>
      <c r="D265" s="25"/>
      <c r="E265" s="25"/>
      <c r="F265" s="25"/>
      <c r="G265" s="25"/>
      <c r="H265" s="95"/>
      <c r="I265" s="95"/>
      <c r="J265" s="95"/>
      <c r="K265" s="95"/>
      <c r="L265" s="95"/>
      <c r="M265" s="95"/>
      <c r="N265" s="95"/>
      <c r="O265" s="95"/>
      <c r="P265" s="95"/>
      <c r="Q265" s="95"/>
      <c r="R265" s="54"/>
      <c r="S265" s="94"/>
      <c r="T265" s="53"/>
      <c r="U265" s="132"/>
      <c r="V265" s="25"/>
      <c r="W265" s="25"/>
      <c r="X265" s="5"/>
    </row>
    <row r="266" spans="1:24" ht="15.6" x14ac:dyDescent="0.3">
      <c r="A266" s="24"/>
      <c r="B266" s="25" t="s">
        <v>119</v>
      </c>
      <c r="C266" s="25"/>
      <c r="D266" s="25"/>
      <c r="E266" s="25"/>
      <c r="F266" s="25"/>
      <c r="G266" s="25"/>
      <c r="H266" s="95"/>
      <c r="I266" s="95"/>
      <c r="J266" s="95"/>
      <c r="K266" s="95"/>
      <c r="L266" s="95"/>
      <c r="M266" s="95"/>
      <c r="N266" s="95"/>
      <c r="O266" s="95"/>
      <c r="P266" s="95"/>
      <c r="Q266" s="95"/>
      <c r="R266" s="34">
        <f>SUM(R257:R264)</f>
        <v>0</v>
      </c>
      <c r="S266" s="94">
        <f>SUM(S257:S264)</f>
        <v>0</v>
      </c>
      <c r="T266" s="53">
        <f>SUM(T257:T264)</f>
        <v>0</v>
      </c>
      <c r="U266" s="132">
        <f>SUM(U257:U264)</f>
        <v>0</v>
      </c>
      <c r="V266" s="25"/>
      <c r="W266" s="25"/>
      <c r="X266" s="5"/>
    </row>
    <row r="267" spans="1:24" ht="15.6" x14ac:dyDescent="0.3">
      <c r="A267" s="24"/>
      <c r="B267" s="25"/>
      <c r="C267" s="25"/>
      <c r="D267" s="25"/>
      <c r="E267" s="25"/>
      <c r="F267" s="25"/>
      <c r="G267" s="25"/>
      <c r="H267" s="95"/>
      <c r="I267" s="95"/>
      <c r="J267" s="95"/>
      <c r="K267" s="95"/>
      <c r="L267" s="95"/>
      <c r="M267" s="95"/>
      <c r="N267" s="95"/>
      <c r="O267" s="95"/>
      <c r="P267" s="95"/>
      <c r="Q267" s="95"/>
      <c r="R267" s="34"/>
      <c r="S267" s="132"/>
      <c r="T267" s="53"/>
      <c r="U267" s="132"/>
      <c r="V267" s="25"/>
      <c r="W267" s="25"/>
      <c r="X267" s="5"/>
    </row>
    <row r="268" spans="1:24" ht="15.6" x14ac:dyDescent="0.3">
      <c r="A268" s="24"/>
      <c r="B268" s="142" t="s">
        <v>170</v>
      </c>
      <c r="C268" s="25"/>
      <c r="D268" s="25"/>
      <c r="E268" s="25"/>
      <c r="F268" s="25"/>
      <c r="G268" s="25"/>
      <c r="H268" s="95"/>
      <c r="I268" s="95"/>
      <c r="J268" s="95"/>
      <c r="K268" s="95"/>
      <c r="L268" s="95"/>
      <c r="M268" s="95"/>
      <c r="N268" s="95"/>
      <c r="O268" s="95"/>
      <c r="P268" s="95"/>
      <c r="Q268" s="95"/>
      <c r="R268" s="161">
        <f>R266+R254+R242</f>
        <v>10206</v>
      </c>
      <c r="S268" s="143"/>
      <c r="T268" s="144">
        <f>+T266+T254+T242</f>
        <v>1372734</v>
      </c>
      <c r="U268" s="143"/>
      <c r="V268" s="25"/>
      <c r="W268" s="25"/>
      <c r="X268" s="5"/>
    </row>
    <row r="269" spans="1:24" ht="15.6" x14ac:dyDescent="0.3">
      <c r="A269" s="24"/>
      <c r="B269" s="25"/>
      <c r="C269" s="25"/>
      <c r="D269" s="25"/>
      <c r="E269" s="25"/>
      <c r="F269" s="25"/>
      <c r="G269" s="25"/>
      <c r="H269" s="95"/>
      <c r="I269" s="95"/>
      <c r="J269" s="95"/>
      <c r="K269" s="95"/>
      <c r="L269" s="95"/>
      <c r="M269" s="95"/>
      <c r="N269" s="95"/>
      <c r="O269" s="95"/>
      <c r="P269" s="95"/>
      <c r="Q269" s="95"/>
      <c r="R269" s="95"/>
      <c r="S269" s="95"/>
      <c r="T269" s="53"/>
      <c r="U269" s="95"/>
      <c r="V269" s="25"/>
      <c r="W269" s="25"/>
      <c r="X269" s="5"/>
    </row>
    <row r="270" spans="1:24" ht="15.6" x14ac:dyDescent="0.3">
      <c r="A270" s="6"/>
      <c r="B270" s="8"/>
      <c r="C270" s="8"/>
      <c r="D270" s="8"/>
      <c r="E270" s="8"/>
      <c r="F270" s="8"/>
      <c r="G270" s="8"/>
      <c r="H270" s="96"/>
      <c r="I270" s="96"/>
      <c r="J270" s="96"/>
      <c r="K270" s="96"/>
      <c r="L270" s="96"/>
      <c r="M270" s="96"/>
      <c r="N270" s="96"/>
      <c r="O270" s="96"/>
      <c r="P270" s="96"/>
      <c r="Q270" s="96"/>
      <c r="R270" s="96"/>
      <c r="S270" s="96"/>
      <c r="T270" s="97"/>
      <c r="U270" s="96"/>
      <c r="V270" s="8"/>
      <c r="W270" s="8"/>
      <c r="X270" s="5"/>
    </row>
    <row r="271" spans="1:24" ht="15.6" x14ac:dyDescent="0.3">
      <c r="A271" s="167"/>
      <c r="B271" s="14" t="s">
        <v>93</v>
      </c>
      <c r="C271" s="15"/>
      <c r="D271" s="15"/>
      <c r="E271" s="15"/>
      <c r="F271" s="17" t="s">
        <v>99</v>
      </c>
      <c r="G271" s="15"/>
      <c r="H271" s="14" t="s">
        <v>101</v>
      </c>
      <c r="I271" s="162"/>
      <c r="J271" s="162"/>
      <c r="K271" s="162"/>
      <c r="L271" s="162"/>
      <c r="M271" s="162"/>
      <c r="N271" s="162"/>
      <c r="O271" s="162"/>
      <c r="P271" s="162"/>
      <c r="Q271" s="162"/>
      <c r="R271" s="162"/>
      <c r="S271" s="162"/>
      <c r="T271" s="162"/>
      <c r="U271" s="162"/>
      <c r="V271" s="162"/>
      <c r="W271" s="162"/>
      <c r="X271" s="5"/>
    </row>
    <row r="272" spans="1:24" ht="15.6" x14ac:dyDescent="0.3">
      <c r="A272" s="167"/>
      <c r="B272" s="162"/>
      <c r="C272" s="8"/>
      <c r="D272" s="8"/>
      <c r="E272" s="8"/>
      <c r="F272" s="8"/>
      <c r="G272" s="8"/>
      <c r="H272" s="8"/>
      <c r="I272" s="162"/>
      <c r="J272" s="162"/>
      <c r="K272" s="162"/>
      <c r="L272" s="162"/>
      <c r="M272" s="162"/>
      <c r="N272" s="162"/>
      <c r="O272" s="162"/>
      <c r="P272" s="162"/>
      <c r="Q272" s="162"/>
      <c r="R272" s="162"/>
      <c r="S272" s="162"/>
      <c r="T272" s="162"/>
      <c r="U272" s="162"/>
      <c r="V272" s="162"/>
      <c r="W272" s="162"/>
      <c r="X272" s="5"/>
    </row>
    <row r="273" spans="1:24" ht="15.6" x14ac:dyDescent="0.3">
      <c r="A273" s="167"/>
      <c r="B273" s="13" t="s">
        <v>94</v>
      </c>
      <c r="C273" s="13"/>
      <c r="D273" s="13"/>
      <c r="E273" s="13"/>
      <c r="F273" s="130" t="s">
        <v>153</v>
      </c>
      <c r="G273" s="13"/>
      <c r="H273" s="13" t="s">
        <v>157</v>
      </c>
      <c r="I273" s="162"/>
      <c r="J273" s="162"/>
      <c r="K273" s="162"/>
      <c r="L273" s="162"/>
      <c r="M273" s="162"/>
      <c r="N273" s="162"/>
      <c r="O273" s="162"/>
      <c r="P273" s="162"/>
      <c r="Q273" s="162"/>
      <c r="R273" s="162"/>
      <c r="S273" s="162"/>
      <c r="T273" s="162"/>
      <c r="U273" s="162"/>
      <c r="V273" s="162"/>
      <c r="W273" s="162"/>
      <c r="X273" s="5"/>
    </row>
    <row r="274" spans="1:24" ht="15.6" x14ac:dyDescent="0.3">
      <c r="A274" s="167"/>
      <c r="B274" s="13" t="s">
        <v>277</v>
      </c>
      <c r="C274" s="13"/>
      <c r="D274" s="13"/>
      <c r="E274" s="13"/>
      <c r="F274" s="130" t="s">
        <v>278</v>
      </c>
      <c r="G274" s="13"/>
      <c r="H274" s="13" t="s">
        <v>279</v>
      </c>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95</v>
      </c>
      <c r="C275" s="13"/>
      <c r="D275" s="13"/>
      <c r="E275" s="13"/>
      <c r="F275" s="130" t="s">
        <v>152</v>
      </c>
      <c r="G275" s="13"/>
      <c r="H275" s="13" t="s">
        <v>158</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c r="C276" s="13"/>
      <c r="D276" s="13"/>
      <c r="E276" s="13"/>
      <c r="F276" s="13"/>
      <c r="G276" s="99"/>
      <c r="H276" s="162"/>
      <c r="I276" s="162"/>
      <c r="J276" s="162"/>
      <c r="K276" s="162"/>
      <c r="L276" s="162"/>
      <c r="M276" s="162"/>
      <c r="N276" s="162"/>
      <c r="O276" s="162"/>
      <c r="P276" s="162"/>
      <c r="Q276" s="162"/>
      <c r="R276" s="162"/>
      <c r="S276" s="162"/>
      <c r="T276" s="162"/>
      <c r="U276" s="162"/>
      <c r="V276" s="162"/>
      <c r="W276" s="162"/>
      <c r="X276" s="5"/>
    </row>
    <row r="277" spans="1:24" ht="18" thickBot="1" x14ac:dyDescent="0.35">
      <c r="A277" s="167"/>
      <c r="B277" s="49" t="str">
        <f>B194</f>
        <v>PM12 INVESTOR REPORT QUARTER ENDING OCTOBER 2007</v>
      </c>
      <c r="C277" s="13"/>
      <c r="D277" s="13"/>
      <c r="E277" s="13"/>
      <c r="F277" s="13"/>
      <c r="G277" s="99"/>
      <c r="H277" s="162"/>
      <c r="I277" s="162"/>
      <c r="J277" s="162"/>
      <c r="K277" s="162"/>
      <c r="L277" s="162"/>
      <c r="M277" s="162"/>
      <c r="N277" s="162"/>
      <c r="O277" s="162"/>
      <c r="P277" s="162"/>
      <c r="Q277" s="162"/>
      <c r="R277" s="162"/>
      <c r="S277" s="162"/>
      <c r="T277" s="162"/>
      <c r="U277" s="162"/>
      <c r="V277" s="162"/>
      <c r="W277" s="162"/>
      <c r="X277" s="5"/>
    </row>
    <row r="278" spans="1:24" x14ac:dyDescent="0.25">
      <c r="A278" s="100"/>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row>
  </sheetData>
  <phoneticPr fontId="0" type="noConversion"/>
  <hyperlinks>
    <hyperlink ref="P230" r:id="rId1" xr:uid="{00000000-0004-0000-0400-000000000000}"/>
    <hyperlink ref="I9" r:id="rId2" xr:uid="{00000000-0004-0000-04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5" max="14" man="1"/>
    <brk id="194" max="14" man="1"/>
  </rowBreaks>
  <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2D2926"/>
  </sheetPr>
  <dimension ref="A1:Y291"/>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0.67130000000000001</v>
      </c>
      <c r="T16" s="516" t="s">
        <v>145</v>
      </c>
      <c r="U16" s="515">
        <v>0.32869999999999999</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43511</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219</v>
      </c>
      <c r="E26" s="526"/>
      <c r="F26" s="526" t="s">
        <v>146</v>
      </c>
      <c r="G26" s="526"/>
      <c r="H26" s="526" t="s">
        <v>146</v>
      </c>
      <c r="I26" s="526"/>
      <c r="J26" s="526" t="s">
        <v>146</v>
      </c>
      <c r="K26" s="526"/>
      <c r="L26" s="613" t="s">
        <v>189</v>
      </c>
      <c r="M26" s="613"/>
      <c r="N26" s="613" t="s">
        <v>189</v>
      </c>
      <c r="O26" s="526"/>
      <c r="P26" s="526" t="s">
        <v>147</v>
      </c>
      <c r="Q26" s="526"/>
      <c r="R26" s="526" t="s">
        <v>147</v>
      </c>
      <c r="S26" s="526"/>
      <c r="T26" s="523"/>
      <c r="U26" s="522"/>
      <c r="V26" s="522"/>
      <c r="W26" s="524"/>
      <c r="X26" s="512"/>
    </row>
    <row r="27" spans="1:25" s="513" customFormat="1" x14ac:dyDescent="0.3">
      <c r="A27" s="521"/>
      <c r="B27" s="527" t="s">
        <v>197</v>
      </c>
      <c r="C27" s="523"/>
      <c r="D27" s="526" t="s">
        <v>314</v>
      </c>
      <c r="E27" s="526"/>
      <c r="F27" s="526" t="s">
        <v>148</v>
      </c>
      <c r="G27" s="526"/>
      <c r="H27" s="526" t="s">
        <v>148</v>
      </c>
      <c r="I27" s="526"/>
      <c r="J27" s="526" t="s">
        <v>148</v>
      </c>
      <c r="K27" s="526"/>
      <c r="L27" s="526" t="s">
        <v>149</v>
      </c>
      <c r="M27" s="526"/>
      <c r="N27" s="526" t="s">
        <v>149</v>
      </c>
      <c r="O27" s="526"/>
      <c r="P27" s="526" t="s">
        <v>337</v>
      </c>
      <c r="Q27" s="526"/>
      <c r="R27" s="526" t="s">
        <v>337</v>
      </c>
      <c r="S27" s="523"/>
      <c r="T27" s="528"/>
      <c r="U27" s="522"/>
      <c r="V27" s="522"/>
      <c r="W27" s="524"/>
      <c r="X27" s="512"/>
    </row>
    <row r="28" spans="1:25" s="513" customFormat="1" x14ac:dyDescent="0.3">
      <c r="A28" s="521"/>
      <c r="B28" s="527" t="s">
        <v>198</v>
      </c>
      <c r="C28" s="523"/>
      <c r="D28" s="526" t="s">
        <v>312</v>
      </c>
      <c r="E28" s="526"/>
      <c r="F28" s="526" t="s">
        <v>148</v>
      </c>
      <c r="G28" s="526"/>
      <c r="H28" s="526" t="s">
        <v>148</v>
      </c>
      <c r="I28" s="526"/>
      <c r="J28" s="526" t="s">
        <v>148</v>
      </c>
      <c r="K28" s="526"/>
      <c r="L28" s="526" t="s">
        <v>148</v>
      </c>
      <c r="M28" s="526"/>
      <c r="N28" s="526" t="s">
        <v>148</v>
      </c>
      <c r="O28" s="526"/>
      <c r="P28" s="526" t="s">
        <v>149</v>
      </c>
      <c r="Q28" s="526"/>
      <c r="R28" s="526" t="s">
        <v>149</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533">
        <f>D31*D38</f>
        <v>604891.79999999993</v>
      </c>
      <c r="E32" s="529"/>
      <c r="F32" s="530">
        <f>F31*F38</f>
        <v>58473.192999999999</v>
      </c>
      <c r="G32" s="530"/>
      <c r="H32" s="534">
        <f>H31*H38</f>
        <v>98799.532999999996</v>
      </c>
      <c r="I32" s="534"/>
      <c r="J32" s="533">
        <f>J31*J38</f>
        <v>125414.2332</v>
      </c>
      <c r="K32" s="530"/>
      <c r="L32" s="530">
        <f>L31*L38</f>
        <v>23842.695</v>
      </c>
      <c r="M32" s="530"/>
      <c r="N32" s="534">
        <f>N31*N38</f>
        <v>120167.1828</v>
      </c>
      <c r="O32" s="530"/>
      <c r="P32" s="530">
        <f>P31*P38</f>
        <v>16213.0326</v>
      </c>
      <c r="Q32" s="530"/>
      <c r="R32" s="534">
        <f>R31*R38</f>
        <v>101093.02679999999</v>
      </c>
      <c r="S32" s="530"/>
      <c r="T32" s="530"/>
      <c r="U32" s="529"/>
      <c r="V32" s="530"/>
      <c r="W32" s="531"/>
      <c r="X32" s="512"/>
    </row>
    <row r="33" spans="1:24" s="513" customFormat="1" x14ac:dyDescent="0.3">
      <c r="A33" s="521"/>
      <c r="B33" s="527" t="s">
        <v>139</v>
      </c>
      <c r="C33" s="529"/>
      <c r="D33" s="536">
        <f>D37*D31</f>
        <v>595299.30000000005</v>
      </c>
      <c r="E33" s="532"/>
      <c r="F33" s="535">
        <f>F37*F31</f>
        <v>57545.917999999998</v>
      </c>
      <c r="G33" s="535"/>
      <c r="H33" s="537">
        <f>H31*H37</f>
        <v>97232.758000000002</v>
      </c>
      <c r="I33" s="537"/>
      <c r="J33" s="536">
        <f>J37*J31</f>
        <v>123425.3882</v>
      </c>
      <c r="K33" s="535"/>
      <c r="L33" s="535">
        <f>L37*L31</f>
        <v>23464.59</v>
      </c>
      <c r="M33" s="535"/>
      <c r="N33" s="537">
        <f>N37*N31</f>
        <v>118261.5336</v>
      </c>
      <c r="O33" s="535"/>
      <c r="P33" s="535">
        <f>P37*P31</f>
        <v>15955.921199999999</v>
      </c>
      <c r="Q33" s="535"/>
      <c r="R33" s="537">
        <f>R37*R31</f>
        <v>99489.861599999989</v>
      </c>
      <c r="S33" s="530"/>
      <c r="T33" s="530"/>
      <c r="U33" s="529"/>
      <c r="V33" s="530"/>
      <c r="W33" s="531"/>
      <c r="X33" s="512"/>
    </row>
    <row r="34" spans="1:24"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4" s="513" customFormat="1" x14ac:dyDescent="0.3">
      <c r="A35" s="525"/>
      <c r="B35" s="522" t="s">
        <v>294</v>
      </c>
      <c r="C35" s="532"/>
      <c r="D35" s="530">
        <f>D34*D38</f>
        <v>328745.38568040001</v>
      </c>
      <c r="E35" s="529"/>
      <c r="F35" s="530">
        <f>F34*F38</f>
        <v>58473.192999999999</v>
      </c>
      <c r="G35" s="530"/>
      <c r="H35" s="530">
        <f>H34*H38</f>
        <v>68137.803644400003</v>
      </c>
      <c r="I35" s="530"/>
      <c r="J35" s="530">
        <f>J34*J38</f>
        <v>68160.014546399994</v>
      </c>
      <c r="K35" s="530"/>
      <c r="L35" s="530">
        <f>L34*L38</f>
        <v>23842.695</v>
      </c>
      <c r="M35" s="530"/>
      <c r="N35" s="530">
        <f>N34*N38</f>
        <v>82874.346696599998</v>
      </c>
      <c r="O35" s="530"/>
      <c r="P35" s="530">
        <f>P34*P38</f>
        <v>16213.0326</v>
      </c>
      <c r="Q35" s="530"/>
      <c r="R35" s="530">
        <f>R34*R38</f>
        <v>69718.901303399995</v>
      </c>
      <c r="S35" s="530"/>
      <c r="T35" s="530"/>
      <c r="U35" s="529"/>
      <c r="V35" s="530">
        <f>SUM(C35:R35)</f>
        <v>716165.37247120007</v>
      </c>
      <c r="W35" s="531"/>
      <c r="X35" s="512"/>
    </row>
    <row r="36" spans="1:24" s="513" customFormat="1" x14ac:dyDescent="0.3">
      <c r="A36" s="525"/>
      <c r="B36" s="527" t="s">
        <v>295</v>
      </c>
      <c r="C36" s="532"/>
      <c r="D36" s="535">
        <f>D34*D37</f>
        <v>323532.0729654</v>
      </c>
      <c r="E36" s="532"/>
      <c r="F36" s="535">
        <f>F34*F37</f>
        <v>57545.917999999998</v>
      </c>
      <c r="G36" s="535"/>
      <c r="H36" s="535">
        <f>H34*H37</f>
        <v>67057.266074400002</v>
      </c>
      <c r="I36" s="535"/>
      <c r="J36" s="535">
        <f>J34*J37</f>
        <v>67079.118856400004</v>
      </c>
      <c r="K36" s="535"/>
      <c r="L36" s="535">
        <f>L34*L37</f>
        <v>23464.59</v>
      </c>
      <c r="M36" s="535"/>
      <c r="N36" s="535">
        <f>N34*N37</f>
        <v>81560.099089199997</v>
      </c>
      <c r="O36" s="535"/>
      <c r="P36" s="535">
        <f>P34*P37</f>
        <v>15955.921199999999</v>
      </c>
      <c r="Q36" s="535"/>
      <c r="R36" s="535">
        <f>R34*R37</f>
        <v>68613.276910799992</v>
      </c>
      <c r="S36" s="538"/>
      <c r="T36" s="538"/>
      <c r="U36" s="529"/>
      <c r="V36" s="535">
        <f>SUM(C36:R36)</f>
        <v>704808.26309620007</v>
      </c>
      <c r="W36" s="531"/>
      <c r="X36" s="512"/>
    </row>
    <row r="37" spans="1:24" x14ac:dyDescent="0.3">
      <c r="A37" s="420"/>
      <c r="B37" s="493" t="s">
        <v>135</v>
      </c>
      <c r="C37" s="494"/>
      <c r="D37" s="495">
        <v>0.3968662</v>
      </c>
      <c r="E37" s="496"/>
      <c r="F37" s="495">
        <v>0.39686840000000001</v>
      </c>
      <c r="G37" s="495"/>
      <c r="H37" s="495">
        <v>0.39686840000000001</v>
      </c>
      <c r="I37" s="495"/>
      <c r="J37" s="495">
        <v>0.3968662</v>
      </c>
      <c r="K37" s="495"/>
      <c r="L37" s="495">
        <v>0.93858359999999996</v>
      </c>
      <c r="M37" s="495"/>
      <c r="N37" s="495">
        <v>0.93858359999999996</v>
      </c>
      <c r="O37" s="495"/>
      <c r="P37" s="495">
        <v>0.93858359999999996</v>
      </c>
      <c r="Q37" s="495"/>
      <c r="R37" s="495">
        <v>0.93858359999999996</v>
      </c>
      <c r="S37" s="425"/>
      <c r="T37" s="425"/>
      <c r="U37" s="424"/>
      <c r="V37" s="424"/>
      <c r="W37" s="426"/>
      <c r="X37" s="405"/>
    </row>
    <row r="38" spans="1:24" x14ac:dyDescent="0.3">
      <c r="A38" s="420"/>
      <c r="B38" s="493" t="s">
        <v>136</v>
      </c>
      <c r="C38" s="494"/>
      <c r="D38" s="495">
        <v>0.40326119999999999</v>
      </c>
      <c r="E38" s="496"/>
      <c r="F38" s="495">
        <v>0.40326339999999999</v>
      </c>
      <c r="G38" s="495"/>
      <c r="H38" s="495">
        <v>0.40326339999999999</v>
      </c>
      <c r="I38" s="495"/>
      <c r="J38" s="495">
        <v>0.40326119999999999</v>
      </c>
      <c r="K38" s="495"/>
      <c r="L38" s="495">
        <v>0.95370779999999999</v>
      </c>
      <c r="M38" s="495"/>
      <c r="N38" s="495">
        <v>0.95370779999999999</v>
      </c>
      <c r="O38" s="495"/>
      <c r="P38" s="495">
        <v>0.95370779999999999</v>
      </c>
      <c r="Q38" s="495"/>
      <c r="R38" s="495">
        <v>0.95370779999999999</v>
      </c>
      <c r="S38" s="427"/>
      <c r="T38" s="428"/>
      <c r="U38" s="424"/>
      <c r="V38" s="427"/>
      <c r="W38" s="426"/>
      <c r="X38" s="405"/>
    </row>
    <row r="39" spans="1:24"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4" s="513" customFormat="1" x14ac:dyDescent="0.3">
      <c r="A40" s="521"/>
      <c r="B40" s="522" t="s">
        <v>12</v>
      </c>
      <c r="C40" s="522"/>
      <c r="D40" s="540">
        <v>2.7489400000000001E-2</v>
      </c>
      <c r="E40" s="522"/>
      <c r="F40" s="540">
        <v>1.1265000000000001E-2</v>
      </c>
      <c r="G40" s="539"/>
      <c r="H40" s="540">
        <v>0</v>
      </c>
      <c r="I40" s="540"/>
      <c r="J40" s="540">
        <v>2.8361299999999999E-2</v>
      </c>
      <c r="K40" s="539"/>
      <c r="L40" s="540">
        <v>1.3665E-2</v>
      </c>
      <c r="M40" s="539"/>
      <c r="N40" s="540">
        <v>1.64E-3</v>
      </c>
      <c r="O40" s="539"/>
      <c r="P40" s="540">
        <v>1.8065000000000001E-2</v>
      </c>
      <c r="Q40" s="539"/>
      <c r="R40" s="540">
        <v>6.0400000000000002E-3</v>
      </c>
      <c r="S40" s="539"/>
      <c r="T40" s="540"/>
      <c r="U40" s="522"/>
      <c r="V40" s="528"/>
      <c r="W40" s="524"/>
      <c r="X40" s="512"/>
    </row>
    <row r="41" spans="1:24" s="513" customFormat="1" x14ac:dyDescent="0.3">
      <c r="A41" s="521"/>
      <c r="B41" s="522" t="s">
        <v>13</v>
      </c>
      <c r="C41" s="522"/>
      <c r="D41" s="540">
        <v>2.5194999999999999E-2</v>
      </c>
      <c r="E41" s="522"/>
      <c r="F41" s="540">
        <v>1.04175E-2</v>
      </c>
      <c r="G41" s="539"/>
      <c r="H41" s="540">
        <v>0</v>
      </c>
      <c r="I41" s="540"/>
      <c r="J41" s="540">
        <v>2.5337499999999999E-2</v>
      </c>
      <c r="K41" s="539"/>
      <c r="L41" s="540">
        <v>1.2817500000000001E-2</v>
      </c>
      <c r="M41" s="539"/>
      <c r="N41" s="540">
        <v>1.6100000000000001E-3</v>
      </c>
      <c r="O41" s="539"/>
      <c r="P41" s="540">
        <v>1.72175E-2</v>
      </c>
      <c r="Q41" s="539"/>
      <c r="R41" s="540">
        <v>6.0099999999999997E-3</v>
      </c>
      <c r="S41" s="539"/>
      <c r="T41" s="540"/>
      <c r="U41" s="522"/>
      <c r="V41" s="539" t="s">
        <v>199</v>
      </c>
      <c r="W41" s="524"/>
      <c r="X41" s="512"/>
    </row>
    <row r="42" spans="1:24" s="513" customFormat="1" x14ac:dyDescent="0.3">
      <c r="A42" s="521"/>
      <c r="B42" s="522" t="s">
        <v>296</v>
      </c>
      <c r="C42" s="522"/>
      <c r="D42" s="528" t="s">
        <v>243</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4" s="513" customFormat="1" x14ac:dyDescent="0.3">
      <c r="A43" s="521"/>
      <c r="B43" s="522" t="s">
        <v>297</v>
      </c>
      <c r="C43" s="541"/>
      <c r="D43" s="540">
        <v>1.14793E-2</v>
      </c>
      <c r="E43" s="540"/>
      <c r="F43" s="540">
        <f>+F40</f>
        <v>1.1265000000000001E-2</v>
      </c>
      <c r="G43" s="540"/>
      <c r="H43" s="540">
        <v>1.1187000000000001E-2</v>
      </c>
      <c r="I43" s="540"/>
      <c r="J43" s="540">
        <v>1.1429E-2</v>
      </c>
      <c r="K43" s="540"/>
      <c r="L43" s="540">
        <f>+L40</f>
        <v>1.3665E-2</v>
      </c>
      <c r="M43" s="540"/>
      <c r="N43" s="540">
        <v>1.3867000000000001E-2</v>
      </c>
      <c r="O43" s="540"/>
      <c r="P43" s="540">
        <f>+P40</f>
        <v>1.8065000000000001E-2</v>
      </c>
      <c r="Q43" s="539"/>
      <c r="R43" s="540">
        <v>1.8537000000000001E-2</v>
      </c>
      <c r="S43" s="528"/>
      <c r="T43" s="528"/>
      <c r="U43" s="522"/>
      <c r="V43" s="539">
        <f>SUMPRODUCT(D43:R43,D35:R35)/V35</f>
        <v>1.2614436397044451E-2</v>
      </c>
      <c r="W43" s="524"/>
      <c r="X43" s="512"/>
    </row>
    <row r="44" spans="1:24" s="513" customFormat="1" x14ac:dyDescent="0.3">
      <c r="A44" s="521"/>
      <c r="B44" s="522" t="s">
        <v>298</v>
      </c>
      <c r="C44" s="541"/>
      <c r="D44" s="540">
        <v>1.06318E-2</v>
      </c>
      <c r="E44" s="540"/>
      <c r="F44" s="540">
        <f>+F41</f>
        <v>1.04175E-2</v>
      </c>
      <c r="G44" s="540"/>
      <c r="H44" s="540">
        <v>1.03395E-2</v>
      </c>
      <c r="I44" s="540"/>
      <c r="J44" s="540">
        <v>1.0581500000000001E-2</v>
      </c>
      <c r="K44" s="540"/>
      <c r="L44" s="540">
        <f>+L41</f>
        <v>1.2817500000000001E-2</v>
      </c>
      <c r="M44" s="540"/>
      <c r="N44" s="540">
        <v>1.30195E-2</v>
      </c>
      <c r="O44" s="540"/>
      <c r="P44" s="540">
        <f>+P41</f>
        <v>1.72175E-2</v>
      </c>
      <c r="Q44" s="539"/>
      <c r="R44" s="540">
        <v>1.76895E-2</v>
      </c>
      <c r="S44" s="528"/>
      <c r="T44" s="528"/>
      <c r="U44" s="522"/>
      <c r="V44" s="522"/>
      <c r="W44" s="524"/>
      <c r="X44" s="512"/>
    </row>
    <row r="45" spans="1:24"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4"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4"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4" s="513" customFormat="1" x14ac:dyDescent="0.3">
      <c r="A48" s="521"/>
      <c r="B48" s="522" t="s">
        <v>299</v>
      </c>
      <c r="C48" s="522"/>
      <c r="D48" s="528" t="s">
        <v>243</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0.3679902892270952</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209</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43511</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43327</v>
      </c>
      <c r="U57" s="550"/>
      <c r="V57" s="549">
        <v>43418</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43419</v>
      </c>
      <c r="U58" s="550"/>
      <c r="V58" s="549">
        <v>43510</v>
      </c>
      <c r="W58" s="524"/>
      <c r="X58" s="512"/>
    </row>
    <row r="59" spans="1:25" s="513" customFormat="1" x14ac:dyDescent="0.3">
      <c r="A59" s="521"/>
      <c r="B59" s="522" t="s">
        <v>263</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262</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43497</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357</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716165</v>
      </c>
      <c r="O68" s="562"/>
      <c r="P68" s="562">
        <v>11357</v>
      </c>
      <c r="Q68" s="562"/>
      <c r="R68" s="562">
        <v>0</v>
      </c>
      <c r="S68" s="562"/>
      <c r="T68" s="562">
        <v>0</v>
      </c>
      <c r="U68" s="562"/>
      <c r="V68" s="563">
        <f>+N68-P68+R68-T68</f>
        <v>704808</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716165</v>
      </c>
      <c r="O71" s="562"/>
      <c r="P71" s="562">
        <f>SUM(P68:P70)</f>
        <v>11357</v>
      </c>
      <c r="Q71" s="562"/>
      <c r="R71" s="562">
        <f>SUM(R68:R70)</f>
        <v>0</v>
      </c>
      <c r="S71" s="562"/>
      <c r="T71" s="562">
        <f>SUM(T68:T70)</f>
        <v>0</v>
      </c>
      <c r="U71" s="562"/>
      <c r="V71" s="562">
        <f>SUM(V68:V70)</f>
        <v>704808</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716165</v>
      </c>
      <c r="O84" s="562"/>
      <c r="P84" s="562"/>
      <c r="Q84" s="562"/>
      <c r="R84" s="562"/>
      <c r="S84" s="562"/>
      <c r="T84" s="562"/>
      <c r="U84" s="562"/>
      <c r="V84" s="562">
        <f>SUM(V71:V83)</f>
        <v>704808</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+T197</f>
        <v>43496</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11357-205</f>
        <v>11152</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4052+2304-879-651</f>
        <v>4826</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146+16</f>
        <v>162</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75</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248</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11152</v>
      </c>
      <c r="U96" s="522"/>
      <c r="V96" s="562">
        <f>SUM(V88:V95)</f>
        <v>5311</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-25</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11152</v>
      </c>
      <c r="U100" s="522"/>
      <c r="V100" s="562">
        <f>V96+V98+V97+V99</f>
        <v>5286</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-274-74-9</f>
        <v>-357</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256</v>
      </c>
      <c r="C106" s="522"/>
      <c r="D106" s="522"/>
      <c r="E106" s="522"/>
      <c r="F106" s="522"/>
      <c r="G106" s="522"/>
      <c r="H106" s="522"/>
      <c r="I106" s="522"/>
      <c r="J106" s="522"/>
      <c r="K106" s="522"/>
      <c r="L106" s="522"/>
      <c r="M106" s="522"/>
      <c r="N106" s="522"/>
      <c r="O106" s="522"/>
      <c r="P106" s="522"/>
      <c r="Q106" s="522"/>
      <c r="R106" s="522"/>
      <c r="S106" s="522"/>
      <c r="T106" s="522"/>
      <c r="U106" s="522"/>
      <c r="V106" s="563">
        <f>-1505+166</f>
        <v>-1339</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-166</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-290</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-82</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-326</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-74</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-25</v>
      </c>
      <c r="W113" s="422"/>
      <c r="X113" s="405"/>
    </row>
    <row r="114" spans="1:24" x14ac:dyDescent="0.3">
      <c r="A114" s="521">
        <f t="shared" ref="A114:A119"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205</v>
      </c>
      <c r="U114" s="522"/>
      <c r="V114" s="563">
        <v>-205</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-274</v>
      </c>
      <c r="W118" s="422"/>
      <c r="X118" s="405"/>
    </row>
    <row r="119" spans="1:24" x14ac:dyDescent="0.3">
      <c r="A119" s="521">
        <f t="shared" si="0"/>
        <v>14</v>
      </c>
      <c r="B119" s="522" t="s">
        <v>131</v>
      </c>
      <c r="C119" s="522"/>
      <c r="D119" s="522"/>
      <c r="E119" s="522"/>
      <c r="F119" s="522"/>
      <c r="G119" s="522"/>
      <c r="H119" s="522"/>
      <c r="I119" s="522"/>
      <c r="J119" s="522"/>
      <c r="K119" s="522"/>
      <c r="L119" s="522"/>
      <c r="M119" s="522"/>
      <c r="N119" s="522"/>
      <c r="O119" s="522"/>
      <c r="P119" s="522"/>
      <c r="Q119" s="522"/>
      <c r="R119" s="522"/>
      <c r="S119" s="522"/>
      <c r="T119" s="522"/>
      <c r="U119" s="522"/>
      <c r="V119" s="563">
        <f>-V100-SUM(V102:V118)</f>
        <v>-2146</v>
      </c>
      <c r="W119" s="422"/>
      <c r="X119" s="405"/>
    </row>
    <row r="120" spans="1:24" x14ac:dyDescent="0.3">
      <c r="A120" s="420"/>
      <c r="B120" s="501" t="s">
        <v>38</v>
      </c>
      <c r="C120" s="424"/>
      <c r="D120" s="424"/>
      <c r="E120" s="424"/>
      <c r="F120" s="424"/>
      <c r="G120" s="424"/>
      <c r="H120" s="424"/>
      <c r="I120" s="424"/>
      <c r="J120" s="424"/>
      <c r="K120" s="424"/>
      <c r="L120" s="424"/>
      <c r="M120" s="424"/>
      <c r="N120" s="424"/>
      <c r="O120" s="424"/>
      <c r="P120" s="424"/>
      <c r="Q120" s="424"/>
      <c r="R120" s="424"/>
      <c r="S120" s="424"/>
      <c r="T120" s="424"/>
      <c r="U120" s="424"/>
      <c r="V120" s="443"/>
      <c r="W120" s="426"/>
      <c r="X120" s="405"/>
    </row>
    <row r="121" spans="1:24" x14ac:dyDescent="0.3">
      <c r="A121" s="420"/>
      <c r="B121" s="522" t="s">
        <v>179</v>
      </c>
      <c r="C121" s="522"/>
      <c r="D121" s="522"/>
      <c r="E121" s="522"/>
      <c r="F121" s="522"/>
      <c r="G121" s="522"/>
      <c r="H121" s="522"/>
      <c r="I121" s="522"/>
      <c r="J121" s="522"/>
      <c r="K121" s="522"/>
      <c r="L121" s="522"/>
      <c r="M121" s="522"/>
      <c r="N121" s="522"/>
      <c r="O121" s="522"/>
      <c r="P121" s="522"/>
      <c r="Q121" s="522"/>
      <c r="R121" s="522"/>
      <c r="S121" s="522"/>
      <c r="T121" s="562">
        <f>-T181</f>
        <v>0</v>
      </c>
      <c r="U121" s="562"/>
      <c r="V121" s="563"/>
      <c r="W121" s="524"/>
      <c r="X121" s="405"/>
    </row>
    <row r="122" spans="1:24" x14ac:dyDescent="0.3">
      <c r="A122" s="420"/>
      <c r="B122" s="522" t="s">
        <v>180</v>
      </c>
      <c r="C122" s="522"/>
      <c r="D122" s="522"/>
      <c r="E122" s="522"/>
      <c r="F122" s="522"/>
      <c r="G122" s="522"/>
      <c r="H122" s="522"/>
      <c r="I122" s="522"/>
      <c r="J122" s="522"/>
      <c r="K122" s="522"/>
      <c r="L122" s="522"/>
      <c r="M122" s="522"/>
      <c r="N122" s="522"/>
      <c r="O122" s="522"/>
      <c r="P122" s="522"/>
      <c r="Q122" s="522"/>
      <c r="R122" s="522"/>
      <c r="S122" s="522"/>
      <c r="T122" s="562">
        <v>0</v>
      </c>
      <c r="U122" s="562"/>
      <c r="V122" s="563"/>
      <c r="W122" s="524"/>
      <c r="X122" s="405"/>
    </row>
    <row r="123" spans="1:24" x14ac:dyDescent="0.3">
      <c r="A123" s="420"/>
      <c r="B123" s="522" t="s">
        <v>39</v>
      </c>
      <c r="C123" s="522"/>
      <c r="D123" s="522"/>
      <c r="E123" s="522"/>
      <c r="F123" s="522"/>
      <c r="G123" s="522"/>
      <c r="H123" s="522"/>
      <c r="I123" s="522"/>
      <c r="J123" s="522"/>
      <c r="K123" s="522"/>
      <c r="L123" s="522"/>
      <c r="M123" s="522"/>
      <c r="N123" s="522"/>
      <c r="O123" s="522"/>
      <c r="P123" s="522"/>
      <c r="Q123" s="522"/>
      <c r="R123" s="522"/>
      <c r="S123" s="522"/>
      <c r="T123" s="562">
        <f>-S181</f>
        <v>0</v>
      </c>
      <c r="U123" s="562"/>
      <c r="V123" s="563"/>
      <c r="W123" s="524"/>
      <c r="X123" s="405"/>
    </row>
    <row r="124" spans="1:24" x14ac:dyDescent="0.3">
      <c r="A124" s="420"/>
      <c r="B124" s="522" t="s">
        <v>203</v>
      </c>
      <c r="C124" s="522"/>
      <c r="D124" s="522"/>
      <c r="E124" s="522"/>
      <c r="F124" s="522"/>
      <c r="G124" s="522"/>
      <c r="H124" s="522"/>
      <c r="I124" s="522"/>
      <c r="J124" s="522"/>
      <c r="K124" s="522"/>
      <c r="L124" s="522"/>
      <c r="M124" s="522"/>
      <c r="N124" s="522"/>
      <c r="O124" s="522"/>
      <c r="P124" s="522"/>
      <c r="Q124" s="522"/>
      <c r="R124" s="522"/>
      <c r="S124" s="522"/>
      <c r="T124" s="562">
        <v>-5213</v>
      </c>
      <c r="U124" s="562"/>
      <c r="V124" s="563"/>
      <c r="W124" s="524"/>
      <c r="X124" s="405"/>
    </row>
    <row r="125" spans="1:24" x14ac:dyDescent="0.3">
      <c r="A125" s="420"/>
      <c r="B125" s="522" t="s">
        <v>201</v>
      </c>
      <c r="C125" s="522"/>
      <c r="D125" s="522"/>
      <c r="E125" s="522"/>
      <c r="F125" s="522"/>
      <c r="G125" s="522"/>
      <c r="H125" s="522"/>
      <c r="I125" s="522"/>
      <c r="J125" s="522"/>
      <c r="K125" s="522"/>
      <c r="L125" s="522"/>
      <c r="M125" s="522"/>
      <c r="N125" s="522"/>
      <c r="O125" s="522"/>
      <c r="P125" s="522"/>
      <c r="Q125" s="522"/>
      <c r="R125" s="522"/>
      <c r="S125" s="522"/>
      <c r="T125" s="562">
        <v>-927</v>
      </c>
      <c r="U125" s="562"/>
      <c r="V125" s="563"/>
      <c r="W125" s="524"/>
      <c r="X125" s="405"/>
    </row>
    <row r="126" spans="1:24" x14ac:dyDescent="0.3">
      <c r="A126" s="420"/>
      <c r="B126" s="522" t="s">
        <v>200</v>
      </c>
      <c r="C126" s="522"/>
      <c r="D126" s="522"/>
      <c r="E126" s="522"/>
      <c r="F126" s="522"/>
      <c r="G126" s="522"/>
      <c r="H126" s="522"/>
      <c r="I126" s="522"/>
      <c r="J126" s="522"/>
      <c r="K126" s="522"/>
      <c r="L126" s="522"/>
      <c r="M126" s="522"/>
      <c r="N126" s="522"/>
      <c r="O126" s="522"/>
      <c r="P126" s="522"/>
      <c r="Q126" s="522"/>
      <c r="R126" s="522"/>
      <c r="S126" s="522"/>
      <c r="T126" s="562">
        <v>-1081</v>
      </c>
      <c r="U126" s="562"/>
      <c r="V126" s="563"/>
      <c r="W126" s="524"/>
      <c r="X126" s="405"/>
    </row>
    <row r="127" spans="1:24" x14ac:dyDescent="0.3">
      <c r="A127" s="420"/>
      <c r="B127" s="522" t="s">
        <v>260</v>
      </c>
      <c r="C127" s="522"/>
      <c r="D127" s="522"/>
      <c r="E127" s="522"/>
      <c r="F127" s="522"/>
      <c r="G127" s="522"/>
      <c r="H127" s="522"/>
      <c r="I127" s="522"/>
      <c r="J127" s="522"/>
      <c r="K127" s="522"/>
      <c r="L127" s="522"/>
      <c r="M127" s="522"/>
      <c r="N127" s="522"/>
      <c r="O127" s="522"/>
      <c r="P127" s="522"/>
      <c r="Q127" s="522"/>
      <c r="R127" s="522"/>
      <c r="S127" s="522"/>
      <c r="T127" s="562">
        <v>-1081</v>
      </c>
      <c r="U127" s="562"/>
      <c r="V127" s="563"/>
      <c r="W127" s="524"/>
      <c r="X127" s="405"/>
    </row>
    <row r="128" spans="1:24" x14ac:dyDescent="0.3">
      <c r="A128" s="420"/>
      <c r="B128" s="522" t="s">
        <v>195</v>
      </c>
      <c r="C128" s="522"/>
      <c r="D128" s="522"/>
      <c r="E128" s="522"/>
      <c r="F128" s="522"/>
      <c r="G128" s="522"/>
      <c r="H128" s="522"/>
      <c r="I128" s="522"/>
      <c r="J128" s="522"/>
      <c r="K128" s="522"/>
      <c r="L128" s="522"/>
      <c r="M128" s="522"/>
      <c r="N128" s="522"/>
      <c r="O128" s="522"/>
      <c r="P128" s="522"/>
      <c r="Q128" s="522"/>
      <c r="R128" s="522"/>
      <c r="S128" s="522"/>
      <c r="T128" s="562">
        <v>-378</v>
      </c>
      <c r="U128" s="562"/>
      <c r="V128" s="563"/>
      <c r="W128" s="524"/>
      <c r="X128" s="405"/>
    </row>
    <row r="129" spans="1:24" x14ac:dyDescent="0.3">
      <c r="A129" s="420"/>
      <c r="B129" s="522" t="s">
        <v>194</v>
      </c>
      <c r="C129" s="522"/>
      <c r="D129" s="522"/>
      <c r="E129" s="522"/>
      <c r="F129" s="522"/>
      <c r="G129" s="522"/>
      <c r="H129" s="522"/>
      <c r="I129" s="522"/>
      <c r="J129" s="522"/>
      <c r="K129" s="522"/>
      <c r="L129" s="522"/>
      <c r="M129" s="522"/>
      <c r="N129" s="522"/>
      <c r="O129" s="522"/>
      <c r="P129" s="522"/>
      <c r="Q129" s="522"/>
      <c r="R129" s="522"/>
      <c r="S129" s="522"/>
      <c r="T129" s="562">
        <v>-1314</v>
      </c>
      <c r="U129" s="562"/>
      <c r="V129" s="563"/>
      <c r="W129" s="524"/>
      <c r="X129" s="405"/>
    </row>
    <row r="130" spans="1:24" x14ac:dyDescent="0.3">
      <c r="A130" s="420"/>
      <c r="B130" s="522" t="s">
        <v>261</v>
      </c>
      <c r="C130" s="522"/>
      <c r="D130" s="522"/>
      <c r="E130" s="522"/>
      <c r="F130" s="522"/>
      <c r="G130" s="522"/>
      <c r="H130" s="522"/>
      <c r="I130" s="522"/>
      <c r="J130" s="522"/>
      <c r="K130" s="522"/>
      <c r="L130" s="522"/>
      <c r="M130" s="522"/>
      <c r="N130" s="522"/>
      <c r="O130" s="522"/>
      <c r="P130" s="522"/>
      <c r="Q130" s="522"/>
      <c r="R130" s="522"/>
      <c r="S130" s="522"/>
      <c r="T130" s="562">
        <v>-257</v>
      </c>
      <c r="U130" s="562"/>
      <c r="V130" s="563"/>
      <c r="W130" s="524"/>
      <c r="X130" s="405"/>
    </row>
    <row r="131" spans="1:24" x14ac:dyDescent="0.3">
      <c r="A131" s="420"/>
      <c r="B131" s="522" t="s">
        <v>193</v>
      </c>
      <c r="C131" s="522"/>
      <c r="D131" s="522"/>
      <c r="E131" s="522"/>
      <c r="F131" s="522"/>
      <c r="G131" s="522"/>
      <c r="H131" s="522"/>
      <c r="I131" s="522"/>
      <c r="J131" s="522"/>
      <c r="K131" s="522"/>
      <c r="L131" s="522"/>
      <c r="M131" s="522"/>
      <c r="N131" s="522"/>
      <c r="O131" s="522"/>
      <c r="P131" s="522"/>
      <c r="Q131" s="522"/>
      <c r="R131" s="522"/>
      <c r="S131" s="522"/>
      <c r="T131" s="562">
        <v>-1106</v>
      </c>
      <c r="U131" s="562"/>
      <c r="V131" s="563"/>
      <c r="W131" s="524"/>
      <c r="X131" s="405"/>
    </row>
    <row r="132" spans="1:24" x14ac:dyDescent="0.3">
      <c r="A132" s="420"/>
      <c r="B132" s="522" t="s">
        <v>40</v>
      </c>
      <c r="C132" s="522"/>
      <c r="D132" s="522"/>
      <c r="E132" s="522"/>
      <c r="F132" s="522"/>
      <c r="G132" s="522"/>
      <c r="H132" s="522"/>
      <c r="I132" s="522"/>
      <c r="J132" s="522"/>
      <c r="K132" s="522"/>
      <c r="L132" s="522"/>
      <c r="M132" s="522"/>
      <c r="N132" s="522"/>
      <c r="O132" s="522"/>
      <c r="P132" s="522"/>
      <c r="Q132" s="522"/>
      <c r="R132" s="522"/>
      <c r="S132" s="522"/>
      <c r="T132" s="562">
        <f>SUM(T121:T131)</f>
        <v>-11357</v>
      </c>
      <c r="U132" s="562"/>
      <c r="V132" s="562">
        <f>SUM(V101:V129)</f>
        <v>-5286</v>
      </c>
      <c r="W132" s="524"/>
      <c r="X132" s="405"/>
    </row>
    <row r="133" spans="1:24" x14ac:dyDescent="0.3">
      <c r="A133" s="420"/>
      <c r="B133" s="522" t="s">
        <v>41</v>
      </c>
      <c r="C133" s="522"/>
      <c r="D133" s="522"/>
      <c r="E133" s="522"/>
      <c r="F133" s="522"/>
      <c r="G133" s="522"/>
      <c r="H133" s="522"/>
      <c r="I133" s="522"/>
      <c r="J133" s="522"/>
      <c r="K133" s="522"/>
      <c r="L133" s="522"/>
      <c r="M133" s="522"/>
      <c r="N133" s="522"/>
      <c r="O133" s="522"/>
      <c r="P133" s="522"/>
      <c r="Q133" s="522"/>
      <c r="R133" s="522"/>
      <c r="S133" s="522"/>
      <c r="T133" s="562">
        <f>T100+T132+T114</f>
        <v>0</v>
      </c>
      <c r="U133" s="562"/>
      <c r="V133" s="562">
        <f>V100+V132</f>
        <v>0</v>
      </c>
      <c r="W133" s="524"/>
      <c r="X133" s="405"/>
    </row>
    <row r="134" spans="1:24" x14ac:dyDescent="0.3">
      <c r="A134" s="407"/>
      <c r="B134" s="552"/>
      <c r="C134" s="552"/>
      <c r="D134" s="552"/>
      <c r="E134" s="552"/>
      <c r="F134" s="552"/>
      <c r="G134" s="552"/>
      <c r="H134" s="552"/>
      <c r="I134" s="552"/>
      <c r="J134" s="552"/>
      <c r="K134" s="552"/>
      <c r="L134" s="552"/>
      <c r="M134" s="552"/>
      <c r="N134" s="552"/>
      <c r="O134" s="552"/>
      <c r="P134" s="552"/>
      <c r="Q134" s="552"/>
      <c r="R134" s="552"/>
      <c r="S134" s="552"/>
      <c r="T134" s="567"/>
      <c r="U134" s="567"/>
      <c r="V134" s="567"/>
      <c r="W134" s="552"/>
      <c r="X134" s="405"/>
    </row>
    <row r="135" spans="1:24" x14ac:dyDescent="0.3">
      <c r="A135" s="407"/>
      <c r="B135" s="510"/>
      <c r="C135" s="510"/>
      <c r="D135" s="510"/>
      <c r="E135" s="510"/>
      <c r="F135" s="510"/>
      <c r="G135" s="510"/>
      <c r="H135" s="510"/>
      <c r="I135" s="510"/>
      <c r="J135" s="510"/>
      <c r="K135" s="510"/>
      <c r="L135" s="510"/>
      <c r="M135" s="510"/>
      <c r="N135" s="510"/>
      <c r="O135" s="510"/>
      <c r="P135" s="510"/>
      <c r="Q135" s="510"/>
      <c r="R135" s="510"/>
      <c r="S135" s="510"/>
      <c r="T135" s="510"/>
      <c r="U135" s="510"/>
      <c r="V135" s="568"/>
      <c r="W135" s="510"/>
      <c r="X135" s="405"/>
    </row>
    <row r="136" spans="1:24" ht="18.600000000000001" thickBot="1" x14ac:dyDescent="0.4">
      <c r="A136" s="430"/>
      <c r="B136" s="558" t="str">
        <f>B64</f>
        <v>PM12 INVESTOR REPORT QUARTER ENDING JANUARY 2019</v>
      </c>
      <c r="C136" s="559"/>
      <c r="D136" s="559"/>
      <c r="E136" s="559"/>
      <c r="F136" s="559"/>
      <c r="G136" s="559"/>
      <c r="H136" s="559"/>
      <c r="I136" s="559"/>
      <c r="J136" s="559"/>
      <c r="K136" s="559"/>
      <c r="L136" s="559"/>
      <c r="M136" s="559"/>
      <c r="N136" s="559"/>
      <c r="O136" s="559"/>
      <c r="P136" s="559"/>
      <c r="Q136" s="559"/>
      <c r="R136" s="559"/>
      <c r="S136" s="559"/>
      <c r="T136" s="559"/>
      <c r="U136" s="559"/>
      <c r="V136" s="569"/>
      <c r="W136" s="561"/>
      <c r="X136" s="405"/>
    </row>
    <row r="137" spans="1:24" x14ac:dyDescent="0.3">
      <c r="A137" s="444"/>
      <c r="B137" s="445" t="s">
        <v>42</v>
      </c>
      <c r="C137" s="446"/>
      <c r="D137" s="446"/>
      <c r="E137" s="446"/>
      <c r="F137" s="446"/>
      <c r="G137" s="446"/>
      <c r="H137" s="446"/>
      <c r="I137" s="446"/>
      <c r="J137" s="446"/>
      <c r="K137" s="446"/>
      <c r="L137" s="446"/>
      <c r="M137" s="446"/>
      <c r="N137" s="446"/>
      <c r="O137" s="446"/>
      <c r="P137" s="446"/>
      <c r="Q137" s="446"/>
      <c r="R137" s="446"/>
      <c r="S137" s="446"/>
      <c r="T137" s="446"/>
      <c r="U137" s="446"/>
      <c r="V137" s="447"/>
      <c r="W137" s="446"/>
      <c r="X137" s="405"/>
    </row>
    <row r="138" spans="1:24" x14ac:dyDescent="0.3">
      <c r="A138" s="407"/>
      <c r="B138" s="448"/>
      <c r="C138" s="409"/>
      <c r="D138" s="409"/>
      <c r="E138" s="409"/>
      <c r="F138" s="409"/>
      <c r="G138" s="409"/>
      <c r="H138" s="409"/>
      <c r="I138" s="409"/>
      <c r="J138" s="409"/>
      <c r="K138" s="409"/>
      <c r="L138" s="409"/>
      <c r="M138" s="409"/>
      <c r="N138" s="409"/>
      <c r="O138" s="409"/>
      <c r="P138" s="409"/>
      <c r="Q138" s="409"/>
      <c r="R138" s="409"/>
      <c r="S138" s="409"/>
      <c r="T138" s="409"/>
      <c r="U138" s="409"/>
      <c r="V138" s="433"/>
      <c r="W138" s="409"/>
      <c r="X138" s="405"/>
    </row>
    <row r="139" spans="1:24" x14ac:dyDescent="0.3">
      <c r="A139" s="407"/>
      <c r="B139" s="502" t="s">
        <v>43</v>
      </c>
      <c r="C139" s="409"/>
      <c r="D139" s="409"/>
      <c r="E139" s="409"/>
      <c r="F139" s="409"/>
      <c r="G139" s="409"/>
      <c r="H139" s="409"/>
      <c r="I139" s="409"/>
      <c r="J139" s="409"/>
      <c r="K139" s="409"/>
      <c r="L139" s="409"/>
      <c r="M139" s="409"/>
      <c r="N139" s="409"/>
      <c r="O139" s="409"/>
      <c r="P139" s="409"/>
      <c r="Q139" s="409"/>
      <c r="R139" s="409"/>
      <c r="S139" s="409"/>
      <c r="T139" s="409"/>
      <c r="U139" s="409"/>
      <c r="V139" s="433"/>
      <c r="W139" s="409"/>
      <c r="X139" s="405"/>
    </row>
    <row r="140" spans="1:24" s="513" customFormat="1" x14ac:dyDescent="0.3">
      <c r="A140" s="521"/>
      <c r="B140" s="522" t="s">
        <v>44</v>
      </c>
      <c r="C140" s="522"/>
      <c r="D140" s="522"/>
      <c r="E140" s="522"/>
      <c r="F140" s="522"/>
      <c r="G140" s="522"/>
      <c r="H140" s="522"/>
      <c r="I140" s="522"/>
      <c r="J140" s="522"/>
      <c r="K140" s="522"/>
      <c r="L140" s="522"/>
      <c r="M140" s="522"/>
      <c r="N140" s="522"/>
      <c r="O140" s="522"/>
      <c r="P140" s="522"/>
      <c r="Q140" s="522"/>
      <c r="R140" s="522"/>
      <c r="S140" s="522"/>
      <c r="T140" s="522"/>
      <c r="U140" s="522"/>
      <c r="V140" s="563">
        <f>+V34*0.019</f>
        <v>28503.895</v>
      </c>
      <c r="W140" s="524"/>
      <c r="X140" s="512"/>
    </row>
    <row r="141" spans="1:24" s="513" customFormat="1" x14ac:dyDescent="0.3">
      <c r="A141" s="521"/>
      <c r="B141" s="522" t="s">
        <v>45</v>
      </c>
      <c r="C141" s="522"/>
      <c r="D141" s="522"/>
      <c r="E141" s="522"/>
      <c r="F141" s="522"/>
      <c r="G141" s="522"/>
      <c r="H141" s="522"/>
      <c r="I141" s="522"/>
      <c r="J141" s="522"/>
      <c r="K141" s="522"/>
      <c r="L141" s="522"/>
      <c r="M141" s="522"/>
      <c r="N141" s="522"/>
      <c r="O141" s="522"/>
      <c r="P141" s="522"/>
      <c r="Q141" s="522"/>
      <c r="R141" s="522"/>
      <c r="S141" s="522"/>
      <c r="T141" s="522"/>
      <c r="U141" s="522"/>
      <c r="V141" s="563">
        <v>28504</v>
      </c>
      <c r="W141" s="524"/>
      <c r="X141" s="512"/>
    </row>
    <row r="142" spans="1:24" s="513" customFormat="1" x14ac:dyDescent="0.3">
      <c r="A142" s="521"/>
      <c r="B142" s="522" t="s">
        <v>141</v>
      </c>
      <c r="C142" s="522"/>
      <c r="D142" s="522"/>
      <c r="E142" s="522"/>
      <c r="F142" s="522"/>
      <c r="G142" s="522"/>
      <c r="H142" s="522"/>
      <c r="I142" s="522"/>
      <c r="J142" s="522"/>
      <c r="K142" s="522"/>
      <c r="L142" s="522"/>
      <c r="M142" s="522"/>
      <c r="N142" s="522"/>
      <c r="O142" s="522"/>
      <c r="P142" s="522"/>
      <c r="Q142" s="522"/>
      <c r="R142" s="522"/>
      <c r="S142" s="522"/>
      <c r="T142" s="522"/>
      <c r="U142" s="522"/>
      <c r="V142" s="563">
        <v>0</v>
      </c>
      <c r="W142" s="524"/>
      <c r="X142" s="512"/>
    </row>
    <row r="143" spans="1:24" s="513" customFormat="1" x14ac:dyDescent="0.3">
      <c r="A143" s="521"/>
      <c r="B143" s="522" t="s">
        <v>128</v>
      </c>
      <c r="C143" s="522"/>
      <c r="D143" s="522"/>
      <c r="E143" s="522"/>
      <c r="F143" s="522"/>
      <c r="G143" s="522"/>
      <c r="H143" s="522"/>
      <c r="I143" s="522"/>
      <c r="J143" s="522"/>
      <c r="K143" s="522"/>
      <c r="L143" s="522"/>
      <c r="M143" s="522"/>
      <c r="N143" s="522"/>
      <c r="O143" s="522"/>
      <c r="P143" s="522"/>
      <c r="Q143" s="522"/>
      <c r="R143" s="522"/>
      <c r="S143" s="522"/>
      <c r="T143" s="522"/>
      <c r="U143" s="522"/>
      <c r="V143" s="563">
        <v>0</v>
      </c>
      <c r="W143" s="524"/>
      <c r="X143" s="512"/>
    </row>
    <row r="144" spans="1:24" s="513" customFormat="1" x14ac:dyDescent="0.3">
      <c r="A144" s="521"/>
      <c r="B144" s="522" t="s">
        <v>129</v>
      </c>
      <c r="C144" s="522"/>
      <c r="D144" s="522"/>
      <c r="E144" s="522"/>
      <c r="F144" s="522"/>
      <c r="G144" s="522"/>
      <c r="H144" s="522"/>
      <c r="I144" s="522"/>
      <c r="J144" s="522"/>
      <c r="K144" s="522"/>
      <c r="L144" s="522"/>
      <c r="M144" s="522"/>
      <c r="N144" s="522"/>
      <c r="O144" s="522"/>
      <c r="P144" s="522"/>
      <c r="Q144" s="522"/>
      <c r="R144" s="522"/>
      <c r="S144" s="522"/>
      <c r="T144" s="522"/>
      <c r="U144" s="522"/>
      <c r="V144" s="563">
        <v>0</v>
      </c>
      <c r="W144" s="524"/>
      <c r="X144" s="512"/>
    </row>
    <row r="145" spans="1:25" s="513" customFormat="1" x14ac:dyDescent="0.3">
      <c r="A145" s="521"/>
      <c r="B145" s="522" t="s">
        <v>181</v>
      </c>
      <c r="C145" s="522"/>
      <c r="D145" s="522"/>
      <c r="E145" s="522"/>
      <c r="F145" s="522"/>
      <c r="G145" s="522"/>
      <c r="H145" s="522"/>
      <c r="I145" s="522"/>
      <c r="J145" s="522"/>
      <c r="K145" s="522"/>
      <c r="L145" s="522"/>
      <c r="M145" s="522"/>
      <c r="N145" s="522"/>
      <c r="O145" s="522"/>
      <c r="P145" s="522"/>
      <c r="Q145" s="522"/>
      <c r="R145" s="522"/>
      <c r="S145" s="522"/>
      <c r="T145" s="522"/>
      <c r="U145" s="522"/>
      <c r="V145" s="563">
        <v>0</v>
      </c>
      <c r="W145" s="524"/>
      <c r="X145" s="512"/>
    </row>
    <row r="146" spans="1:25" s="513" customFormat="1" x14ac:dyDescent="0.3">
      <c r="A146" s="521"/>
      <c r="B146" s="522" t="s">
        <v>46</v>
      </c>
      <c r="C146" s="522"/>
      <c r="D146" s="522"/>
      <c r="E146" s="522"/>
      <c r="F146" s="522"/>
      <c r="G146" s="522"/>
      <c r="H146" s="522"/>
      <c r="I146" s="522"/>
      <c r="J146" s="522"/>
      <c r="K146" s="522"/>
      <c r="L146" s="522"/>
      <c r="M146" s="522"/>
      <c r="N146" s="522"/>
      <c r="O146" s="522"/>
      <c r="P146" s="522"/>
      <c r="Q146" s="522"/>
      <c r="R146" s="522"/>
      <c r="S146" s="522"/>
      <c r="T146" s="522"/>
      <c r="U146" s="522"/>
      <c r="V146" s="563">
        <v>0</v>
      </c>
      <c r="W146" s="524"/>
      <c r="X146" s="512"/>
    </row>
    <row r="147" spans="1:25" s="513" customFormat="1" x14ac:dyDescent="0.3">
      <c r="A147" s="521"/>
      <c r="B147" s="522" t="s">
        <v>134</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5" s="513" customFormat="1" x14ac:dyDescent="0.3">
      <c r="A148" s="521"/>
      <c r="B148" s="522" t="s">
        <v>230</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c r="Y148" s="570"/>
    </row>
    <row r="149" spans="1:25" s="513" customFormat="1" x14ac:dyDescent="0.3">
      <c r="A149" s="521"/>
      <c r="B149" s="522" t="s">
        <v>47</v>
      </c>
      <c r="C149" s="522"/>
      <c r="D149" s="522"/>
      <c r="E149" s="522"/>
      <c r="F149" s="522"/>
      <c r="G149" s="522"/>
      <c r="H149" s="522"/>
      <c r="I149" s="522"/>
      <c r="J149" s="522"/>
      <c r="K149" s="522"/>
      <c r="L149" s="522"/>
      <c r="M149" s="522"/>
      <c r="N149" s="522"/>
      <c r="O149" s="522"/>
      <c r="P149" s="522"/>
      <c r="Q149" s="522"/>
      <c r="R149" s="522"/>
      <c r="S149" s="522"/>
      <c r="T149" s="522"/>
      <c r="U149" s="522"/>
      <c r="V149" s="563">
        <f>SUM(V141:V148)</f>
        <v>28504</v>
      </c>
      <c r="W149" s="524"/>
      <c r="X149" s="512"/>
    </row>
    <row r="150" spans="1:25" x14ac:dyDescent="0.3">
      <c r="A150" s="420"/>
      <c r="B150" s="424"/>
      <c r="C150" s="424"/>
      <c r="D150" s="424"/>
      <c r="E150" s="424"/>
      <c r="F150" s="424"/>
      <c r="G150" s="424"/>
      <c r="H150" s="424"/>
      <c r="I150" s="424"/>
      <c r="J150" s="424"/>
      <c r="K150" s="424"/>
      <c r="L150" s="424"/>
      <c r="M150" s="424"/>
      <c r="N150" s="424"/>
      <c r="O150" s="424"/>
      <c r="P150" s="424"/>
      <c r="Q150" s="424"/>
      <c r="R150" s="424"/>
      <c r="S150" s="424"/>
      <c r="T150" s="424"/>
      <c r="U150" s="424"/>
      <c r="V150" s="440"/>
      <c r="W150" s="426"/>
      <c r="X150" s="405"/>
    </row>
    <row r="151" spans="1:25" x14ac:dyDescent="0.3">
      <c r="A151" s="420"/>
      <c r="B151" s="501" t="s">
        <v>269</v>
      </c>
      <c r="C151" s="424"/>
      <c r="D151" s="424"/>
      <c r="E151" s="424"/>
      <c r="F151" s="424"/>
      <c r="G151" s="424"/>
      <c r="H151" s="424"/>
      <c r="I151" s="424"/>
      <c r="J151" s="424"/>
      <c r="K151" s="424"/>
      <c r="L151" s="424"/>
      <c r="M151" s="424"/>
      <c r="N151" s="424"/>
      <c r="O151" s="424"/>
      <c r="P151" s="424"/>
      <c r="Q151" s="424"/>
      <c r="R151" s="424"/>
      <c r="S151" s="424"/>
      <c r="T151" s="424"/>
      <c r="U151" s="424"/>
      <c r="V151" s="440"/>
      <c r="W151" s="426"/>
      <c r="X151" s="405"/>
    </row>
    <row r="152" spans="1:25" s="513" customFormat="1" x14ac:dyDescent="0.3">
      <c r="A152" s="521"/>
      <c r="B152" s="522" t="s">
        <v>160</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5" s="513" customFormat="1" x14ac:dyDescent="0.3">
      <c r="A153" s="521"/>
      <c r="B153" s="522" t="s">
        <v>178</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row>
    <row r="154" spans="1:25" s="513" customFormat="1" x14ac:dyDescent="0.3">
      <c r="A154" s="521"/>
      <c r="B154" s="522" t="s">
        <v>270</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row>
    <row r="155" spans="1:25" x14ac:dyDescent="0.3">
      <c r="A155" s="420"/>
      <c r="B155" s="424"/>
      <c r="C155" s="424"/>
      <c r="D155" s="424"/>
      <c r="E155" s="424"/>
      <c r="F155" s="424"/>
      <c r="G155" s="424"/>
      <c r="H155" s="424"/>
      <c r="I155" s="424"/>
      <c r="J155" s="424"/>
      <c r="K155" s="424"/>
      <c r="L155" s="424"/>
      <c r="M155" s="424"/>
      <c r="N155" s="424"/>
      <c r="O155" s="424"/>
      <c r="P155" s="424"/>
      <c r="Q155" s="424"/>
      <c r="R155" s="424"/>
      <c r="S155" s="424"/>
      <c r="T155" s="424"/>
      <c r="U155" s="424"/>
      <c r="V155" s="440"/>
      <c r="W155" s="426"/>
      <c r="X155" s="405"/>
    </row>
    <row r="156" spans="1:25" x14ac:dyDescent="0.3">
      <c r="A156" s="407"/>
      <c r="B156" s="429"/>
      <c r="C156" s="429"/>
      <c r="D156" s="429"/>
      <c r="E156" s="429"/>
      <c r="F156" s="429"/>
      <c r="G156" s="429"/>
      <c r="H156" s="429"/>
      <c r="I156" s="429"/>
      <c r="J156" s="429"/>
      <c r="K156" s="429"/>
      <c r="L156" s="429"/>
      <c r="M156" s="429"/>
      <c r="N156" s="429"/>
      <c r="O156" s="429"/>
      <c r="P156" s="429"/>
      <c r="Q156" s="429"/>
      <c r="R156" s="429"/>
      <c r="S156" s="429"/>
      <c r="T156" s="429"/>
      <c r="U156" s="429"/>
      <c r="V156" s="449"/>
      <c r="W156" s="429"/>
      <c r="X156" s="405"/>
    </row>
    <row r="157" spans="1:25" x14ac:dyDescent="0.3">
      <c r="A157" s="407"/>
      <c r="B157" s="502" t="s">
        <v>24</v>
      </c>
      <c r="C157" s="409"/>
      <c r="D157" s="409"/>
      <c r="E157" s="409"/>
      <c r="F157" s="409"/>
      <c r="G157" s="409"/>
      <c r="H157" s="409"/>
      <c r="I157" s="409"/>
      <c r="J157" s="409"/>
      <c r="K157" s="409"/>
      <c r="L157" s="409"/>
      <c r="M157" s="409"/>
      <c r="N157" s="409"/>
      <c r="O157" s="409"/>
      <c r="P157" s="409"/>
      <c r="Q157" s="409"/>
      <c r="R157" s="409"/>
      <c r="S157" s="409"/>
      <c r="T157" s="409"/>
      <c r="U157" s="409"/>
      <c r="V157" s="433"/>
      <c r="W157" s="409"/>
      <c r="X157" s="405"/>
    </row>
    <row r="158" spans="1:25" s="513" customFormat="1" x14ac:dyDescent="0.3">
      <c r="A158" s="521"/>
      <c r="B158" s="522" t="s">
        <v>48</v>
      </c>
      <c r="C158" s="522"/>
      <c r="D158" s="522"/>
      <c r="E158" s="522"/>
      <c r="F158" s="522"/>
      <c r="G158" s="522"/>
      <c r="H158" s="522"/>
      <c r="I158" s="522"/>
      <c r="J158" s="522"/>
      <c r="K158" s="522"/>
      <c r="L158" s="522"/>
      <c r="M158" s="522"/>
      <c r="N158" s="522"/>
      <c r="O158" s="522"/>
      <c r="P158" s="522"/>
      <c r="Q158" s="522"/>
      <c r="R158" s="522"/>
      <c r="S158" s="522"/>
      <c r="T158" s="522"/>
      <c r="U158" s="522"/>
      <c r="V158" s="571" t="s">
        <v>123</v>
      </c>
      <c r="W158" s="524"/>
      <c r="X158" s="512"/>
    </row>
    <row r="159" spans="1:25" s="513" customFormat="1" x14ac:dyDescent="0.3">
      <c r="A159" s="521"/>
      <c r="B159" s="522" t="s">
        <v>49</v>
      </c>
      <c r="C159" s="522"/>
      <c r="D159" s="522"/>
      <c r="E159" s="522"/>
      <c r="F159" s="522"/>
      <c r="G159" s="522"/>
      <c r="H159" s="522"/>
      <c r="I159" s="522"/>
      <c r="J159" s="522"/>
      <c r="K159" s="522"/>
      <c r="L159" s="522"/>
      <c r="M159" s="522"/>
      <c r="N159" s="522"/>
      <c r="O159" s="522"/>
      <c r="P159" s="522"/>
      <c r="Q159" s="522"/>
      <c r="R159" s="522"/>
      <c r="S159" s="522"/>
      <c r="T159" s="522"/>
      <c r="U159" s="522"/>
      <c r="V159" s="571" t="s">
        <v>123</v>
      </c>
      <c r="W159" s="524"/>
      <c r="X159" s="512"/>
    </row>
    <row r="160" spans="1:25" s="513" customFormat="1" x14ac:dyDescent="0.3">
      <c r="A160" s="521"/>
      <c r="B160" s="522" t="s">
        <v>50</v>
      </c>
      <c r="C160" s="522"/>
      <c r="D160" s="522"/>
      <c r="E160" s="522"/>
      <c r="F160" s="522"/>
      <c r="G160" s="522"/>
      <c r="H160" s="522"/>
      <c r="I160" s="522"/>
      <c r="J160" s="522"/>
      <c r="K160" s="522"/>
      <c r="L160" s="522"/>
      <c r="M160" s="522"/>
      <c r="N160" s="522"/>
      <c r="O160" s="522"/>
      <c r="P160" s="522"/>
      <c r="Q160" s="522"/>
      <c r="R160" s="522"/>
      <c r="S160" s="522"/>
      <c r="T160" s="522"/>
      <c r="U160" s="522"/>
      <c r="V160" s="571" t="s">
        <v>123</v>
      </c>
      <c r="W160" s="524"/>
      <c r="X160" s="512"/>
    </row>
    <row r="161" spans="1:24" s="513" customFormat="1" x14ac:dyDescent="0.3">
      <c r="A161" s="521"/>
      <c r="B161" s="522" t="s">
        <v>51</v>
      </c>
      <c r="C161" s="522"/>
      <c r="D161" s="522"/>
      <c r="E161" s="522"/>
      <c r="F161" s="522"/>
      <c r="G161" s="522"/>
      <c r="H161" s="522"/>
      <c r="I161" s="522"/>
      <c r="J161" s="522"/>
      <c r="K161" s="522"/>
      <c r="L161" s="522"/>
      <c r="M161" s="522"/>
      <c r="N161" s="522"/>
      <c r="O161" s="522"/>
      <c r="P161" s="522"/>
      <c r="Q161" s="522"/>
      <c r="R161" s="522"/>
      <c r="S161" s="522"/>
      <c r="T161" s="522"/>
      <c r="U161" s="522"/>
      <c r="V161" s="571" t="s">
        <v>123</v>
      </c>
      <c r="W161" s="524"/>
      <c r="X161" s="512"/>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52</v>
      </c>
      <c r="C163" s="409"/>
      <c r="D163" s="409"/>
      <c r="E163" s="409"/>
      <c r="F163" s="409"/>
      <c r="G163" s="409"/>
      <c r="H163" s="409"/>
      <c r="I163" s="409"/>
      <c r="J163" s="409"/>
      <c r="K163" s="409"/>
      <c r="L163" s="409"/>
      <c r="M163" s="409"/>
      <c r="N163" s="409"/>
      <c r="O163" s="409"/>
      <c r="P163" s="409"/>
      <c r="Q163" s="409"/>
      <c r="R163" s="409"/>
      <c r="S163" s="409"/>
      <c r="T163" s="409"/>
      <c r="U163" s="409"/>
      <c r="V163" s="450"/>
      <c r="W163" s="409"/>
      <c r="X163" s="405"/>
    </row>
    <row r="164" spans="1:24" s="513" customFormat="1" x14ac:dyDescent="0.3">
      <c r="A164" s="521"/>
      <c r="B164" s="522" t="s">
        <v>53</v>
      </c>
      <c r="C164" s="522"/>
      <c r="D164" s="522"/>
      <c r="E164" s="522"/>
      <c r="F164" s="522"/>
      <c r="G164" s="522"/>
      <c r="H164" s="522"/>
      <c r="I164" s="522"/>
      <c r="J164" s="522"/>
      <c r="K164" s="522"/>
      <c r="L164" s="522"/>
      <c r="M164" s="522"/>
      <c r="N164" s="522"/>
      <c r="O164" s="522"/>
      <c r="P164" s="522"/>
      <c r="Q164" s="522"/>
      <c r="R164" s="522"/>
      <c r="S164" s="522"/>
      <c r="T164" s="522"/>
      <c r="U164" s="522"/>
      <c r="V164" s="563">
        <v>0</v>
      </c>
      <c r="W164" s="524"/>
      <c r="X164" s="512"/>
    </row>
    <row r="165" spans="1:24" s="513" customFormat="1" x14ac:dyDescent="0.3">
      <c r="A165" s="521"/>
      <c r="B165" s="522" t="s">
        <v>54</v>
      </c>
      <c r="C165" s="522"/>
      <c r="D165" s="522"/>
      <c r="E165" s="522"/>
      <c r="F165" s="522"/>
      <c r="G165" s="522"/>
      <c r="H165" s="522"/>
      <c r="I165" s="522"/>
      <c r="J165" s="522"/>
      <c r="K165" s="522"/>
      <c r="L165" s="522"/>
      <c r="M165" s="522"/>
      <c r="N165" s="522"/>
      <c r="O165" s="522"/>
      <c r="P165" s="522"/>
      <c r="Q165" s="522"/>
      <c r="R165" s="522"/>
      <c r="S165" s="522"/>
      <c r="T165" s="522"/>
      <c r="U165" s="522"/>
      <c r="V165" s="563">
        <f>-V114</f>
        <v>205</v>
      </c>
      <c r="W165" s="524"/>
      <c r="X165" s="512"/>
    </row>
    <row r="166" spans="1:24" s="513" customFormat="1" x14ac:dyDescent="0.3">
      <c r="A166" s="521"/>
      <c r="B166" s="522" t="s">
        <v>55</v>
      </c>
      <c r="C166" s="522"/>
      <c r="D166" s="522"/>
      <c r="E166" s="522"/>
      <c r="F166" s="522"/>
      <c r="G166" s="522"/>
      <c r="H166" s="522"/>
      <c r="I166" s="522"/>
      <c r="J166" s="522"/>
      <c r="K166" s="522"/>
      <c r="L166" s="522"/>
      <c r="M166" s="522"/>
      <c r="N166" s="522"/>
      <c r="O166" s="522"/>
      <c r="P166" s="522"/>
      <c r="Q166" s="522"/>
      <c r="R166" s="522"/>
      <c r="S166" s="522"/>
      <c r="T166" s="522"/>
      <c r="U166" s="522"/>
      <c r="V166" s="563">
        <f>V165+V164</f>
        <v>205</v>
      </c>
      <c r="W166" s="524"/>
      <c r="X166" s="512"/>
    </row>
    <row r="167" spans="1:24" s="513" customFormat="1" x14ac:dyDescent="0.3">
      <c r="A167" s="521"/>
      <c r="B167" s="572" t="s">
        <v>310</v>
      </c>
      <c r="C167" s="522"/>
      <c r="D167" s="522"/>
      <c r="E167" s="522"/>
      <c r="F167" s="522"/>
      <c r="G167" s="522"/>
      <c r="H167" s="522"/>
      <c r="I167" s="522"/>
      <c r="J167" s="522"/>
      <c r="K167" s="522"/>
      <c r="L167" s="522"/>
      <c r="M167" s="522"/>
      <c r="N167" s="522"/>
      <c r="O167" s="522"/>
      <c r="P167" s="522"/>
      <c r="Q167" s="522"/>
      <c r="R167" s="522"/>
      <c r="S167" s="522"/>
      <c r="T167" s="522"/>
      <c r="U167" s="522"/>
      <c r="V167" s="563">
        <f>V114</f>
        <v>-205</v>
      </c>
      <c r="W167" s="524"/>
      <c r="X167" s="512"/>
    </row>
    <row r="168" spans="1:24" s="513" customFormat="1" x14ac:dyDescent="0.3">
      <c r="A168" s="521"/>
      <c r="B168" s="522" t="s">
        <v>56</v>
      </c>
      <c r="C168" s="522"/>
      <c r="D168" s="522"/>
      <c r="E168" s="522"/>
      <c r="F168" s="522"/>
      <c r="G168" s="522"/>
      <c r="H168" s="522"/>
      <c r="I168" s="522"/>
      <c r="J168" s="522"/>
      <c r="K168" s="522"/>
      <c r="L168" s="522"/>
      <c r="M168" s="522"/>
      <c r="N168" s="522"/>
      <c r="O168" s="522"/>
      <c r="P168" s="522"/>
      <c r="Q168" s="522"/>
      <c r="R168" s="522"/>
      <c r="S168" s="522"/>
      <c r="T168" s="522"/>
      <c r="U168" s="522"/>
      <c r="V168" s="563">
        <f>V166+V167</f>
        <v>0</v>
      </c>
      <c r="W168" s="524"/>
      <c r="X168" s="512"/>
    </row>
    <row r="169" spans="1:24" s="513" customFormat="1" x14ac:dyDescent="0.3">
      <c r="A169" s="521"/>
      <c r="B169" s="522" t="s">
        <v>282</v>
      </c>
      <c r="C169" s="522"/>
      <c r="D169" s="522"/>
      <c r="E169" s="522"/>
      <c r="F169" s="522"/>
      <c r="G169" s="522"/>
      <c r="H169" s="522"/>
      <c r="I169" s="522"/>
      <c r="J169" s="522"/>
      <c r="K169" s="522"/>
      <c r="L169" s="522"/>
      <c r="M169" s="522"/>
      <c r="N169" s="522"/>
      <c r="O169" s="522"/>
      <c r="P169" s="522"/>
      <c r="Q169" s="522"/>
      <c r="R169" s="522"/>
      <c r="S169" s="522"/>
      <c r="T169" s="522"/>
      <c r="U169" s="522"/>
      <c r="V169" s="563">
        <f>-V99</f>
        <v>25</v>
      </c>
      <c r="W169" s="524"/>
      <c r="X169" s="512"/>
    </row>
    <row r="170" spans="1:24" ht="16.2" thickBot="1" x14ac:dyDescent="0.35">
      <c r="A170" s="407"/>
      <c r="B170" s="429"/>
      <c r="C170" s="429"/>
      <c r="D170" s="429"/>
      <c r="E170" s="429"/>
      <c r="F170" s="429"/>
      <c r="G170" s="429"/>
      <c r="H170" s="429"/>
      <c r="I170" s="429"/>
      <c r="J170" s="429"/>
      <c r="K170" s="429"/>
      <c r="L170" s="429"/>
      <c r="M170" s="429"/>
      <c r="N170" s="429"/>
      <c r="O170" s="429"/>
      <c r="P170" s="429"/>
      <c r="Q170" s="429"/>
      <c r="R170" s="429"/>
      <c r="S170" s="429"/>
      <c r="T170" s="429"/>
      <c r="U170" s="429"/>
      <c r="V170" s="449"/>
      <c r="W170" s="429"/>
      <c r="X170" s="405"/>
    </row>
    <row r="171" spans="1:24" x14ac:dyDescent="0.3">
      <c r="A171" s="403"/>
      <c r="B171" s="404"/>
      <c r="C171" s="404"/>
      <c r="D171" s="404"/>
      <c r="E171" s="404"/>
      <c r="F171" s="404"/>
      <c r="G171" s="404"/>
      <c r="H171" s="404"/>
      <c r="I171" s="404"/>
      <c r="J171" s="404"/>
      <c r="K171" s="404"/>
      <c r="L171" s="404"/>
      <c r="M171" s="404"/>
      <c r="N171" s="404"/>
      <c r="O171" s="404"/>
      <c r="P171" s="404"/>
      <c r="Q171" s="404"/>
      <c r="R171" s="404"/>
      <c r="S171" s="404"/>
      <c r="T171" s="404"/>
      <c r="U171" s="404"/>
      <c r="V171" s="451"/>
      <c r="W171" s="404"/>
      <c r="X171" s="405"/>
    </row>
    <row r="172" spans="1:24" x14ac:dyDescent="0.3">
      <c r="A172" s="407"/>
      <c r="B172" s="502" t="s">
        <v>57</v>
      </c>
      <c r="C172" s="409"/>
      <c r="D172" s="409"/>
      <c r="E172" s="409"/>
      <c r="F172" s="409"/>
      <c r="G172" s="409"/>
      <c r="H172" s="409"/>
      <c r="I172" s="409"/>
      <c r="J172" s="409"/>
      <c r="K172" s="409"/>
      <c r="L172" s="409"/>
      <c r="M172" s="409"/>
      <c r="N172" s="409"/>
      <c r="O172" s="409"/>
      <c r="P172" s="409"/>
      <c r="Q172" s="409"/>
      <c r="R172" s="409"/>
      <c r="S172" s="409"/>
      <c r="T172" s="409"/>
      <c r="U172" s="409"/>
      <c r="V172" s="433"/>
      <c r="W172" s="409"/>
      <c r="X172" s="405"/>
    </row>
    <row r="173" spans="1:24" x14ac:dyDescent="0.3">
      <c r="A173" s="407"/>
      <c r="B173" s="448"/>
      <c r="C173" s="409"/>
      <c r="D173" s="409"/>
      <c r="E173" s="409"/>
      <c r="F173" s="409"/>
      <c r="G173" s="409"/>
      <c r="H173" s="409"/>
      <c r="I173" s="409"/>
      <c r="J173" s="409"/>
      <c r="K173" s="409"/>
      <c r="L173" s="409"/>
      <c r="M173" s="409"/>
      <c r="N173" s="409"/>
      <c r="O173" s="409"/>
      <c r="P173" s="409"/>
      <c r="Q173" s="409"/>
      <c r="R173" s="409"/>
      <c r="S173" s="409"/>
      <c r="T173" s="409"/>
      <c r="U173" s="409"/>
      <c r="V173" s="433"/>
      <c r="W173" s="409"/>
      <c r="X173" s="405"/>
    </row>
    <row r="174" spans="1:24" s="513" customFormat="1" x14ac:dyDescent="0.3">
      <c r="A174" s="521"/>
      <c r="B174" s="522" t="s">
        <v>58</v>
      </c>
      <c r="C174" s="522"/>
      <c r="D174" s="522"/>
      <c r="E174" s="522"/>
      <c r="F174" s="522"/>
      <c r="G174" s="522"/>
      <c r="H174" s="522"/>
      <c r="I174" s="522"/>
      <c r="J174" s="522"/>
      <c r="K174" s="522"/>
      <c r="L174" s="522"/>
      <c r="M174" s="522"/>
      <c r="N174" s="522"/>
      <c r="O174" s="522"/>
      <c r="P174" s="522"/>
      <c r="Q174" s="522"/>
      <c r="R174" s="522"/>
      <c r="S174" s="522"/>
      <c r="T174" s="522"/>
      <c r="U174" s="522"/>
      <c r="V174" s="563">
        <f>V71</f>
        <v>704808</v>
      </c>
      <c r="W174" s="524"/>
      <c r="X174" s="512"/>
    </row>
    <row r="175" spans="1:24" s="513" customFormat="1" x14ac:dyDescent="0.3">
      <c r="A175" s="521"/>
      <c r="B175" s="522" t="s">
        <v>59</v>
      </c>
      <c r="C175" s="522"/>
      <c r="D175" s="522"/>
      <c r="E175" s="522"/>
      <c r="F175" s="522"/>
      <c r="G175" s="522"/>
      <c r="H175" s="522"/>
      <c r="I175" s="522"/>
      <c r="J175" s="522"/>
      <c r="K175" s="522"/>
      <c r="L175" s="522"/>
      <c r="M175" s="522"/>
      <c r="N175" s="522"/>
      <c r="O175" s="522"/>
      <c r="P175" s="522"/>
      <c r="Q175" s="522"/>
      <c r="R175" s="522"/>
      <c r="S175" s="522"/>
      <c r="T175" s="522"/>
      <c r="U175" s="522"/>
      <c r="V175" s="563">
        <f>V84</f>
        <v>704808</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60</v>
      </c>
      <c r="C178" s="434"/>
      <c r="D178" s="434"/>
      <c r="E178" s="434"/>
      <c r="F178" s="434"/>
      <c r="G178" s="434"/>
      <c r="H178" s="452"/>
      <c r="I178" s="452"/>
      <c r="J178" s="452"/>
      <c r="K178" s="452"/>
      <c r="L178" s="452"/>
      <c r="M178" s="452"/>
      <c r="N178" s="452"/>
      <c r="O178" s="452"/>
      <c r="P178" s="452"/>
      <c r="Q178" s="452"/>
      <c r="R178" s="452"/>
      <c r="S178" s="503" t="s">
        <v>103</v>
      </c>
      <c r="T178" s="503" t="s">
        <v>182</v>
      </c>
      <c r="U178" s="411"/>
      <c r="V178" s="504" t="s">
        <v>119</v>
      </c>
      <c r="W178" s="453"/>
      <c r="X178" s="405"/>
    </row>
    <row r="179" spans="1:24" s="513" customFormat="1" x14ac:dyDescent="0.3">
      <c r="A179" s="521"/>
      <c r="B179" s="522" t="s">
        <v>61</v>
      </c>
      <c r="C179" s="522"/>
      <c r="D179" s="522"/>
      <c r="E179" s="522"/>
      <c r="F179" s="522"/>
      <c r="G179" s="522"/>
      <c r="H179" s="522"/>
      <c r="I179" s="522"/>
      <c r="J179" s="522"/>
      <c r="K179" s="522"/>
      <c r="L179" s="522"/>
      <c r="M179" s="522"/>
      <c r="N179" s="522"/>
      <c r="O179" s="522"/>
      <c r="P179" s="522"/>
      <c r="Q179" s="522"/>
      <c r="R179" s="522"/>
      <c r="S179" s="563">
        <f>+V34*0.16</f>
        <v>240032.80000000002</v>
      </c>
      <c r="T179" s="542"/>
      <c r="U179" s="522"/>
      <c r="V179" s="563"/>
      <c r="W179" s="524"/>
      <c r="X179" s="512"/>
    </row>
    <row r="180" spans="1:24" s="513" customFormat="1" x14ac:dyDescent="0.3">
      <c r="A180" s="521"/>
      <c r="B180" s="522" t="s">
        <v>62</v>
      </c>
      <c r="C180" s="522"/>
      <c r="D180" s="522"/>
      <c r="E180" s="522"/>
      <c r="F180" s="522"/>
      <c r="G180" s="522"/>
      <c r="H180" s="522"/>
      <c r="I180" s="522"/>
      <c r="J180" s="522"/>
      <c r="K180" s="522"/>
      <c r="L180" s="522"/>
      <c r="M180" s="522"/>
      <c r="N180" s="522"/>
      <c r="O180" s="522"/>
      <c r="P180" s="522"/>
      <c r="Q180" s="522"/>
      <c r="R180" s="522"/>
      <c r="S180" s="563">
        <f>+'Oct 18'!S182</f>
        <v>57078</v>
      </c>
      <c r="T180" s="563">
        <f>+'Oct 18'!T182</f>
        <v>6370</v>
      </c>
      <c r="U180" s="522"/>
      <c r="V180" s="563">
        <f>S180+T180</f>
        <v>63448</v>
      </c>
      <c r="W180" s="524"/>
      <c r="X180" s="512"/>
    </row>
    <row r="181" spans="1:24" s="513" customFormat="1" x14ac:dyDescent="0.3">
      <c r="A181" s="521"/>
      <c r="B181" s="522" t="s">
        <v>63</v>
      </c>
      <c r="C181" s="522"/>
      <c r="D181" s="522"/>
      <c r="E181" s="522"/>
      <c r="F181" s="522"/>
      <c r="G181" s="522"/>
      <c r="H181" s="522"/>
      <c r="I181" s="522"/>
      <c r="J181" s="522"/>
      <c r="K181" s="522"/>
      <c r="L181" s="522"/>
      <c r="M181" s="522"/>
      <c r="N181" s="522"/>
      <c r="O181" s="522"/>
      <c r="P181" s="522"/>
      <c r="Q181" s="522"/>
      <c r="R181" s="522"/>
      <c r="S181" s="562">
        <v>0</v>
      </c>
      <c r="T181" s="562">
        <v>0</v>
      </c>
      <c r="U181" s="522"/>
      <c r="V181" s="563">
        <f>S181+T181</f>
        <v>0</v>
      </c>
      <c r="W181" s="524"/>
      <c r="X181" s="512"/>
    </row>
    <row r="182" spans="1:24" s="513" customFormat="1" x14ac:dyDescent="0.3">
      <c r="A182" s="521"/>
      <c r="B182" s="522" t="s">
        <v>64</v>
      </c>
      <c r="C182" s="522"/>
      <c r="D182" s="522"/>
      <c r="E182" s="522"/>
      <c r="F182" s="522"/>
      <c r="G182" s="522"/>
      <c r="H182" s="522"/>
      <c r="I182" s="522"/>
      <c r="J182" s="522"/>
      <c r="K182" s="522"/>
      <c r="L182" s="522"/>
      <c r="M182" s="522"/>
      <c r="N182" s="522"/>
      <c r="O182" s="522"/>
      <c r="P182" s="522"/>
      <c r="Q182" s="522"/>
      <c r="R182" s="522"/>
      <c r="S182" s="563">
        <f>S180+S181</f>
        <v>57078</v>
      </c>
      <c r="T182" s="563">
        <f>T181+T180</f>
        <v>6370</v>
      </c>
      <c r="U182" s="522"/>
      <c r="V182" s="563">
        <f>S182+T182</f>
        <v>63448</v>
      </c>
      <c r="W182" s="524"/>
      <c r="X182" s="512"/>
    </row>
    <row r="183" spans="1:24" s="513" customFormat="1" x14ac:dyDescent="0.3">
      <c r="A183" s="521"/>
      <c r="B183" s="522" t="s">
        <v>65</v>
      </c>
      <c r="C183" s="522"/>
      <c r="D183" s="522"/>
      <c r="E183" s="522"/>
      <c r="F183" s="522"/>
      <c r="G183" s="522"/>
      <c r="H183" s="522"/>
      <c r="I183" s="522"/>
      <c r="J183" s="522"/>
      <c r="K183" s="522"/>
      <c r="L183" s="522"/>
      <c r="M183" s="522"/>
      <c r="N183" s="522"/>
      <c r="O183" s="522"/>
      <c r="P183" s="522"/>
      <c r="Q183" s="522"/>
      <c r="R183" s="522"/>
      <c r="S183" s="563">
        <f>S179-S182-T182</f>
        <v>176584.80000000002</v>
      </c>
      <c r="T183" s="542"/>
      <c r="U183" s="522"/>
      <c r="V183" s="563"/>
      <c r="W183" s="524"/>
      <c r="X183" s="512"/>
    </row>
    <row r="184" spans="1:24" ht="16.2" thickBot="1" x14ac:dyDescent="0.35">
      <c r="A184" s="407"/>
      <c r="B184" s="429"/>
      <c r="C184" s="429"/>
      <c r="D184" s="429"/>
      <c r="E184" s="429"/>
      <c r="F184" s="429"/>
      <c r="G184" s="429"/>
      <c r="H184" s="429"/>
      <c r="I184" s="429"/>
      <c r="J184" s="429"/>
      <c r="K184" s="429"/>
      <c r="L184" s="429"/>
      <c r="M184" s="429"/>
      <c r="N184" s="429"/>
      <c r="O184" s="429"/>
      <c r="P184" s="429"/>
      <c r="Q184" s="429"/>
      <c r="R184" s="429"/>
      <c r="S184" s="429"/>
      <c r="T184" s="429"/>
      <c r="U184" s="429"/>
      <c r="V184" s="449"/>
      <c r="W184" s="429"/>
      <c r="X184" s="405"/>
    </row>
    <row r="185" spans="1:24" x14ac:dyDescent="0.3">
      <c r="A185" s="403"/>
      <c r="B185" s="404"/>
      <c r="C185" s="404"/>
      <c r="D185" s="404"/>
      <c r="E185" s="404"/>
      <c r="F185" s="404"/>
      <c r="G185" s="404"/>
      <c r="H185" s="404"/>
      <c r="I185" s="404"/>
      <c r="J185" s="404"/>
      <c r="K185" s="404"/>
      <c r="L185" s="404"/>
      <c r="M185" s="404"/>
      <c r="N185" s="404"/>
      <c r="O185" s="404"/>
      <c r="P185" s="404"/>
      <c r="Q185" s="404"/>
      <c r="R185" s="404"/>
      <c r="S185" s="404"/>
      <c r="T185" s="404"/>
      <c r="U185" s="404"/>
      <c r="V185" s="451"/>
      <c r="W185" s="404"/>
      <c r="X185" s="405"/>
    </row>
    <row r="186" spans="1:24" x14ac:dyDescent="0.3">
      <c r="A186" s="407"/>
      <c r="B186" s="502" t="s">
        <v>66</v>
      </c>
      <c r="C186" s="409"/>
      <c r="D186" s="409"/>
      <c r="E186" s="409"/>
      <c r="F186" s="409"/>
      <c r="G186" s="409"/>
      <c r="H186" s="409"/>
      <c r="I186" s="409"/>
      <c r="J186" s="409"/>
      <c r="K186" s="409"/>
      <c r="L186" s="409"/>
      <c r="M186" s="409"/>
      <c r="N186" s="409"/>
      <c r="O186" s="409"/>
      <c r="P186" s="409"/>
      <c r="Q186" s="409"/>
      <c r="R186" s="409"/>
      <c r="S186" s="409"/>
      <c r="T186" s="409"/>
      <c r="U186" s="409"/>
      <c r="V186" s="454"/>
      <c r="W186" s="409"/>
      <c r="X186" s="405"/>
    </row>
    <row r="187" spans="1:24" s="513" customFormat="1" x14ac:dyDescent="0.3">
      <c r="A187" s="521"/>
      <c r="B187" s="522" t="s">
        <v>67</v>
      </c>
      <c r="C187" s="522"/>
      <c r="D187" s="522"/>
      <c r="E187" s="522"/>
      <c r="F187" s="522"/>
      <c r="G187" s="522"/>
      <c r="H187" s="522"/>
      <c r="I187" s="522"/>
      <c r="J187" s="522"/>
      <c r="K187" s="522"/>
      <c r="L187" s="522"/>
      <c r="M187" s="522"/>
      <c r="N187" s="522"/>
      <c r="O187" s="522"/>
      <c r="P187" s="522"/>
      <c r="Q187" s="522"/>
      <c r="R187" s="522"/>
      <c r="S187" s="522"/>
      <c r="T187" s="522"/>
      <c r="U187" s="522"/>
      <c r="V187" s="571">
        <f>(V100+V102+V103+V104+V105)/-(V106+V107)</f>
        <v>3.2737541528239205</v>
      </c>
      <c r="W187" s="524" t="s">
        <v>120</v>
      </c>
      <c r="X187" s="512"/>
    </row>
    <row r="188" spans="1:24" s="513" customFormat="1" x14ac:dyDescent="0.3">
      <c r="A188" s="521"/>
      <c r="B188" s="522" t="s">
        <v>68</v>
      </c>
      <c r="C188" s="522"/>
      <c r="D188" s="522"/>
      <c r="E188" s="522"/>
      <c r="F188" s="522"/>
      <c r="G188" s="522"/>
      <c r="H188" s="522"/>
      <c r="I188" s="522"/>
      <c r="J188" s="522"/>
      <c r="K188" s="522"/>
      <c r="L188" s="522"/>
      <c r="M188" s="522"/>
      <c r="N188" s="522"/>
      <c r="O188" s="522"/>
      <c r="P188" s="522"/>
      <c r="Q188" s="522"/>
      <c r="R188" s="522"/>
      <c r="S188" s="522"/>
      <c r="T188" s="522"/>
      <c r="U188" s="522"/>
      <c r="V188" s="573">
        <v>1.95</v>
      </c>
      <c r="W188" s="524" t="s">
        <v>120</v>
      </c>
      <c r="X188" s="512"/>
    </row>
    <row r="189" spans="1:24" s="513" customFormat="1" x14ac:dyDescent="0.3">
      <c r="A189" s="521"/>
      <c r="B189" s="522" t="s">
        <v>69</v>
      </c>
      <c r="C189" s="522"/>
      <c r="D189" s="522"/>
      <c r="E189" s="522"/>
      <c r="F189" s="522"/>
      <c r="G189" s="522"/>
      <c r="H189" s="522"/>
      <c r="I189" s="522"/>
      <c r="J189" s="522"/>
      <c r="K189" s="522"/>
      <c r="L189" s="522"/>
      <c r="M189" s="522"/>
      <c r="N189" s="522"/>
      <c r="O189" s="522"/>
      <c r="P189" s="522"/>
      <c r="Q189" s="522"/>
      <c r="R189" s="522"/>
      <c r="S189" s="522"/>
      <c r="T189" s="522"/>
      <c r="U189" s="522"/>
      <c r="V189" s="571">
        <f>(V100+V102+V103+V104+V105+V106+V107)/-(V108+V109)</f>
        <v>9.198924731182796</v>
      </c>
      <c r="W189" s="524" t="s">
        <v>120</v>
      </c>
      <c r="X189" s="512"/>
    </row>
    <row r="190" spans="1:24" s="513" customFormat="1" x14ac:dyDescent="0.3">
      <c r="A190" s="521"/>
      <c r="B190" s="522" t="s">
        <v>70</v>
      </c>
      <c r="C190" s="522"/>
      <c r="D190" s="522"/>
      <c r="E190" s="522"/>
      <c r="F190" s="522"/>
      <c r="G190" s="522"/>
      <c r="H190" s="522"/>
      <c r="I190" s="522"/>
      <c r="J190" s="522"/>
      <c r="K190" s="522"/>
      <c r="L190" s="522"/>
      <c r="M190" s="522"/>
      <c r="N190" s="522"/>
      <c r="O190" s="522"/>
      <c r="P190" s="522"/>
      <c r="Q190" s="522"/>
      <c r="R190" s="522"/>
      <c r="S190" s="522"/>
      <c r="T190" s="522"/>
      <c r="U190" s="522"/>
      <c r="V190" s="573">
        <v>7.61</v>
      </c>
      <c r="W190" s="524" t="s">
        <v>120</v>
      </c>
      <c r="X190" s="512"/>
    </row>
    <row r="191" spans="1:24" s="513" customFormat="1" x14ac:dyDescent="0.3">
      <c r="A191" s="521"/>
      <c r="B191" s="522" t="s">
        <v>204</v>
      </c>
      <c r="C191" s="522"/>
      <c r="D191" s="522"/>
      <c r="E191" s="522"/>
      <c r="F191" s="522"/>
      <c r="G191" s="522"/>
      <c r="H191" s="522"/>
      <c r="I191" s="522"/>
      <c r="J191" s="522"/>
      <c r="K191" s="522"/>
      <c r="L191" s="522"/>
      <c r="M191" s="522"/>
      <c r="N191" s="522"/>
      <c r="O191" s="522"/>
      <c r="P191" s="522"/>
      <c r="Q191" s="522"/>
      <c r="R191" s="522"/>
      <c r="S191" s="522"/>
      <c r="T191" s="522"/>
      <c r="U191" s="522"/>
      <c r="V191" s="571">
        <f>(V100+V102+V103+V104+V105+V106+V107+V108+V109)/-(V110+V111)</f>
        <v>7.625</v>
      </c>
      <c r="W191" s="524" t="s">
        <v>120</v>
      </c>
      <c r="X191" s="512"/>
    </row>
    <row r="192" spans="1:24" s="513" customFormat="1" x14ac:dyDescent="0.3">
      <c r="A192" s="521"/>
      <c r="B192" s="522" t="s">
        <v>205</v>
      </c>
      <c r="C192" s="522"/>
      <c r="D192" s="522"/>
      <c r="E192" s="522"/>
      <c r="F192" s="522"/>
      <c r="G192" s="522"/>
      <c r="H192" s="522"/>
      <c r="I192" s="522"/>
      <c r="J192" s="522"/>
      <c r="K192" s="522"/>
      <c r="L192" s="522"/>
      <c r="M192" s="522"/>
      <c r="N192" s="522"/>
      <c r="O192" s="522"/>
      <c r="P192" s="522"/>
      <c r="Q192" s="522"/>
      <c r="R192" s="522"/>
      <c r="S192" s="522"/>
      <c r="T192" s="522"/>
      <c r="U192" s="522"/>
      <c r="V192" s="573">
        <v>6.97</v>
      </c>
      <c r="W192" s="524" t="s">
        <v>120</v>
      </c>
      <c r="X192" s="512"/>
    </row>
    <row r="193" spans="1:24" s="513" customFormat="1" x14ac:dyDescent="0.3">
      <c r="A193" s="521"/>
      <c r="B193" s="522"/>
      <c r="C193" s="522"/>
      <c r="D193" s="522"/>
      <c r="E193" s="522"/>
      <c r="F193" s="522"/>
      <c r="G193" s="522"/>
      <c r="H193" s="522"/>
      <c r="I193" s="522"/>
      <c r="J193" s="522"/>
      <c r="K193" s="522"/>
      <c r="L193" s="522"/>
      <c r="M193" s="522"/>
      <c r="N193" s="522"/>
      <c r="O193" s="522"/>
      <c r="P193" s="522"/>
      <c r="Q193" s="522"/>
      <c r="R193" s="522"/>
      <c r="S193" s="522"/>
      <c r="T193" s="522"/>
      <c r="U193" s="522"/>
      <c r="V193" s="522"/>
      <c r="W193" s="524"/>
      <c r="X193" s="512"/>
    </row>
    <row r="194" spans="1:24" s="513" customFormat="1" x14ac:dyDescent="0.3">
      <c r="A194" s="509"/>
      <c r="B194" s="552"/>
      <c r="C194" s="552"/>
      <c r="D194" s="552"/>
      <c r="E194" s="552"/>
      <c r="F194" s="552"/>
      <c r="G194" s="552"/>
      <c r="H194" s="552"/>
      <c r="I194" s="552"/>
      <c r="J194" s="552"/>
      <c r="K194" s="552"/>
      <c r="L194" s="552"/>
      <c r="M194" s="552"/>
      <c r="N194" s="552"/>
      <c r="O194" s="552"/>
      <c r="P194" s="552"/>
      <c r="Q194" s="552"/>
      <c r="R194" s="552"/>
      <c r="S194" s="552"/>
      <c r="T194" s="552"/>
      <c r="U194" s="552"/>
      <c r="V194" s="552"/>
      <c r="W194" s="552"/>
      <c r="X194" s="512"/>
    </row>
    <row r="195" spans="1:24" s="513" customFormat="1" x14ac:dyDescent="0.3">
      <c r="A195" s="509"/>
      <c r="B195" s="510"/>
      <c r="C195" s="510"/>
      <c r="D195" s="510"/>
      <c r="E195" s="510"/>
      <c r="F195" s="510"/>
      <c r="G195" s="510"/>
      <c r="H195" s="510"/>
      <c r="I195" s="510"/>
      <c r="J195" s="510"/>
      <c r="K195" s="510"/>
      <c r="L195" s="510"/>
      <c r="M195" s="510"/>
      <c r="N195" s="510"/>
      <c r="O195" s="510"/>
      <c r="P195" s="510"/>
      <c r="Q195" s="510"/>
      <c r="R195" s="510"/>
      <c r="S195" s="510"/>
      <c r="T195" s="510"/>
      <c r="U195" s="510"/>
      <c r="V195" s="510"/>
      <c r="W195" s="510"/>
      <c r="X195" s="512"/>
    </row>
    <row r="196" spans="1:24" s="513" customFormat="1" ht="18.600000000000001" thickBot="1" x14ac:dyDescent="0.4">
      <c r="A196" s="557"/>
      <c r="B196" s="558" t="str">
        <f>B136</f>
        <v>PM12 INVESTOR REPORT QUARTER ENDING JANUARY 2019</v>
      </c>
      <c r="C196" s="559"/>
      <c r="D196" s="559"/>
      <c r="E196" s="559"/>
      <c r="F196" s="559"/>
      <c r="G196" s="559"/>
      <c r="H196" s="559"/>
      <c r="I196" s="559"/>
      <c r="J196" s="559"/>
      <c r="K196" s="559"/>
      <c r="L196" s="559"/>
      <c r="M196" s="559"/>
      <c r="N196" s="559"/>
      <c r="O196" s="559"/>
      <c r="P196" s="559"/>
      <c r="Q196" s="559"/>
      <c r="R196" s="559"/>
      <c r="S196" s="559"/>
      <c r="T196" s="559"/>
      <c r="U196" s="559"/>
      <c r="V196" s="559"/>
      <c r="W196" s="561"/>
      <c r="X196" s="512"/>
    </row>
    <row r="197" spans="1:24" x14ac:dyDescent="0.3">
      <c r="A197" s="444"/>
      <c r="B197" s="445" t="s">
        <v>71</v>
      </c>
      <c r="C197" s="455"/>
      <c r="D197" s="455"/>
      <c r="E197" s="455"/>
      <c r="F197" s="455"/>
      <c r="G197" s="456"/>
      <c r="H197" s="456"/>
      <c r="I197" s="456"/>
      <c r="J197" s="456"/>
      <c r="K197" s="456"/>
      <c r="L197" s="456"/>
      <c r="M197" s="456"/>
      <c r="N197" s="456"/>
      <c r="O197" s="456"/>
      <c r="P197" s="456"/>
      <c r="Q197" s="456"/>
      <c r="R197" s="456"/>
      <c r="S197" s="456"/>
      <c r="T197" s="456">
        <v>43496</v>
      </c>
      <c r="U197" s="446"/>
      <c r="V197" s="446"/>
      <c r="W197" s="446"/>
      <c r="X197" s="405"/>
    </row>
    <row r="198" spans="1:24" x14ac:dyDescent="0.3">
      <c r="A198" s="457"/>
      <c r="B198" s="458"/>
      <c r="C198" s="459"/>
      <c r="D198" s="459"/>
      <c r="E198" s="459"/>
      <c r="F198" s="459"/>
      <c r="G198" s="460"/>
      <c r="H198" s="460"/>
      <c r="I198" s="460"/>
      <c r="J198" s="460"/>
      <c r="K198" s="460"/>
      <c r="L198" s="460"/>
      <c r="M198" s="460"/>
      <c r="N198" s="460"/>
      <c r="O198" s="460"/>
      <c r="P198" s="460"/>
      <c r="Q198" s="460"/>
      <c r="R198" s="460"/>
      <c r="S198" s="460"/>
      <c r="T198" s="460"/>
      <c r="U198" s="409"/>
      <c r="V198" s="409"/>
      <c r="W198" s="409"/>
      <c r="X198" s="405"/>
    </row>
    <row r="199" spans="1:24" s="513" customFormat="1" x14ac:dyDescent="0.3">
      <c r="A199" s="521"/>
      <c r="B199" s="522" t="s">
        <v>72</v>
      </c>
      <c r="C199" s="574"/>
      <c r="D199" s="574"/>
      <c r="E199" s="574"/>
      <c r="F199" s="574"/>
      <c r="G199" s="546"/>
      <c r="H199" s="546"/>
      <c r="I199" s="546"/>
      <c r="J199" s="546"/>
      <c r="K199" s="546"/>
      <c r="L199" s="546"/>
      <c r="M199" s="546"/>
      <c r="N199" s="546"/>
      <c r="O199" s="546"/>
      <c r="P199" s="546"/>
      <c r="Q199" s="546"/>
      <c r="R199" s="546"/>
      <c r="S199" s="546"/>
      <c r="T199" s="539">
        <v>5.2060000000000002E-2</v>
      </c>
      <c r="U199" s="522"/>
      <c r="V199" s="522"/>
      <c r="W199" s="524"/>
      <c r="X199" s="512"/>
    </row>
    <row r="200" spans="1:24" s="513" customFormat="1" x14ac:dyDescent="0.3">
      <c r="A200" s="521"/>
      <c r="B200" s="522" t="s">
        <v>156</v>
      </c>
      <c r="C200" s="574"/>
      <c r="D200" s="574"/>
      <c r="E200" s="574"/>
      <c r="F200" s="574"/>
      <c r="G200" s="546"/>
      <c r="H200" s="546"/>
      <c r="I200" s="546"/>
      <c r="J200" s="546"/>
      <c r="K200" s="546"/>
      <c r="L200" s="546"/>
      <c r="M200" s="546"/>
      <c r="N200" s="546"/>
      <c r="O200" s="546"/>
      <c r="P200" s="546"/>
      <c r="Q200" s="546"/>
      <c r="R200" s="546"/>
      <c r="S200" s="546"/>
      <c r="T200" s="539">
        <f>'Oct 06'!T197</f>
        <v>4.8538814772447772E-2</v>
      </c>
      <c r="U200" s="522"/>
      <c r="V200" s="522"/>
      <c r="W200" s="524"/>
      <c r="X200" s="512"/>
    </row>
    <row r="201" spans="1:24" s="513" customFormat="1" x14ac:dyDescent="0.3">
      <c r="A201" s="521"/>
      <c r="B201" s="522" t="s">
        <v>73</v>
      </c>
      <c r="C201" s="574"/>
      <c r="D201" s="574"/>
      <c r="E201" s="574"/>
      <c r="F201" s="574"/>
      <c r="G201" s="546"/>
      <c r="H201" s="546"/>
      <c r="I201" s="546"/>
      <c r="J201" s="546"/>
      <c r="K201" s="546"/>
      <c r="L201" s="546"/>
      <c r="M201" s="546"/>
      <c r="N201" s="546"/>
      <c r="O201" s="546"/>
      <c r="P201" s="546"/>
      <c r="Q201" s="546"/>
      <c r="R201" s="546"/>
      <c r="S201" s="546"/>
      <c r="T201" s="539">
        <f>T199-T200</f>
        <v>3.5211852275522301E-3</v>
      </c>
      <c r="U201" s="522"/>
      <c r="V201" s="522"/>
      <c r="W201" s="524"/>
      <c r="X201" s="512"/>
    </row>
    <row r="202" spans="1:24" s="513" customFormat="1" x14ac:dyDescent="0.3">
      <c r="A202" s="521"/>
      <c r="B202" s="522" t="s">
        <v>74</v>
      </c>
      <c r="C202" s="574"/>
      <c r="D202" s="574"/>
      <c r="E202" s="574"/>
      <c r="F202" s="574"/>
      <c r="G202" s="546"/>
      <c r="H202" s="546"/>
      <c r="I202" s="546"/>
      <c r="J202" s="546"/>
      <c r="K202" s="546"/>
      <c r="L202" s="546"/>
      <c r="M202" s="546"/>
      <c r="N202" s="546"/>
      <c r="O202" s="546"/>
      <c r="P202" s="546"/>
      <c r="Q202" s="546"/>
      <c r="R202" s="546"/>
      <c r="S202" s="546"/>
      <c r="T202" s="539">
        <v>2.666E-2</v>
      </c>
      <c r="U202" s="522"/>
      <c r="V202" s="522"/>
      <c r="W202" s="524"/>
      <c r="X202" s="512"/>
    </row>
    <row r="203" spans="1:24" s="513" customFormat="1" x14ac:dyDescent="0.3">
      <c r="A203" s="521"/>
      <c r="B203" s="522" t="s">
        <v>225</v>
      </c>
      <c r="C203" s="574"/>
      <c r="D203" s="574"/>
      <c r="E203" s="574"/>
      <c r="F203" s="574"/>
      <c r="G203" s="546"/>
      <c r="H203" s="546"/>
      <c r="I203" s="546"/>
      <c r="J203" s="546"/>
      <c r="K203" s="546"/>
      <c r="L203" s="546"/>
      <c r="M203" s="546"/>
      <c r="N203" s="546"/>
      <c r="O203" s="546"/>
      <c r="P203" s="546"/>
      <c r="Q203" s="546"/>
      <c r="R203" s="546"/>
      <c r="S203" s="546"/>
      <c r="T203" s="539">
        <f>V43</f>
        <v>1.2614436397044451E-2</v>
      </c>
      <c r="U203" s="522"/>
      <c r="V203" s="522"/>
      <c r="W203" s="524"/>
      <c r="X203" s="512"/>
    </row>
    <row r="204" spans="1:24" s="513" customFormat="1" x14ac:dyDescent="0.3">
      <c r="A204" s="521"/>
      <c r="B204" s="522" t="s">
        <v>75</v>
      </c>
      <c r="C204" s="574"/>
      <c r="D204" s="574"/>
      <c r="E204" s="574"/>
      <c r="F204" s="574"/>
      <c r="G204" s="546"/>
      <c r="H204" s="546"/>
      <c r="I204" s="546"/>
      <c r="J204" s="546"/>
      <c r="K204" s="546"/>
      <c r="L204" s="546"/>
      <c r="M204" s="546"/>
      <c r="N204" s="546"/>
      <c r="O204" s="546"/>
      <c r="P204" s="546"/>
      <c r="Q204" s="546"/>
      <c r="R204" s="546"/>
      <c r="S204" s="546"/>
      <c r="T204" s="539">
        <f>T202-T203</f>
        <v>1.4045563602955549E-2</v>
      </c>
      <c r="U204" s="522"/>
      <c r="V204" s="522"/>
      <c r="W204" s="524"/>
      <c r="X204" s="512"/>
    </row>
    <row r="205" spans="1:24" s="513" customFormat="1" x14ac:dyDescent="0.3">
      <c r="A205" s="521"/>
      <c r="B205" s="522" t="s">
        <v>271</v>
      </c>
      <c r="C205" s="574"/>
      <c r="D205" s="574"/>
      <c r="E205" s="574"/>
      <c r="F205" s="574"/>
      <c r="G205" s="546"/>
      <c r="H205" s="546"/>
      <c r="I205" s="546"/>
      <c r="J205" s="546"/>
      <c r="K205" s="546"/>
      <c r="L205" s="546"/>
      <c r="M205" s="546"/>
      <c r="N205" s="546"/>
      <c r="O205" s="546"/>
      <c r="P205" s="546"/>
      <c r="Q205" s="546"/>
      <c r="R205" s="546"/>
      <c r="S205" s="546"/>
      <c r="T205" s="539">
        <f>+V100/N71</f>
        <v>7.3809806399363275E-3</v>
      </c>
      <c r="U205" s="522"/>
      <c r="V205" s="522"/>
      <c r="W205" s="524"/>
      <c r="X205" s="512"/>
    </row>
    <row r="206" spans="1:24" s="513" customFormat="1" x14ac:dyDescent="0.3">
      <c r="A206" s="521"/>
      <c r="B206" s="522" t="s">
        <v>214</v>
      </c>
      <c r="C206" s="574"/>
      <c r="D206" s="574"/>
      <c r="E206" s="574"/>
      <c r="F206" s="574"/>
      <c r="G206" s="546"/>
      <c r="H206" s="546"/>
      <c r="I206" s="546"/>
      <c r="J206" s="546"/>
      <c r="K206" s="546"/>
      <c r="L206" s="546"/>
      <c r="M206" s="546"/>
      <c r="N206" s="546"/>
      <c r="O206" s="546"/>
      <c r="P206" s="546"/>
      <c r="Q206" s="546"/>
      <c r="R206" s="546"/>
      <c r="S206" s="546"/>
      <c r="T206" s="575">
        <v>50710</v>
      </c>
      <c r="U206" s="522"/>
      <c r="V206" s="522"/>
      <c r="W206" s="524"/>
      <c r="X206" s="512"/>
    </row>
    <row r="207" spans="1:24" s="513" customFormat="1" x14ac:dyDescent="0.3">
      <c r="A207" s="521"/>
      <c r="B207" s="522" t="s">
        <v>215</v>
      </c>
      <c r="C207" s="574"/>
      <c r="D207" s="574"/>
      <c r="E207" s="574"/>
      <c r="F207" s="574"/>
      <c r="G207" s="546"/>
      <c r="H207" s="546"/>
      <c r="I207" s="546"/>
      <c r="J207" s="546"/>
      <c r="K207" s="546"/>
      <c r="L207" s="546"/>
      <c r="M207" s="546"/>
      <c r="N207" s="546"/>
      <c r="O207" s="546"/>
      <c r="P207" s="546"/>
      <c r="Q207" s="546"/>
      <c r="R207" s="546"/>
      <c r="S207" s="546"/>
      <c r="T207" s="575">
        <v>50710</v>
      </c>
      <c r="U207" s="522"/>
      <c r="V207" s="522"/>
      <c r="W207" s="524"/>
      <c r="X207" s="512"/>
    </row>
    <row r="208" spans="1:24" s="513" customFormat="1" x14ac:dyDescent="0.3">
      <c r="A208" s="521"/>
      <c r="B208" s="522" t="s">
        <v>216</v>
      </c>
      <c r="C208" s="574"/>
      <c r="D208" s="574"/>
      <c r="E208" s="574"/>
      <c r="F208" s="574"/>
      <c r="G208" s="546"/>
      <c r="H208" s="546"/>
      <c r="I208" s="546"/>
      <c r="J208" s="546"/>
      <c r="K208" s="546"/>
      <c r="L208" s="546"/>
      <c r="M208" s="546"/>
      <c r="N208" s="546"/>
      <c r="O208" s="546"/>
      <c r="P208" s="546"/>
      <c r="Q208" s="546"/>
      <c r="R208" s="546"/>
      <c r="S208" s="546"/>
      <c r="T208" s="575">
        <v>50710</v>
      </c>
      <c r="U208" s="522"/>
      <c r="V208" s="522"/>
      <c r="W208" s="524"/>
      <c r="X208" s="512"/>
    </row>
    <row r="209" spans="1:24" s="513" customFormat="1" x14ac:dyDescent="0.3">
      <c r="A209" s="521"/>
      <c r="B209" s="522" t="s">
        <v>76</v>
      </c>
      <c r="C209" s="574"/>
      <c r="D209" s="574"/>
      <c r="E209" s="574"/>
      <c r="F209" s="574"/>
      <c r="G209" s="546"/>
      <c r="H209" s="546"/>
      <c r="I209" s="546"/>
      <c r="J209" s="546"/>
      <c r="K209" s="546"/>
      <c r="L209" s="546"/>
      <c r="M209" s="546"/>
      <c r="N209" s="546"/>
      <c r="O209" s="546"/>
      <c r="P209" s="546"/>
      <c r="Q209" s="546"/>
      <c r="R209" s="546"/>
      <c r="S209" s="546"/>
      <c r="T209" s="544">
        <v>21.06</v>
      </c>
      <c r="U209" s="522" t="s">
        <v>115</v>
      </c>
      <c r="V209" s="522"/>
      <c r="W209" s="524"/>
      <c r="X209" s="512"/>
    </row>
    <row r="210" spans="1:24" s="513" customFormat="1" x14ac:dyDescent="0.3">
      <c r="A210" s="521"/>
      <c r="B210" s="522" t="s">
        <v>77</v>
      </c>
      <c r="C210" s="574"/>
      <c r="D210" s="574"/>
      <c r="E210" s="574"/>
      <c r="F210" s="574"/>
      <c r="G210" s="546"/>
      <c r="H210" s="546"/>
      <c r="I210" s="546"/>
      <c r="J210" s="546"/>
      <c r="K210" s="546"/>
      <c r="L210" s="546"/>
      <c r="M210" s="546"/>
      <c r="N210" s="546"/>
      <c r="O210" s="546"/>
      <c r="P210" s="546"/>
      <c r="Q210" s="546"/>
      <c r="R210" s="546"/>
      <c r="S210" s="546"/>
      <c r="T210" s="544">
        <v>9.33</v>
      </c>
      <c r="U210" s="522" t="s">
        <v>115</v>
      </c>
      <c r="V210" s="522"/>
      <c r="W210" s="524"/>
      <c r="X210" s="512"/>
    </row>
    <row r="211" spans="1:24" s="513" customFormat="1" x14ac:dyDescent="0.3">
      <c r="A211" s="521"/>
      <c r="B211" s="522" t="s">
        <v>78</v>
      </c>
      <c r="C211" s="574"/>
      <c r="D211" s="574"/>
      <c r="E211" s="574"/>
      <c r="F211" s="574"/>
      <c r="G211" s="546"/>
      <c r="H211" s="546"/>
      <c r="I211" s="546"/>
      <c r="J211" s="546"/>
      <c r="K211" s="546"/>
      <c r="L211" s="546"/>
      <c r="M211" s="546"/>
      <c r="N211" s="546"/>
      <c r="O211" s="546"/>
      <c r="P211" s="546"/>
      <c r="Q211" s="546"/>
      <c r="R211" s="546"/>
      <c r="S211" s="546"/>
      <c r="T211" s="539">
        <f>P68/N68</f>
        <v>1.5858077398364902E-2</v>
      </c>
      <c r="U211" s="522"/>
      <c r="V211" s="522"/>
      <c r="W211" s="524"/>
      <c r="X211" s="512"/>
    </row>
    <row r="212" spans="1:24" s="513" customFormat="1" x14ac:dyDescent="0.3">
      <c r="A212" s="521"/>
      <c r="B212" s="522" t="s">
        <v>79</v>
      </c>
      <c r="C212" s="574"/>
      <c r="D212" s="574"/>
      <c r="E212" s="574"/>
      <c r="F212" s="574"/>
      <c r="G212" s="546"/>
      <c r="H212" s="546"/>
      <c r="I212" s="546"/>
      <c r="J212" s="546"/>
      <c r="K212" s="546"/>
      <c r="L212" s="546"/>
      <c r="M212" s="546"/>
      <c r="N212" s="546"/>
      <c r="O212" s="546"/>
      <c r="P212" s="546"/>
      <c r="Q212" s="546"/>
      <c r="R212" s="546"/>
      <c r="S212" s="546"/>
      <c r="T212" s="539">
        <v>6.2399999999999997E-2</v>
      </c>
      <c r="U212" s="522"/>
      <c r="V212" s="522"/>
      <c r="W212" s="524"/>
      <c r="X212" s="512"/>
    </row>
    <row r="213" spans="1:24" x14ac:dyDescent="0.3">
      <c r="A213" s="457"/>
      <c r="B213" s="461"/>
      <c r="C213" s="461"/>
      <c r="D213" s="461"/>
      <c r="E213" s="461"/>
      <c r="F213" s="461"/>
      <c r="G213" s="429"/>
      <c r="H213" s="429"/>
      <c r="I213" s="429"/>
      <c r="J213" s="429"/>
      <c r="K213" s="429"/>
      <c r="L213" s="429"/>
      <c r="M213" s="429"/>
      <c r="N213" s="429"/>
      <c r="O213" s="429"/>
      <c r="P213" s="429"/>
      <c r="Q213" s="429"/>
      <c r="R213" s="429"/>
      <c r="S213" s="429"/>
      <c r="T213" s="449"/>
      <c r="U213" s="429"/>
      <c r="V213" s="462"/>
      <c r="W213" s="429"/>
      <c r="X213" s="405"/>
    </row>
    <row r="214" spans="1:24" x14ac:dyDescent="0.3">
      <c r="A214" s="463"/>
      <c r="B214" s="464" t="s">
        <v>80</v>
      </c>
      <c r="C214" s="465"/>
      <c r="D214" s="465"/>
      <c r="E214" s="465"/>
      <c r="F214" s="466"/>
      <c r="G214" s="465"/>
      <c r="H214" s="465"/>
      <c r="I214" s="465"/>
      <c r="J214" s="465"/>
      <c r="K214" s="465"/>
      <c r="L214" s="465"/>
      <c r="M214" s="465"/>
      <c r="N214" s="465"/>
      <c r="O214" s="465"/>
      <c r="P214" s="465"/>
      <c r="Q214" s="465"/>
      <c r="R214" s="465"/>
      <c r="S214" s="465" t="s">
        <v>104</v>
      </c>
      <c r="T214" s="466" t="s">
        <v>111</v>
      </c>
      <c r="U214" s="467"/>
      <c r="V214" s="467"/>
      <c r="W214" s="468"/>
      <c r="X214" s="405"/>
    </row>
    <row r="215" spans="1:24" x14ac:dyDescent="0.3">
      <c r="A215" s="469"/>
      <c r="B215" s="552" t="s">
        <v>81</v>
      </c>
      <c r="C215" s="567"/>
      <c r="D215" s="567"/>
      <c r="E215" s="567"/>
      <c r="F215" s="552"/>
      <c r="G215" s="552"/>
      <c r="H215" s="576"/>
      <c r="I215" s="576"/>
      <c r="J215" s="576"/>
      <c r="K215" s="576"/>
      <c r="L215" s="576"/>
      <c r="M215" s="576"/>
      <c r="N215" s="576"/>
      <c r="O215" s="576"/>
      <c r="P215" s="576"/>
      <c r="Q215" s="576"/>
      <c r="R215" s="576"/>
      <c r="S215" s="576">
        <v>0</v>
      </c>
      <c r="T215" s="577">
        <v>0</v>
      </c>
      <c r="U215" s="429"/>
      <c r="V215" s="462"/>
      <c r="W215" s="470"/>
      <c r="X215" s="405"/>
    </row>
    <row r="216" spans="1:24" x14ac:dyDescent="0.3">
      <c r="A216" s="471"/>
      <c r="B216" s="522" t="s">
        <v>150</v>
      </c>
      <c r="C216" s="562"/>
      <c r="D216" s="562"/>
      <c r="E216" s="562"/>
      <c r="F216" s="522"/>
      <c r="G216" s="522"/>
      <c r="H216" s="528"/>
      <c r="I216" s="528"/>
      <c r="J216" s="528"/>
      <c r="K216" s="528"/>
      <c r="L216" s="528"/>
      <c r="M216" s="528"/>
      <c r="N216" s="528"/>
      <c r="O216" s="528"/>
      <c r="P216" s="528"/>
      <c r="Q216" s="528"/>
      <c r="R216" s="528"/>
      <c r="S216" s="578">
        <f>+R268</f>
        <v>75</v>
      </c>
      <c r="T216" s="579">
        <f>+T268</f>
        <v>12574</v>
      </c>
      <c r="U216" s="424"/>
      <c r="V216" s="474"/>
      <c r="W216" s="475"/>
      <c r="X216" s="405"/>
    </row>
    <row r="217" spans="1:24" x14ac:dyDescent="0.3">
      <c r="A217" s="471"/>
      <c r="B217" s="522" t="s">
        <v>82</v>
      </c>
      <c r="C217" s="562"/>
      <c r="D217" s="562"/>
      <c r="E217" s="562"/>
      <c r="F217" s="522"/>
      <c r="G217" s="522"/>
      <c r="H217" s="528"/>
      <c r="I217" s="528"/>
      <c r="J217" s="528"/>
      <c r="K217" s="528"/>
      <c r="L217" s="528"/>
      <c r="M217" s="528"/>
      <c r="N217" s="528"/>
      <c r="O217" s="528"/>
      <c r="P217" s="528"/>
      <c r="Q217" s="528"/>
      <c r="R217" s="528"/>
      <c r="S217" s="578">
        <f>+R280</f>
        <v>0</v>
      </c>
      <c r="T217" s="579">
        <f>+T280</f>
        <v>0</v>
      </c>
      <c r="U217" s="424"/>
      <c r="V217" s="474"/>
      <c r="W217" s="475"/>
      <c r="X217" s="405"/>
    </row>
    <row r="218" spans="1:24" x14ac:dyDescent="0.3">
      <c r="A218" s="471"/>
      <c r="B218" s="493" t="s">
        <v>83</v>
      </c>
      <c r="C218" s="472"/>
      <c r="D218" s="472"/>
      <c r="E218" s="472"/>
      <c r="F218" s="424"/>
      <c r="G218" s="424"/>
      <c r="H218" s="424"/>
      <c r="I218" s="424"/>
      <c r="J218" s="424"/>
      <c r="K218" s="424"/>
      <c r="L218" s="424"/>
      <c r="M218" s="424"/>
      <c r="N218" s="424"/>
      <c r="O218" s="424"/>
      <c r="P218" s="424"/>
      <c r="Q218" s="424"/>
      <c r="R218" s="424"/>
      <c r="S218" s="421"/>
      <c r="T218" s="579">
        <v>0</v>
      </c>
      <c r="U218" s="424"/>
      <c r="V218" s="474"/>
      <c r="W218" s="475"/>
      <c r="X218" s="405"/>
    </row>
    <row r="219" spans="1:24" x14ac:dyDescent="0.3">
      <c r="A219" s="471"/>
      <c r="B219" s="493" t="s">
        <v>84</v>
      </c>
      <c r="C219" s="472"/>
      <c r="D219" s="472"/>
      <c r="E219" s="472"/>
      <c r="F219" s="424"/>
      <c r="G219" s="424"/>
      <c r="H219" s="424"/>
      <c r="I219" s="424"/>
      <c r="J219" s="424"/>
      <c r="K219" s="424"/>
      <c r="L219" s="424"/>
      <c r="M219" s="424"/>
      <c r="N219" s="424"/>
      <c r="O219" s="424"/>
      <c r="P219" s="424"/>
      <c r="Q219" s="424"/>
      <c r="R219" s="424"/>
      <c r="S219" s="421"/>
      <c r="T219" s="580" t="s">
        <v>112</v>
      </c>
      <c r="U219" s="424"/>
      <c r="V219" s="474"/>
      <c r="W219" s="475"/>
      <c r="X219" s="405"/>
    </row>
    <row r="220" spans="1:24" x14ac:dyDescent="0.3">
      <c r="A220" s="476"/>
      <c r="B220" s="493" t="s">
        <v>85</v>
      </c>
      <c r="C220" s="477"/>
      <c r="D220" s="477"/>
      <c r="E220" s="477"/>
      <c r="F220" s="477"/>
      <c r="G220" s="424"/>
      <c r="H220" s="424"/>
      <c r="I220" s="424"/>
      <c r="J220" s="424"/>
      <c r="K220" s="424"/>
      <c r="L220" s="424"/>
      <c r="M220" s="424"/>
      <c r="N220" s="424"/>
      <c r="O220" s="424"/>
      <c r="P220" s="424"/>
      <c r="Q220" s="424"/>
      <c r="R220" s="424"/>
      <c r="S220" s="421"/>
      <c r="T220" s="473"/>
      <c r="U220" s="424"/>
      <c r="V220" s="474"/>
      <c r="W220" s="478"/>
      <c r="X220" s="405"/>
    </row>
    <row r="221" spans="1:24" s="513" customFormat="1" x14ac:dyDescent="0.3">
      <c r="A221" s="581"/>
      <c r="B221" s="522" t="s">
        <v>86</v>
      </c>
      <c r="C221" s="522"/>
      <c r="D221" s="522"/>
      <c r="E221" s="522"/>
      <c r="F221" s="522"/>
      <c r="G221" s="522"/>
      <c r="H221" s="522"/>
      <c r="I221" s="522"/>
      <c r="J221" s="522"/>
      <c r="K221" s="522"/>
      <c r="L221" s="522"/>
      <c r="M221" s="522"/>
      <c r="N221" s="522"/>
      <c r="O221" s="522"/>
      <c r="P221" s="522"/>
      <c r="Q221" s="522"/>
      <c r="R221" s="522"/>
      <c r="S221" s="528"/>
      <c r="T221" s="579">
        <f>+V165</f>
        <v>205</v>
      </c>
      <c r="U221" s="522"/>
      <c r="V221" s="582"/>
      <c r="W221" s="583"/>
      <c r="X221" s="512"/>
    </row>
    <row r="222" spans="1:24" s="513" customFormat="1" x14ac:dyDescent="0.3">
      <c r="A222" s="584"/>
      <c r="B222" s="522" t="s">
        <v>87</v>
      </c>
      <c r="C222" s="562"/>
      <c r="D222" s="562"/>
      <c r="E222" s="562"/>
      <c r="F222" s="562"/>
      <c r="G222" s="522"/>
      <c r="H222" s="522"/>
      <c r="I222" s="522"/>
      <c r="J222" s="522"/>
      <c r="K222" s="522"/>
      <c r="L222" s="522"/>
      <c r="M222" s="522"/>
      <c r="N222" s="522"/>
      <c r="O222" s="522"/>
      <c r="P222" s="522"/>
      <c r="Q222" s="522"/>
      <c r="R222" s="522"/>
      <c r="S222" s="528"/>
      <c r="T222" s="579">
        <f>'Oct 18'!T222+'Jan 19'!T221</f>
        <v>7597</v>
      </c>
      <c r="U222" s="522"/>
      <c r="V222" s="582"/>
      <c r="W222" s="583"/>
      <c r="X222" s="512"/>
    </row>
    <row r="223" spans="1:24" x14ac:dyDescent="0.3">
      <c r="A223" s="476"/>
      <c r="B223" s="493" t="s">
        <v>292</v>
      </c>
      <c r="C223" s="477"/>
      <c r="D223" s="477"/>
      <c r="E223" s="477"/>
      <c r="F223" s="477"/>
      <c r="G223" s="424"/>
      <c r="H223" s="424"/>
      <c r="I223" s="424"/>
      <c r="J223" s="424"/>
      <c r="K223" s="424"/>
      <c r="L223" s="424"/>
      <c r="M223" s="424"/>
      <c r="N223" s="424"/>
      <c r="O223" s="424"/>
      <c r="P223" s="424"/>
      <c r="Q223" s="424"/>
      <c r="R223" s="424"/>
      <c r="S223" s="423"/>
      <c r="T223" s="473"/>
      <c r="U223" s="424"/>
      <c r="V223" s="474"/>
      <c r="W223" s="478"/>
      <c r="X223" s="405"/>
    </row>
    <row r="224" spans="1:24" s="513" customFormat="1" x14ac:dyDescent="0.3">
      <c r="A224" s="581"/>
      <c r="B224" s="522" t="s">
        <v>290</v>
      </c>
      <c r="C224" s="522"/>
      <c r="D224" s="522"/>
      <c r="E224" s="522"/>
      <c r="F224" s="522"/>
      <c r="G224" s="522"/>
      <c r="H224" s="522"/>
      <c r="I224" s="522"/>
      <c r="J224" s="522"/>
      <c r="K224" s="522"/>
      <c r="L224" s="522"/>
      <c r="M224" s="522"/>
      <c r="N224" s="522"/>
      <c r="O224" s="522"/>
      <c r="P224" s="522"/>
      <c r="Q224" s="522"/>
      <c r="R224" s="522"/>
      <c r="S224" s="528">
        <v>0</v>
      </c>
      <c r="T224" s="579">
        <v>0</v>
      </c>
      <c r="U224" s="522"/>
      <c r="V224" s="582"/>
      <c r="W224" s="583"/>
      <c r="X224" s="512"/>
    </row>
    <row r="225" spans="1:25" s="513" customFormat="1" x14ac:dyDescent="0.3">
      <c r="A225" s="584"/>
      <c r="B225" s="522" t="s">
        <v>88</v>
      </c>
      <c r="C225" s="542"/>
      <c r="D225" s="542"/>
      <c r="E225" s="542"/>
      <c r="F225" s="585"/>
      <c r="G225" s="522"/>
      <c r="H225" s="522"/>
      <c r="I225" s="522"/>
      <c r="J225" s="522"/>
      <c r="K225" s="522"/>
      <c r="L225" s="522"/>
      <c r="M225" s="522"/>
      <c r="N225" s="522"/>
      <c r="O225" s="522"/>
      <c r="P225" s="522"/>
      <c r="Q225" s="522"/>
      <c r="R225" s="522"/>
      <c r="S225" s="522"/>
      <c r="T225" s="580">
        <v>0</v>
      </c>
      <c r="U225" s="522"/>
      <c r="V225" s="582"/>
      <c r="W225" s="583"/>
      <c r="X225" s="512"/>
    </row>
    <row r="226" spans="1:25" s="513" customFormat="1" x14ac:dyDescent="0.3">
      <c r="A226" s="584"/>
      <c r="B226" s="522" t="s">
        <v>89</v>
      </c>
      <c r="C226" s="542"/>
      <c r="D226" s="542"/>
      <c r="E226" s="542"/>
      <c r="F226" s="585"/>
      <c r="G226" s="522"/>
      <c r="H226" s="522"/>
      <c r="I226" s="522"/>
      <c r="J226" s="522"/>
      <c r="K226" s="522"/>
      <c r="L226" s="522"/>
      <c r="M226" s="522"/>
      <c r="N226" s="522"/>
      <c r="O226" s="522"/>
      <c r="P226" s="522"/>
      <c r="Q226" s="522"/>
      <c r="R226" s="522"/>
      <c r="S226" s="522"/>
      <c r="T226" s="580">
        <v>0</v>
      </c>
      <c r="U226" s="522"/>
      <c r="V226" s="582"/>
      <c r="W226" s="583"/>
      <c r="X226" s="512"/>
    </row>
    <row r="227" spans="1:25" x14ac:dyDescent="0.3">
      <c r="A227" s="471"/>
      <c r="B227" s="493" t="s">
        <v>223</v>
      </c>
      <c r="C227" s="479"/>
      <c r="D227" s="479"/>
      <c r="E227" s="479"/>
      <c r="F227" s="480"/>
      <c r="G227" s="424"/>
      <c r="H227" s="424"/>
      <c r="I227" s="424"/>
      <c r="J227" s="424"/>
      <c r="K227" s="424"/>
      <c r="L227" s="424"/>
      <c r="M227" s="424"/>
      <c r="N227" s="424"/>
      <c r="O227" s="424"/>
      <c r="P227" s="424"/>
      <c r="Q227" s="424"/>
      <c r="R227" s="424"/>
      <c r="S227" s="421"/>
      <c r="T227" s="481"/>
      <c r="U227" s="424"/>
      <c r="V227" s="474"/>
      <c r="W227" s="478"/>
      <c r="X227" s="405"/>
    </row>
    <row r="228" spans="1:25" s="513" customFormat="1" x14ac:dyDescent="0.3">
      <c r="A228" s="584"/>
      <c r="B228" s="522" t="s">
        <v>290</v>
      </c>
      <c r="C228" s="542"/>
      <c r="D228" s="542"/>
      <c r="E228" s="542"/>
      <c r="F228" s="585"/>
      <c r="G228" s="522"/>
      <c r="H228" s="522"/>
      <c r="I228" s="522"/>
      <c r="J228" s="522"/>
      <c r="K228" s="522"/>
      <c r="L228" s="522"/>
      <c r="M228" s="522"/>
      <c r="N228" s="522"/>
      <c r="O228" s="522"/>
      <c r="P228" s="522"/>
      <c r="Q228" s="522"/>
      <c r="R228" s="522"/>
      <c r="S228" s="528">
        <v>1</v>
      </c>
      <c r="T228" s="579">
        <v>221</v>
      </c>
      <c r="U228" s="522"/>
      <c r="V228" s="582"/>
      <c r="W228" s="583"/>
      <c r="X228" s="512"/>
    </row>
    <row r="229" spans="1:25" s="513" customFormat="1" x14ac:dyDescent="0.3">
      <c r="A229" s="584"/>
      <c r="B229" s="522" t="s">
        <v>224</v>
      </c>
      <c r="C229" s="542"/>
      <c r="D229" s="542"/>
      <c r="E229" s="542"/>
      <c r="F229" s="585"/>
      <c r="G229" s="522"/>
      <c r="H229" s="522"/>
      <c r="I229" s="522"/>
      <c r="J229" s="522"/>
      <c r="K229" s="522"/>
      <c r="L229" s="522"/>
      <c r="M229" s="522"/>
      <c r="N229" s="522"/>
      <c r="O229" s="522"/>
      <c r="P229" s="522"/>
      <c r="Q229" s="522"/>
      <c r="R229" s="522"/>
      <c r="S229" s="522"/>
      <c r="T229" s="580">
        <v>0</v>
      </c>
      <c r="U229" s="522"/>
      <c r="V229" s="582"/>
      <c r="W229" s="583"/>
      <c r="X229" s="512"/>
    </row>
    <row r="230" spans="1:25" x14ac:dyDescent="0.3">
      <c r="A230" s="471"/>
      <c r="B230" s="477"/>
      <c r="C230" s="479"/>
      <c r="D230" s="479"/>
      <c r="E230" s="479"/>
      <c r="F230" s="480"/>
      <c r="G230" s="424"/>
      <c r="H230" s="424"/>
      <c r="I230" s="424"/>
      <c r="J230" s="424"/>
      <c r="K230" s="424"/>
      <c r="L230" s="424"/>
      <c r="M230" s="424"/>
      <c r="N230" s="424"/>
      <c r="O230" s="424"/>
      <c r="P230" s="424"/>
      <c r="Q230" s="424"/>
      <c r="R230" s="424"/>
      <c r="S230" s="421"/>
      <c r="T230" s="481"/>
      <c r="U230" s="424"/>
      <c r="V230" s="474"/>
      <c r="W230" s="478"/>
      <c r="X230" s="405"/>
    </row>
    <row r="231" spans="1:25" x14ac:dyDescent="0.3">
      <c r="A231" s="471"/>
      <c r="B231" s="477"/>
      <c r="C231" s="479"/>
      <c r="D231" s="479"/>
      <c r="E231" s="479"/>
      <c r="F231" s="480"/>
      <c r="G231" s="424"/>
      <c r="H231" s="424"/>
      <c r="I231" s="424"/>
      <c r="J231" s="424"/>
      <c r="K231" s="424"/>
      <c r="L231" s="424"/>
      <c r="M231" s="424"/>
      <c r="N231" s="424"/>
      <c r="O231" s="424"/>
      <c r="P231" s="424"/>
      <c r="Q231" s="424"/>
      <c r="R231" s="424"/>
      <c r="S231" s="424"/>
      <c r="T231" s="482"/>
      <c r="U231" s="424"/>
      <c r="V231" s="474"/>
      <c r="W231" s="478"/>
      <c r="X231" s="405"/>
    </row>
    <row r="232" spans="1:25" ht="18" x14ac:dyDescent="0.35">
      <c r="A232" s="471"/>
      <c r="B232" s="505" t="s">
        <v>174</v>
      </c>
      <c r="C232" s="479"/>
      <c r="D232" s="479"/>
      <c r="E232" s="479"/>
      <c r="F232" s="480"/>
      <c r="G232" s="424"/>
      <c r="H232" s="424"/>
      <c r="I232" s="424"/>
      <c r="J232" s="424"/>
      <c r="K232" s="424"/>
      <c r="L232" s="424"/>
      <c r="M232" s="424"/>
      <c r="N232" s="424"/>
      <c r="O232" s="424"/>
      <c r="P232" s="606" t="s">
        <v>349</v>
      </c>
      <c r="Q232" s="424"/>
      <c r="R232" s="424"/>
      <c r="S232" s="424"/>
      <c r="T232" s="482"/>
      <c r="U232" s="424"/>
      <c r="V232" s="474"/>
      <c r="W232" s="478"/>
      <c r="X232" s="405"/>
    </row>
    <row r="233" spans="1:25" x14ac:dyDescent="0.3">
      <c r="A233" s="469"/>
      <c r="B233" s="461"/>
      <c r="C233" s="483"/>
      <c r="D233" s="483"/>
      <c r="E233" s="483"/>
      <c r="F233" s="484"/>
      <c r="G233" s="429"/>
      <c r="H233" s="429"/>
      <c r="I233" s="429"/>
      <c r="J233" s="429"/>
      <c r="K233" s="429"/>
      <c r="L233" s="429"/>
      <c r="M233" s="429"/>
      <c r="N233" s="429"/>
      <c r="O233" s="429"/>
      <c r="P233" s="429"/>
      <c r="Q233" s="429"/>
      <c r="R233" s="429"/>
      <c r="S233" s="429"/>
      <c r="T233" s="485"/>
      <c r="U233" s="429"/>
      <c r="V233" s="462"/>
      <c r="W233" s="486"/>
      <c r="X233" s="405"/>
    </row>
    <row r="234" spans="1:25" x14ac:dyDescent="0.3">
      <c r="A234" s="418"/>
      <c r="B234" s="464" t="s">
        <v>304</v>
      </c>
      <c r="C234" s="465"/>
      <c r="D234" s="465"/>
      <c r="E234" s="465"/>
      <c r="F234" s="466"/>
      <c r="G234" s="465"/>
      <c r="H234" s="465"/>
      <c r="I234" s="465"/>
      <c r="J234" s="465"/>
      <c r="K234" s="465"/>
      <c r="L234" s="465"/>
      <c r="M234" s="465"/>
      <c r="N234" s="465"/>
      <c r="O234" s="465"/>
      <c r="P234" s="465"/>
      <c r="Q234" s="465"/>
      <c r="R234" s="466" t="s">
        <v>104</v>
      </c>
      <c r="S234" s="465" t="s">
        <v>105</v>
      </c>
      <c r="T234" s="466" t="s">
        <v>113</v>
      </c>
      <c r="U234" s="465" t="s">
        <v>105</v>
      </c>
      <c r="V234" s="467"/>
      <c r="W234" s="487"/>
      <c r="X234" s="405"/>
    </row>
    <row r="235" spans="1:25" s="513" customFormat="1" x14ac:dyDescent="0.3">
      <c r="A235" s="509"/>
      <c r="B235" s="567" t="s">
        <v>90</v>
      </c>
      <c r="C235" s="586"/>
      <c r="D235" s="586"/>
      <c r="E235" s="586"/>
      <c r="F235" s="552"/>
      <c r="G235" s="586"/>
      <c r="H235" s="586"/>
      <c r="I235" s="586"/>
      <c r="J235" s="586"/>
      <c r="K235" s="586"/>
      <c r="L235" s="586"/>
      <c r="M235" s="586"/>
      <c r="N235" s="586"/>
      <c r="O235" s="586"/>
      <c r="P235" s="586"/>
      <c r="Q235" s="586"/>
      <c r="R235" s="587">
        <f t="shared" ref="R235:R242" si="1">+R247+R259+R271</f>
        <v>5341</v>
      </c>
      <c r="S235" s="588">
        <f t="shared" ref="S235:S242" si="2">R235/$R$244</f>
        <v>0.99701325368676497</v>
      </c>
      <c r="T235" s="589">
        <f t="shared" ref="T235:T242" si="3">+T247+T259+T271</f>
        <v>702955</v>
      </c>
      <c r="U235" s="588">
        <f t="shared" ref="U235:U242" si="4">T235/$T$244</f>
        <v>0.99737091519960042</v>
      </c>
      <c r="V235" s="590"/>
      <c r="W235" s="591"/>
      <c r="X235" s="512"/>
    </row>
    <row r="236" spans="1:25" s="513" customFormat="1" x14ac:dyDescent="0.3">
      <c r="A236" s="521"/>
      <c r="B236" s="562" t="s">
        <v>91</v>
      </c>
      <c r="C236" s="592"/>
      <c r="D236" s="592"/>
      <c r="E236" s="592"/>
      <c r="F236" s="522"/>
      <c r="G236" s="593"/>
      <c r="H236" s="592"/>
      <c r="I236" s="592"/>
      <c r="J236" s="592"/>
      <c r="K236" s="592"/>
      <c r="L236" s="592"/>
      <c r="M236" s="592"/>
      <c r="N236" s="592"/>
      <c r="O236" s="592"/>
      <c r="P236" s="592"/>
      <c r="Q236" s="592"/>
      <c r="R236" s="562">
        <f t="shared" si="1"/>
        <v>3</v>
      </c>
      <c r="S236" s="593">
        <f t="shared" si="2"/>
        <v>5.600149337315662E-4</v>
      </c>
      <c r="T236" s="563">
        <f t="shared" si="3"/>
        <v>255</v>
      </c>
      <c r="U236" s="593">
        <f t="shared" si="4"/>
        <v>3.6180066060544146E-4</v>
      </c>
      <c r="V236" s="582"/>
      <c r="W236" s="583"/>
      <c r="X236" s="512"/>
      <c r="Y236" s="570"/>
    </row>
    <row r="237" spans="1:25" s="513" customFormat="1" x14ac:dyDescent="0.3">
      <c r="A237" s="521"/>
      <c r="B237" s="562" t="s">
        <v>92</v>
      </c>
      <c r="C237" s="592"/>
      <c r="D237" s="592"/>
      <c r="E237" s="592"/>
      <c r="F237" s="522"/>
      <c r="G237" s="593"/>
      <c r="H237" s="592"/>
      <c r="I237" s="592"/>
      <c r="J237" s="592"/>
      <c r="K237" s="592"/>
      <c r="L237" s="592"/>
      <c r="M237" s="592"/>
      <c r="N237" s="592"/>
      <c r="O237" s="592"/>
      <c r="P237" s="592"/>
      <c r="Q237" s="592"/>
      <c r="R237" s="562">
        <f t="shared" si="1"/>
        <v>7</v>
      </c>
      <c r="S237" s="593">
        <f t="shared" si="2"/>
        <v>1.3067015120403211E-3</v>
      </c>
      <c r="T237" s="563">
        <f t="shared" si="3"/>
        <v>744</v>
      </c>
      <c r="U237" s="593">
        <f t="shared" si="4"/>
        <v>1.0556066332958764E-3</v>
      </c>
      <c r="V237" s="582"/>
      <c r="W237" s="583"/>
      <c r="X237" s="512"/>
    </row>
    <row r="238" spans="1:25" s="513" customFormat="1" x14ac:dyDescent="0.3">
      <c r="A238" s="521"/>
      <c r="B238" s="562" t="s">
        <v>161</v>
      </c>
      <c r="C238" s="592"/>
      <c r="D238" s="592"/>
      <c r="E238" s="592"/>
      <c r="F238" s="522"/>
      <c r="G238" s="593"/>
      <c r="H238" s="592"/>
      <c r="I238" s="592"/>
      <c r="J238" s="592"/>
      <c r="K238" s="592"/>
      <c r="L238" s="592"/>
      <c r="M238" s="592"/>
      <c r="N238" s="592"/>
      <c r="O238" s="592"/>
      <c r="P238" s="592"/>
      <c r="Q238" s="592"/>
      <c r="R238" s="562">
        <f t="shared" si="1"/>
        <v>1</v>
      </c>
      <c r="S238" s="593">
        <f t="shared" si="2"/>
        <v>1.8667164457718873E-4</v>
      </c>
      <c r="T238" s="563">
        <f t="shared" si="3"/>
        <v>323</v>
      </c>
      <c r="U238" s="593">
        <f t="shared" si="4"/>
        <v>4.5828083676689252E-4</v>
      </c>
      <c r="V238" s="582"/>
      <c r="W238" s="583"/>
      <c r="X238" s="512"/>
      <c r="Y238" s="570"/>
    </row>
    <row r="239" spans="1:25" s="513" customFormat="1" x14ac:dyDescent="0.3">
      <c r="A239" s="521"/>
      <c r="B239" s="562" t="s">
        <v>162</v>
      </c>
      <c r="C239" s="592"/>
      <c r="D239" s="592"/>
      <c r="E239" s="592"/>
      <c r="F239" s="522"/>
      <c r="G239" s="593"/>
      <c r="H239" s="592"/>
      <c r="I239" s="592"/>
      <c r="J239" s="592"/>
      <c r="K239" s="592"/>
      <c r="L239" s="592"/>
      <c r="M239" s="592"/>
      <c r="N239" s="592"/>
      <c r="O239" s="592"/>
      <c r="P239" s="592"/>
      <c r="Q239" s="592"/>
      <c r="R239" s="562">
        <f t="shared" si="1"/>
        <v>1</v>
      </c>
      <c r="S239" s="593">
        <f t="shared" si="2"/>
        <v>1.8667164457718873E-4</v>
      </c>
      <c r="T239" s="563">
        <f t="shared" si="3"/>
        <v>171</v>
      </c>
      <c r="U239" s="593">
        <f t="shared" si="4"/>
        <v>2.4261926652364901E-4</v>
      </c>
      <c r="V239" s="582"/>
      <c r="W239" s="583"/>
      <c r="X239" s="512"/>
    </row>
    <row r="240" spans="1:25" s="513" customFormat="1" x14ac:dyDescent="0.3">
      <c r="A240" s="521"/>
      <c r="B240" s="562" t="s">
        <v>163</v>
      </c>
      <c r="C240" s="592"/>
      <c r="D240" s="592"/>
      <c r="E240" s="592"/>
      <c r="F240" s="522"/>
      <c r="G240" s="593"/>
      <c r="H240" s="592"/>
      <c r="I240" s="592"/>
      <c r="J240" s="592"/>
      <c r="K240" s="592"/>
      <c r="L240" s="592"/>
      <c r="M240" s="592"/>
      <c r="N240" s="592"/>
      <c r="O240" s="592"/>
      <c r="P240" s="592"/>
      <c r="Q240" s="592"/>
      <c r="R240" s="562">
        <f t="shared" si="1"/>
        <v>1</v>
      </c>
      <c r="S240" s="593">
        <f t="shared" si="2"/>
        <v>1.8667164457718873E-4</v>
      </c>
      <c r="T240" s="563">
        <f t="shared" si="3"/>
        <v>48</v>
      </c>
      <c r="U240" s="593">
        <f t="shared" si="4"/>
        <v>6.8103653761024274E-5</v>
      </c>
      <c r="V240" s="582"/>
      <c r="W240" s="583"/>
      <c r="X240" s="512"/>
      <c r="Y240" s="570"/>
    </row>
    <row r="241" spans="1:25" s="513" customFormat="1" x14ac:dyDescent="0.3">
      <c r="A241" s="521"/>
      <c r="B241" s="562" t="s">
        <v>164</v>
      </c>
      <c r="C241" s="592"/>
      <c r="D241" s="592"/>
      <c r="E241" s="592"/>
      <c r="F241" s="522"/>
      <c r="G241" s="593"/>
      <c r="H241" s="592"/>
      <c r="I241" s="592"/>
      <c r="J241" s="592"/>
      <c r="K241" s="592"/>
      <c r="L241" s="592"/>
      <c r="M241" s="592"/>
      <c r="N241" s="592"/>
      <c r="O241" s="592"/>
      <c r="P241" s="592"/>
      <c r="Q241" s="592"/>
      <c r="R241" s="562">
        <f t="shared" si="1"/>
        <v>2</v>
      </c>
      <c r="S241" s="593">
        <f t="shared" si="2"/>
        <v>3.7334328915437746E-4</v>
      </c>
      <c r="T241" s="563">
        <f t="shared" si="3"/>
        <v>103</v>
      </c>
      <c r="U241" s="593">
        <f t="shared" si="4"/>
        <v>1.4613909036219794E-4</v>
      </c>
      <c r="V241" s="582"/>
      <c r="W241" s="583"/>
      <c r="X241" s="512"/>
    </row>
    <row r="242" spans="1:25" s="513" customFormat="1" x14ac:dyDescent="0.3">
      <c r="A242" s="521"/>
      <c r="B242" s="562" t="s">
        <v>165</v>
      </c>
      <c r="C242" s="592"/>
      <c r="D242" s="592"/>
      <c r="E242" s="592"/>
      <c r="F242" s="522"/>
      <c r="G242" s="593"/>
      <c r="H242" s="592"/>
      <c r="I242" s="592"/>
      <c r="J242" s="592"/>
      <c r="K242" s="592"/>
      <c r="L242" s="592"/>
      <c r="M242" s="592"/>
      <c r="N242" s="592"/>
      <c r="O242" s="592"/>
      <c r="P242" s="592"/>
      <c r="Q242" s="592"/>
      <c r="R242" s="562">
        <f t="shared" si="1"/>
        <v>1</v>
      </c>
      <c r="S242" s="593">
        <f t="shared" si="2"/>
        <v>1.8667164457718873E-4</v>
      </c>
      <c r="T242" s="563">
        <f t="shared" si="3"/>
        <v>209</v>
      </c>
      <c r="U242" s="593">
        <f t="shared" si="4"/>
        <v>2.965346590844599E-4</v>
      </c>
      <c r="V242" s="582"/>
      <c r="W242" s="583"/>
      <c r="X242" s="512"/>
      <c r="Y242" s="570"/>
    </row>
    <row r="243" spans="1:25" s="513" customFormat="1" x14ac:dyDescent="0.3">
      <c r="A243" s="521"/>
      <c r="B243" s="562"/>
      <c r="C243" s="592"/>
      <c r="D243" s="592"/>
      <c r="E243" s="592"/>
      <c r="F243" s="522"/>
      <c r="G243" s="593"/>
      <c r="H243" s="592"/>
      <c r="I243" s="592"/>
      <c r="J243" s="592"/>
      <c r="K243" s="592"/>
      <c r="L243" s="592"/>
      <c r="M243" s="592"/>
      <c r="N243" s="592"/>
      <c r="O243" s="592"/>
      <c r="P243" s="592"/>
      <c r="Q243" s="592"/>
      <c r="R243" s="562"/>
      <c r="S243" s="593"/>
      <c r="T243" s="563"/>
      <c r="U243" s="593"/>
      <c r="V243" s="582"/>
      <c r="W243" s="583"/>
      <c r="X243" s="512"/>
    </row>
    <row r="244" spans="1:25" s="513" customFormat="1" x14ac:dyDescent="0.3">
      <c r="A244" s="521"/>
      <c r="B244" s="522" t="s">
        <v>119</v>
      </c>
      <c r="C244" s="522"/>
      <c r="D244" s="522"/>
      <c r="E244" s="522"/>
      <c r="F244" s="522"/>
      <c r="G244" s="522"/>
      <c r="H244" s="594"/>
      <c r="I244" s="594"/>
      <c r="J244" s="594"/>
      <c r="K244" s="594"/>
      <c r="L244" s="594"/>
      <c r="M244" s="594"/>
      <c r="N244" s="594"/>
      <c r="O244" s="594"/>
      <c r="P244" s="594"/>
      <c r="Q244" s="594"/>
      <c r="R244" s="562">
        <f>SUM(R235:R243)</f>
        <v>5357</v>
      </c>
      <c r="S244" s="593">
        <f>SUM(S235:S243)</f>
        <v>1</v>
      </c>
      <c r="T244" s="563">
        <f>SUM(T235:T243)</f>
        <v>704808</v>
      </c>
      <c r="U244" s="593">
        <f>SUM(U235:U243)</f>
        <v>0.99999999999999989</v>
      </c>
      <c r="V244" s="522"/>
      <c r="W244" s="524"/>
      <c r="X244" s="512"/>
    </row>
    <row r="245" spans="1:25" x14ac:dyDescent="0.3">
      <c r="A245" s="469"/>
      <c r="B245" s="461"/>
      <c r="C245" s="483"/>
      <c r="D245" s="483"/>
      <c r="E245" s="483"/>
      <c r="F245" s="484"/>
      <c r="G245" s="429"/>
      <c r="H245" s="429"/>
      <c r="I245" s="429"/>
      <c r="J245" s="429"/>
      <c r="K245" s="429"/>
      <c r="L245" s="429"/>
      <c r="M245" s="429"/>
      <c r="N245" s="429"/>
      <c r="O245" s="429"/>
      <c r="P245" s="429"/>
      <c r="Q245" s="429"/>
      <c r="R245" s="429"/>
      <c r="S245" s="429"/>
      <c r="T245" s="485"/>
      <c r="U245" s="429"/>
      <c r="V245" s="462"/>
      <c r="W245" s="486"/>
      <c r="X245" s="405"/>
    </row>
    <row r="246" spans="1:25" x14ac:dyDescent="0.3">
      <c r="A246" s="418"/>
      <c r="B246" s="464" t="s">
        <v>167</v>
      </c>
      <c r="C246" s="465"/>
      <c r="D246" s="465"/>
      <c r="E246" s="465"/>
      <c r="F246" s="466"/>
      <c r="G246" s="465"/>
      <c r="H246" s="465"/>
      <c r="I246" s="465"/>
      <c r="J246" s="465"/>
      <c r="K246" s="465"/>
      <c r="L246" s="465"/>
      <c r="M246" s="465"/>
      <c r="N246" s="465"/>
      <c r="O246" s="465"/>
      <c r="P246" s="465"/>
      <c r="Q246" s="465"/>
      <c r="R246" s="466" t="s">
        <v>104</v>
      </c>
      <c r="S246" s="465" t="s">
        <v>105</v>
      </c>
      <c r="T246" s="466" t="s">
        <v>113</v>
      </c>
      <c r="U246" s="465" t="s">
        <v>105</v>
      </c>
      <c r="V246" s="467"/>
      <c r="W246" s="487"/>
      <c r="X246" s="405"/>
    </row>
    <row r="247" spans="1:25" s="513" customFormat="1" x14ac:dyDescent="0.3">
      <c r="A247" s="509"/>
      <c r="B247" s="567" t="s">
        <v>90</v>
      </c>
      <c r="C247" s="586"/>
      <c r="D247" s="586"/>
      <c r="E247" s="586"/>
      <c r="F247" s="552"/>
      <c r="G247" s="586"/>
      <c r="H247" s="586"/>
      <c r="I247" s="586"/>
      <c r="J247" s="586"/>
      <c r="K247" s="586"/>
      <c r="L247" s="586"/>
      <c r="M247" s="586"/>
      <c r="N247" s="586"/>
      <c r="O247" s="586"/>
      <c r="P247" s="586"/>
      <c r="Q247" s="586"/>
      <c r="R247" s="567">
        <v>5269</v>
      </c>
      <c r="S247" s="595">
        <f t="shared" ref="S247:S254" si="5">R247/$R$256</f>
        <v>0.99753881105641806</v>
      </c>
      <c r="T247" s="596">
        <v>690693</v>
      </c>
      <c r="U247" s="595">
        <f t="shared" ref="U247:U254" si="6">T247/$T$256</f>
        <v>0.99777387415238195</v>
      </c>
      <c r="V247" s="590"/>
      <c r="W247" s="591"/>
      <c r="X247" s="512"/>
    </row>
    <row r="248" spans="1:25" s="513" customFormat="1" x14ac:dyDescent="0.3">
      <c r="A248" s="521"/>
      <c r="B248" s="562" t="s">
        <v>91</v>
      </c>
      <c r="C248" s="592"/>
      <c r="D248" s="592"/>
      <c r="E248" s="592"/>
      <c r="F248" s="522"/>
      <c r="G248" s="593"/>
      <c r="H248" s="592"/>
      <c r="I248" s="592"/>
      <c r="J248" s="592"/>
      <c r="K248" s="592"/>
      <c r="L248" s="592"/>
      <c r="M248" s="592"/>
      <c r="N248" s="592"/>
      <c r="O248" s="592"/>
      <c r="P248" s="592"/>
      <c r="Q248" s="592"/>
      <c r="R248" s="562">
        <v>3</v>
      </c>
      <c r="S248" s="593">
        <f t="shared" si="5"/>
        <v>5.6796667928814845E-4</v>
      </c>
      <c r="T248" s="563">
        <v>255</v>
      </c>
      <c r="U248" s="593">
        <f t="shared" si="6"/>
        <v>3.6837254454418595E-4</v>
      </c>
      <c r="V248" s="582"/>
      <c r="W248" s="583"/>
      <c r="X248" s="512"/>
      <c r="Y248" s="570"/>
    </row>
    <row r="249" spans="1:25" s="513" customFormat="1" x14ac:dyDescent="0.3">
      <c r="A249" s="521"/>
      <c r="B249" s="562" t="s">
        <v>92</v>
      </c>
      <c r="C249" s="592"/>
      <c r="D249" s="592"/>
      <c r="E249" s="592"/>
      <c r="F249" s="522"/>
      <c r="G249" s="593"/>
      <c r="H249" s="592"/>
      <c r="I249" s="592"/>
      <c r="J249" s="592"/>
      <c r="K249" s="592"/>
      <c r="L249" s="592"/>
      <c r="M249" s="592"/>
      <c r="N249" s="592"/>
      <c r="O249" s="592"/>
      <c r="P249" s="592"/>
      <c r="Q249" s="592"/>
      <c r="R249" s="562">
        <v>7</v>
      </c>
      <c r="S249" s="593">
        <f t="shared" si="5"/>
        <v>1.3252555850056798E-3</v>
      </c>
      <c r="T249" s="563">
        <v>744</v>
      </c>
      <c r="U249" s="593">
        <f t="shared" si="6"/>
        <v>1.0747810711406835E-3</v>
      </c>
      <c r="V249" s="582"/>
      <c r="W249" s="583"/>
      <c r="X249" s="512"/>
    </row>
    <row r="250" spans="1:25" s="513" customFormat="1" x14ac:dyDescent="0.3">
      <c r="A250" s="521"/>
      <c r="B250" s="562" t="s">
        <v>161</v>
      </c>
      <c r="C250" s="592"/>
      <c r="D250" s="592"/>
      <c r="E250" s="592"/>
      <c r="F250" s="522"/>
      <c r="G250" s="593"/>
      <c r="H250" s="592"/>
      <c r="I250" s="592"/>
      <c r="J250" s="592"/>
      <c r="K250" s="592"/>
      <c r="L250" s="592"/>
      <c r="M250" s="592"/>
      <c r="N250" s="592"/>
      <c r="O250" s="592"/>
      <c r="P250" s="592"/>
      <c r="Q250" s="592"/>
      <c r="R250" s="562">
        <v>1</v>
      </c>
      <c r="S250" s="593">
        <f t="shared" si="5"/>
        <v>1.893222264293828E-4</v>
      </c>
      <c r="T250" s="563">
        <v>323</v>
      </c>
      <c r="U250" s="593">
        <f t="shared" si="6"/>
        <v>4.6660522308930217E-4</v>
      </c>
      <c r="V250" s="582"/>
      <c r="W250" s="583"/>
      <c r="X250" s="512"/>
      <c r="Y250" s="570"/>
    </row>
    <row r="251" spans="1:25" s="513" customFormat="1" x14ac:dyDescent="0.3">
      <c r="A251" s="521"/>
      <c r="B251" s="562" t="s">
        <v>162</v>
      </c>
      <c r="C251" s="592"/>
      <c r="D251" s="592"/>
      <c r="E251" s="592"/>
      <c r="F251" s="522"/>
      <c r="G251" s="593"/>
      <c r="H251" s="592"/>
      <c r="I251" s="592"/>
      <c r="J251" s="592"/>
      <c r="K251" s="592"/>
      <c r="L251" s="592"/>
      <c r="M251" s="592"/>
      <c r="N251" s="592"/>
      <c r="O251" s="592"/>
      <c r="P251" s="592"/>
      <c r="Q251" s="592"/>
      <c r="R251" s="562">
        <v>1</v>
      </c>
      <c r="S251" s="593">
        <f t="shared" si="5"/>
        <v>1.893222264293828E-4</v>
      </c>
      <c r="T251" s="563">
        <v>171</v>
      </c>
      <c r="U251" s="593">
        <f t="shared" si="6"/>
        <v>2.4702629457668939E-4</v>
      </c>
      <c r="V251" s="582"/>
      <c r="W251" s="583"/>
      <c r="X251" s="512"/>
    </row>
    <row r="252" spans="1:25" s="513" customFormat="1" x14ac:dyDescent="0.3">
      <c r="A252" s="521"/>
      <c r="B252" s="562" t="s">
        <v>163</v>
      </c>
      <c r="C252" s="592"/>
      <c r="D252" s="592"/>
      <c r="E252" s="592"/>
      <c r="F252" s="522"/>
      <c r="G252" s="593"/>
      <c r="H252" s="592"/>
      <c r="I252" s="592"/>
      <c r="J252" s="592"/>
      <c r="K252" s="592"/>
      <c r="L252" s="592"/>
      <c r="M252" s="592"/>
      <c r="N252" s="592"/>
      <c r="O252" s="592"/>
      <c r="P252" s="592"/>
      <c r="Q252" s="592"/>
      <c r="R252" s="562">
        <v>1</v>
      </c>
      <c r="S252" s="593">
        <f t="shared" si="5"/>
        <v>1.893222264293828E-4</v>
      </c>
      <c r="T252" s="563">
        <v>48</v>
      </c>
      <c r="U252" s="593">
        <f t="shared" si="6"/>
        <v>6.9340714267140886E-5</v>
      </c>
      <c r="V252" s="582"/>
      <c r="W252" s="583"/>
      <c r="X252" s="512"/>
      <c r="Y252" s="570"/>
    </row>
    <row r="253" spans="1:25" s="513" customFormat="1" x14ac:dyDescent="0.3">
      <c r="A253" s="521"/>
      <c r="B253" s="562" t="s">
        <v>164</v>
      </c>
      <c r="C253" s="592"/>
      <c r="D253" s="592"/>
      <c r="E253" s="592"/>
      <c r="F253" s="522"/>
      <c r="G253" s="593"/>
      <c r="H253" s="592"/>
      <c r="I253" s="592"/>
      <c r="J253" s="592"/>
      <c r="K253" s="592"/>
      <c r="L253" s="592"/>
      <c r="M253" s="592"/>
      <c r="N253" s="592"/>
      <c r="O253" s="592"/>
      <c r="P253" s="592"/>
      <c r="Q253" s="592"/>
      <c r="R253" s="562">
        <v>0</v>
      </c>
      <c r="S253" s="593">
        <f t="shared" si="5"/>
        <v>0</v>
      </c>
      <c r="T253" s="563">
        <v>0</v>
      </c>
      <c r="U253" s="593">
        <f t="shared" si="6"/>
        <v>0</v>
      </c>
      <c r="V253" s="582"/>
      <c r="W253" s="583"/>
      <c r="X253" s="512"/>
    </row>
    <row r="254" spans="1:25" s="513" customFormat="1" x14ac:dyDescent="0.3">
      <c r="A254" s="521"/>
      <c r="B254" s="562" t="s">
        <v>165</v>
      </c>
      <c r="C254" s="592"/>
      <c r="D254" s="592"/>
      <c r="E254" s="592"/>
      <c r="F254" s="522"/>
      <c r="G254" s="593"/>
      <c r="H254" s="592"/>
      <c r="I254" s="592"/>
      <c r="J254" s="592"/>
      <c r="K254" s="592"/>
      <c r="L254" s="592"/>
      <c r="M254" s="592"/>
      <c r="N254" s="592"/>
      <c r="O254" s="592"/>
      <c r="P254" s="592"/>
      <c r="Q254" s="592"/>
      <c r="R254" s="562">
        <v>0</v>
      </c>
      <c r="S254" s="593">
        <f t="shared" si="5"/>
        <v>0</v>
      </c>
      <c r="T254" s="563">
        <v>0</v>
      </c>
      <c r="U254" s="593">
        <f t="shared" si="6"/>
        <v>0</v>
      </c>
      <c r="V254" s="582"/>
      <c r="W254" s="583"/>
      <c r="X254" s="512"/>
      <c r="Y254" s="570"/>
    </row>
    <row r="255" spans="1:25" s="513" customFormat="1" x14ac:dyDescent="0.3">
      <c r="A255" s="521"/>
      <c r="B255" s="562"/>
      <c r="C255" s="592"/>
      <c r="D255" s="592"/>
      <c r="E255" s="592"/>
      <c r="F255" s="522"/>
      <c r="G255" s="593"/>
      <c r="H255" s="592"/>
      <c r="I255" s="592"/>
      <c r="J255" s="592"/>
      <c r="K255" s="592"/>
      <c r="L255" s="592"/>
      <c r="M255" s="592"/>
      <c r="N255" s="592"/>
      <c r="O255" s="592"/>
      <c r="P255" s="592"/>
      <c r="Q255" s="592"/>
      <c r="R255" s="562"/>
      <c r="S255" s="593"/>
      <c r="T255" s="563"/>
      <c r="U255" s="593"/>
      <c r="V255" s="582"/>
      <c r="W255" s="583"/>
      <c r="X255" s="512"/>
    </row>
    <row r="256" spans="1:25" s="513" customFormat="1" x14ac:dyDescent="0.3">
      <c r="A256" s="521"/>
      <c r="B256" s="522" t="s">
        <v>119</v>
      </c>
      <c r="C256" s="522"/>
      <c r="D256" s="522"/>
      <c r="E256" s="522"/>
      <c r="F256" s="522"/>
      <c r="G256" s="522"/>
      <c r="H256" s="594"/>
      <c r="I256" s="594"/>
      <c r="J256" s="594"/>
      <c r="K256" s="594"/>
      <c r="L256" s="594"/>
      <c r="M256" s="594"/>
      <c r="N256" s="594"/>
      <c r="O256" s="594"/>
      <c r="P256" s="594"/>
      <c r="Q256" s="594"/>
      <c r="R256" s="562">
        <f>SUM(R247:R255)</f>
        <v>5282</v>
      </c>
      <c r="S256" s="593">
        <f>SUM(S247:S255)</f>
        <v>1</v>
      </c>
      <c r="T256" s="563">
        <f>SUM(T247:T255)</f>
        <v>692234</v>
      </c>
      <c r="U256" s="593">
        <f>SUM(U247:U255)</f>
        <v>0.99999999999999989</v>
      </c>
      <c r="V256" s="522"/>
      <c r="W256" s="524"/>
      <c r="X256" s="512"/>
    </row>
    <row r="257" spans="1:24" x14ac:dyDescent="0.3">
      <c r="A257" s="407"/>
      <c r="B257" s="429"/>
      <c r="C257" s="429"/>
      <c r="D257" s="429"/>
      <c r="E257" s="429"/>
      <c r="F257" s="429"/>
      <c r="G257" s="429"/>
      <c r="H257" s="488"/>
      <c r="I257" s="488"/>
      <c r="J257" s="488"/>
      <c r="K257" s="488"/>
      <c r="L257" s="488"/>
      <c r="M257" s="488"/>
      <c r="N257" s="488"/>
      <c r="O257" s="488"/>
      <c r="P257" s="488"/>
      <c r="Q257" s="488"/>
      <c r="R257" s="435"/>
      <c r="S257" s="489"/>
      <c r="T257" s="490"/>
      <c r="U257" s="489"/>
      <c r="V257" s="429"/>
      <c r="W257" s="429"/>
      <c r="X257" s="405"/>
    </row>
    <row r="258" spans="1:24" x14ac:dyDescent="0.3">
      <c r="A258" s="418"/>
      <c r="B258" s="464" t="s">
        <v>283</v>
      </c>
      <c r="C258" s="465"/>
      <c r="D258" s="465"/>
      <c r="E258" s="465"/>
      <c r="F258" s="466"/>
      <c r="G258" s="465"/>
      <c r="H258" s="465"/>
      <c r="I258" s="465"/>
      <c r="J258" s="465"/>
      <c r="K258" s="465"/>
      <c r="L258" s="465"/>
      <c r="M258" s="465"/>
      <c r="N258" s="465"/>
      <c r="O258" s="465"/>
      <c r="P258" s="465"/>
      <c r="Q258" s="465"/>
      <c r="R258" s="466" t="s">
        <v>104</v>
      </c>
      <c r="S258" s="465" t="s">
        <v>105</v>
      </c>
      <c r="T258" s="466" t="s">
        <v>113</v>
      </c>
      <c r="U258" s="465" t="s">
        <v>105</v>
      </c>
      <c r="V258" s="467"/>
      <c r="W258" s="468"/>
      <c r="X258" s="405"/>
    </row>
    <row r="259" spans="1:24" s="513" customFormat="1" x14ac:dyDescent="0.3">
      <c r="A259" s="509"/>
      <c r="B259" s="567" t="s">
        <v>90</v>
      </c>
      <c r="C259" s="586"/>
      <c r="D259" s="586"/>
      <c r="E259" s="586"/>
      <c r="F259" s="552"/>
      <c r="G259" s="586"/>
      <c r="H259" s="586"/>
      <c r="I259" s="586"/>
      <c r="J259" s="586"/>
      <c r="K259" s="586"/>
      <c r="L259" s="586"/>
      <c r="M259" s="586"/>
      <c r="N259" s="586"/>
      <c r="O259" s="586"/>
      <c r="P259" s="586"/>
      <c r="Q259" s="586"/>
      <c r="R259" s="567">
        <v>72</v>
      </c>
      <c r="S259" s="595">
        <f t="shared" ref="S259:S266" si="7">R259/$R$268</f>
        <v>0.96</v>
      </c>
      <c r="T259" s="596">
        <v>12262</v>
      </c>
      <c r="U259" s="595">
        <f t="shared" ref="U259:U266" si="8">T259/$T$268</f>
        <v>0.97518689358994748</v>
      </c>
      <c r="V259" s="552"/>
      <c r="W259" s="552"/>
      <c r="X259" s="512"/>
    </row>
    <row r="260" spans="1:24" s="513" customFormat="1" x14ac:dyDescent="0.3">
      <c r="A260" s="521"/>
      <c r="B260" s="562" t="s">
        <v>91</v>
      </c>
      <c r="C260" s="592"/>
      <c r="D260" s="592"/>
      <c r="E260" s="592"/>
      <c r="F260" s="522"/>
      <c r="G260" s="593"/>
      <c r="H260" s="592"/>
      <c r="I260" s="592"/>
      <c r="J260" s="592"/>
      <c r="K260" s="592"/>
      <c r="L260" s="592"/>
      <c r="M260" s="592"/>
      <c r="N260" s="592"/>
      <c r="O260" s="592"/>
      <c r="P260" s="592"/>
      <c r="Q260" s="592"/>
      <c r="R260" s="562">
        <v>0</v>
      </c>
      <c r="S260" s="593">
        <f t="shared" si="7"/>
        <v>0</v>
      </c>
      <c r="T260" s="563">
        <v>0</v>
      </c>
      <c r="U260" s="593">
        <f t="shared" si="8"/>
        <v>0</v>
      </c>
      <c r="V260" s="522"/>
      <c r="W260" s="524"/>
      <c r="X260" s="512"/>
    </row>
    <row r="261" spans="1:24" s="513" customFormat="1" x14ac:dyDescent="0.3">
      <c r="A261" s="521"/>
      <c r="B261" s="562" t="s">
        <v>92</v>
      </c>
      <c r="C261" s="592"/>
      <c r="D261" s="592"/>
      <c r="E261" s="592"/>
      <c r="F261" s="522"/>
      <c r="G261" s="593"/>
      <c r="H261" s="592"/>
      <c r="I261" s="592"/>
      <c r="J261" s="592"/>
      <c r="K261" s="592"/>
      <c r="L261" s="592"/>
      <c r="M261" s="592"/>
      <c r="N261" s="592"/>
      <c r="O261" s="592"/>
      <c r="P261" s="592"/>
      <c r="Q261" s="592"/>
      <c r="R261" s="562">
        <v>0</v>
      </c>
      <c r="S261" s="593">
        <f t="shared" si="7"/>
        <v>0</v>
      </c>
      <c r="T261" s="563">
        <v>0</v>
      </c>
      <c r="U261" s="593">
        <f t="shared" si="8"/>
        <v>0</v>
      </c>
      <c r="V261" s="522"/>
      <c r="W261" s="524"/>
      <c r="X261" s="512"/>
    </row>
    <row r="262" spans="1:24" s="513" customFormat="1" x14ac:dyDescent="0.3">
      <c r="A262" s="521"/>
      <c r="B262" s="562" t="s">
        <v>161</v>
      </c>
      <c r="C262" s="592"/>
      <c r="D262" s="592"/>
      <c r="E262" s="592"/>
      <c r="F262" s="522"/>
      <c r="G262" s="593"/>
      <c r="H262" s="592"/>
      <c r="I262" s="592"/>
      <c r="J262" s="592"/>
      <c r="K262" s="592"/>
      <c r="L262" s="592"/>
      <c r="M262" s="592"/>
      <c r="N262" s="592"/>
      <c r="O262" s="592"/>
      <c r="P262" s="592"/>
      <c r="Q262" s="592"/>
      <c r="R262" s="562">
        <v>0</v>
      </c>
      <c r="S262" s="593">
        <f t="shared" si="7"/>
        <v>0</v>
      </c>
      <c r="T262" s="563">
        <v>0</v>
      </c>
      <c r="U262" s="593">
        <f t="shared" si="8"/>
        <v>0</v>
      </c>
      <c r="V262" s="522"/>
      <c r="W262" s="524"/>
      <c r="X262" s="512"/>
    </row>
    <row r="263" spans="1:24" s="513" customFormat="1" x14ac:dyDescent="0.3">
      <c r="A263" s="521"/>
      <c r="B263" s="562" t="s">
        <v>162</v>
      </c>
      <c r="C263" s="592"/>
      <c r="D263" s="592"/>
      <c r="E263" s="592"/>
      <c r="F263" s="522"/>
      <c r="G263" s="593"/>
      <c r="H263" s="592"/>
      <c r="I263" s="592"/>
      <c r="J263" s="592"/>
      <c r="K263" s="592"/>
      <c r="L263" s="592"/>
      <c r="M263" s="592"/>
      <c r="N263" s="592"/>
      <c r="O263" s="592"/>
      <c r="P263" s="592"/>
      <c r="Q263" s="592"/>
      <c r="R263" s="562">
        <v>0</v>
      </c>
      <c r="S263" s="593">
        <f t="shared" si="7"/>
        <v>0</v>
      </c>
      <c r="T263" s="563">
        <v>0</v>
      </c>
      <c r="U263" s="593">
        <f t="shared" si="8"/>
        <v>0</v>
      </c>
      <c r="V263" s="522"/>
      <c r="W263" s="524"/>
      <c r="X263" s="512"/>
    </row>
    <row r="264" spans="1:24" s="513" customFormat="1" x14ac:dyDescent="0.3">
      <c r="A264" s="521"/>
      <c r="B264" s="562" t="s">
        <v>163</v>
      </c>
      <c r="C264" s="592"/>
      <c r="D264" s="592"/>
      <c r="E264" s="592"/>
      <c r="F264" s="522"/>
      <c r="G264" s="593"/>
      <c r="H264" s="592"/>
      <c r="I264" s="592"/>
      <c r="J264" s="592"/>
      <c r="K264" s="592"/>
      <c r="L264" s="592"/>
      <c r="M264" s="592"/>
      <c r="N264" s="592"/>
      <c r="O264" s="592"/>
      <c r="P264" s="592"/>
      <c r="Q264" s="592"/>
      <c r="R264" s="562">
        <v>0</v>
      </c>
      <c r="S264" s="593">
        <f t="shared" si="7"/>
        <v>0</v>
      </c>
      <c r="T264" s="563">
        <v>0</v>
      </c>
      <c r="U264" s="593">
        <f t="shared" si="8"/>
        <v>0</v>
      </c>
      <c r="V264" s="522"/>
      <c r="W264" s="524"/>
      <c r="X264" s="512"/>
    </row>
    <row r="265" spans="1:24" s="513" customFormat="1" x14ac:dyDescent="0.3">
      <c r="A265" s="521"/>
      <c r="B265" s="562" t="s">
        <v>164</v>
      </c>
      <c r="C265" s="592"/>
      <c r="D265" s="592"/>
      <c r="E265" s="592"/>
      <c r="F265" s="522"/>
      <c r="G265" s="593"/>
      <c r="H265" s="592"/>
      <c r="I265" s="592"/>
      <c r="J265" s="592"/>
      <c r="K265" s="592"/>
      <c r="L265" s="592"/>
      <c r="M265" s="592"/>
      <c r="N265" s="592"/>
      <c r="O265" s="592"/>
      <c r="P265" s="592"/>
      <c r="Q265" s="592"/>
      <c r="R265" s="562">
        <v>2</v>
      </c>
      <c r="S265" s="593">
        <f t="shared" si="7"/>
        <v>2.6666666666666668E-2</v>
      </c>
      <c r="T265" s="563">
        <v>103</v>
      </c>
      <c r="U265" s="593">
        <f t="shared" si="8"/>
        <v>8.1915062828057904E-3</v>
      </c>
      <c r="V265" s="522"/>
      <c r="W265" s="524"/>
      <c r="X265" s="512"/>
    </row>
    <row r="266" spans="1:24" s="513" customFormat="1" x14ac:dyDescent="0.3">
      <c r="A266" s="521"/>
      <c r="B266" s="562" t="s">
        <v>165</v>
      </c>
      <c r="C266" s="592"/>
      <c r="D266" s="592"/>
      <c r="E266" s="592"/>
      <c r="F266" s="522"/>
      <c r="G266" s="593"/>
      <c r="H266" s="592"/>
      <c r="I266" s="592"/>
      <c r="J266" s="592"/>
      <c r="K266" s="592"/>
      <c r="L266" s="592"/>
      <c r="M266" s="592"/>
      <c r="N266" s="592"/>
      <c r="O266" s="592"/>
      <c r="P266" s="592"/>
      <c r="Q266" s="592"/>
      <c r="R266" s="562">
        <v>1</v>
      </c>
      <c r="S266" s="593">
        <f t="shared" si="7"/>
        <v>1.3333333333333334E-2</v>
      </c>
      <c r="T266" s="563">
        <v>209</v>
      </c>
      <c r="U266" s="593">
        <f t="shared" si="8"/>
        <v>1.66216001272467E-2</v>
      </c>
      <c r="V266" s="522"/>
      <c r="W266" s="524"/>
      <c r="X266" s="512"/>
    </row>
    <row r="267" spans="1:24" s="513" customFormat="1" x14ac:dyDescent="0.3">
      <c r="A267" s="521"/>
      <c r="B267" s="562"/>
      <c r="C267" s="592"/>
      <c r="D267" s="592"/>
      <c r="E267" s="592"/>
      <c r="F267" s="522"/>
      <c r="G267" s="593"/>
      <c r="H267" s="592"/>
      <c r="I267" s="592"/>
      <c r="J267" s="592"/>
      <c r="K267" s="592"/>
      <c r="L267" s="592"/>
      <c r="M267" s="592"/>
      <c r="N267" s="592"/>
      <c r="O267" s="592"/>
      <c r="P267" s="592"/>
      <c r="Q267" s="592"/>
      <c r="R267" s="562"/>
      <c r="S267" s="593"/>
      <c r="T267" s="563"/>
      <c r="U267" s="593"/>
      <c r="V267" s="522"/>
      <c r="W267" s="524"/>
      <c r="X267" s="512"/>
    </row>
    <row r="268" spans="1:24" s="513" customFormat="1" x14ac:dyDescent="0.3">
      <c r="A268" s="521"/>
      <c r="B268" s="522" t="s">
        <v>119</v>
      </c>
      <c r="C268" s="522"/>
      <c r="D268" s="522"/>
      <c r="E268" s="522"/>
      <c r="F268" s="522"/>
      <c r="G268" s="522"/>
      <c r="H268" s="594"/>
      <c r="I268" s="594"/>
      <c r="J268" s="594"/>
      <c r="K268" s="594"/>
      <c r="L268" s="594"/>
      <c r="M268" s="594"/>
      <c r="N268" s="594"/>
      <c r="O268" s="594"/>
      <c r="P268" s="594"/>
      <c r="Q268" s="594"/>
      <c r="R268" s="562">
        <f>SUM(R259:R267)</f>
        <v>75</v>
      </c>
      <c r="S268" s="593">
        <f>SUM(S259:S267)</f>
        <v>0.99999999999999989</v>
      </c>
      <c r="T268" s="563">
        <f>SUM(T259:T267)</f>
        <v>12574</v>
      </c>
      <c r="U268" s="593">
        <f>SUM(U259:U267)</f>
        <v>0.99999999999999989</v>
      </c>
      <c r="V268" s="522"/>
      <c r="W268" s="524"/>
      <c r="X268" s="512"/>
    </row>
    <row r="269" spans="1:24" x14ac:dyDescent="0.3">
      <c r="A269" s="407"/>
      <c r="B269" s="429"/>
      <c r="C269" s="429"/>
      <c r="D269" s="429"/>
      <c r="E269" s="429"/>
      <c r="F269" s="429"/>
      <c r="G269" s="429"/>
      <c r="H269" s="488"/>
      <c r="I269" s="488"/>
      <c r="J269" s="488"/>
      <c r="K269" s="488"/>
      <c r="L269" s="488"/>
      <c r="M269" s="488"/>
      <c r="N269" s="488"/>
      <c r="O269" s="488"/>
      <c r="P269" s="488"/>
      <c r="Q269" s="488"/>
      <c r="R269" s="435"/>
      <c r="S269" s="489"/>
      <c r="T269" s="490"/>
      <c r="U269" s="489"/>
      <c r="V269" s="429"/>
      <c r="W269" s="429"/>
      <c r="X269" s="405"/>
    </row>
    <row r="270" spans="1:24" x14ac:dyDescent="0.3">
      <c r="A270" s="418"/>
      <c r="B270" s="464" t="s">
        <v>169</v>
      </c>
      <c r="C270" s="467"/>
      <c r="D270" s="467"/>
      <c r="E270" s="467"/>
      <c r="F270" s="467"/>
      <c r="G270" s="467"/>
      <c r="H270" s="491"/>
      <c r="I270" s="491"/>
      <c r="J270" s="491"/>
      <c r="K270" s="491"/>
      <c r="L270" s="491"/>
      <c r="M270" s="491"/>
      <c r="N270" s="491"/>
      <c r="O270" s="491"/>
      <c r="P270" s="491"/>
      <c r="Q270" s="491"/>
      <c r="R270" s="466" t="s">
        <v>104</v>
      </c>
      <c r="S270" s="465" t="s">
        <v>105</v>
      </c>
      <c r="T270" s="466" t="s">
        <v>113</v>
      </c>
      <c r="U270" s="465" t="s">
        <v>105</v>
      </c>
      <c r="V270" s="467"/>
      <c r="W270" s="468"/>
      <c r="X270" s="405"/>
    </row>
    <row r="271" spans="1:24" s="513" customFormat="1" x14ac:dyDescent="0.3">
      <c r="A271" s="509"/>
      <c r="B271" s="567" t="s">
        <v>90</v>
      </c>
      <c r="C271" s="552"/>
      <c r="D271" s="552"/>
      <c r="E271" s="552"/>
      <c r="F271" s="552"/>
      <c r="G271" s="552"/>
      <c r="H271" s="597"/>
      <c r="I271" s="597"/>
      <c r="J271" s="597"/>
      <c r="K271" s="597"/>
      <c r="L271" s="597"/>
      <c r="M271" s="597"/>
      <c r="N271" s="597"/>
      <c r="O271" s="597"/>
      <c r="P271" s="597"/>
      <c r="Q271" s="597"/>
      <c r="R271" s="567">
        <v>0</v>
      </c>
      <c r="S271" s="595">
        <v>0</v>
      </c>
      <c r="T271" s="596">
        <v>0</v>
      </c>
      <c r="U271" s="595">
        <v>0</v>
      </c>
      <c r="V271" s="552"/>
      <c r="W271" s="552"/>
      <c r="X271" s="512"/>
    </row>
    <row r="272" spans="1:24" s="513" customFormat="1" x14ac:dyDescent="0.3">
      <c r="A272" s="521"/>
      <c r="B272" s="562" t="s">
        <v>91</v>
      </c>
      <c r="C272" s="522"/>
      <c r="D272" s="522"/>
      <c r="E272" s="522"/>
      <c r="F272" s="522"/>
      <c r="G272" s="522"/>
      <c r="H272" s="594"/>
      <c r="I272" s="594"/>
      <c r="J272" s="594"/>
      <c r="K272" s="594"/>
      <c r="L272" s="594"/>
      <c r="M272" s="594"/>
      <c r="N272" s="594"/>
      <c r="O272" s="594"/>
      <c r="P272" s="594"/>
      <c r="Q272" s="594"/>
      <c r="R272" s="562">
        <v>0</v>
      </c>
      <c r="S272" s="593">
        <v>0</v>
      </c>
      <c r="T272" s="563">
        <v>0</v>
      </c>
      <c r="U272" s="593">
        <v>0</v>
      </c>
      <c r="V272" s="522"/>
      <c r="W272" s="524"/>
      <c r="X272" s="512"/>
    </row>
    <row r="273" spans="1:24" s="513" customFormat="1" x14ac:dyDescent="0.3">
      <c r="A273" s="521"/>
      <c r="B273" s="562" t="s">
        <v>92</v>
      </c>
      <c r="C273" s="522"/>
      <c r="D273" s="522"/>
      <c r="E273" s="522"/>
      <c r="F273" s="522"/>
      <c r="G273" s="522"/>
      <c r="H273" s="594"/>
      <c r="I273" s="594"/>
      <c r="J273" s="594"/>
      <c r="K273" s="594"/>
      <c r="L273" s="594"/>
      <c r="M273" s="594"/>
      <c r="N273" s="594"/>
      <c r="O273" s="594"/>
      <c r="P273" s="594"/>
      <c r="Q273" s="594"/>
      <c r="R273" s="562">
        <v>0</v>
      </c>
      <c r="S273" s="593">
        <v>0</v>
      </c>
      <c r="T273" s="563">
        <v>0</v>
      </c>
      <c r="U273" s="593">
        <v>0</v>
      </c>
      <c r="V273" s="522"/>
      <c r="W273" s="524"/>
      <c r="X273" s="512"/>
    </row>
    <row r="274" spans="1:24" s="513" customFormat="1" x14ac:dyDescent="0.3">
      <c r="A274" s="521"/>
      <c r="B274" s="562" t="s">
        <v>161</v>
      </c>
      <c r="C274" s="522"/>
      <c r="D274" s="522"/>
      <c r="E274" s="522"/>
      <c r="F274" s="522"/>
      <c r="G274" s="522"/>
      <c r="H274" s="594"/>
      <c r="I274" s="594"/>
      <c r="J274" s="594"/>
      <c r="K274" s="594"/>
      <c r="L274" s="594"/>
      <c r="M274" s="594"/>
      <c r="N274" s="594"/>
      <c r="O274" s="594"/>
      <c r="P274" s="594"/>
      <c r="Q274" s="594"/>
      <c r="R274" s="562">
        <v>0</v>
      </c>
      <c r="S274" s="593">
        <v>0</v>
      </c>
      <c r="T274" s="563">
        <v>0</v>
      </c>
      <c r="U274" s="593">
        <v>0</v>
      </c>
      <c r="V274" s="522"/>
      <c r="W274" s="524"/>
      <c r="X274" s="512"/>
    </row>
    <row r="275" spans="1:24" s="513" customFormat="1" x14ac:dyDescent="0.3">
      <c r="A275" s="521"/>
      <c r="B275" s="562" t="s">
        <v>162</v>
      </c>
      <c r="C275" s="522"/>
      <c r="D275" s="522"/>
      <c r="E275" s="522"/>
      <c r="F275" s="522"/>
      <c r="G275" s="522"/>
      <c r="H275" s="594"/>
      <c r="I275" s="594"/>
      <c r="J275" s="594"/>
      <c r="K275" s="594"/>
      <c r="L275" s="594"/>
      <c r="M275" s="594"/>
      <c r="N275" s="594"/>
      <c r="O275" s="594"/>
      <c r="P275" s="594"/>
      <c r="Q275" s="594"/>
      <c r="R275" s="562">
        <v>0</v>
      </c>
      <c r="S275" s="593">
        <v>0</v>
      </c>
      <c r="T275" s="563">
        <v>0</v>
      </c>
      <c r="U275" s="593">
        <v>0</v>
      </c>
      <c r="V275" s="522"/>
      <c r="W275" s="524"/>
      <c r="X275" s="512"/>
    </row>
    <row r="276" spans="1:24" s="513" customFormat="1" x14ac:dyDescent="0.3">
      <c r="A276" s="521"/>
      <c r="B276" s="562" t="s">
        <v>163</v>
      </c>
      <c r="C276" s="522"/>
      <c r="D276" s="522"/>
      <c r="E276" s="522"/>
      <c r="F276" s="522"/>
      <c r="G276" s="522"/>
      <c r="H276" s="594"/>
      <c r="I276" s="594"/>
      <c r="J276" s="594"/>
      <c r="K276" s="594"/>
      <c r="L276" s="594"/>
      <c r="M276" s="594"/>
      <c r="N276" s="594"/>
      <c r="O276" s="594"/>
      <c r="P276" s="594"/>
      <c r="Q276" s="594"/>
      <c r="R276" s="562">
        <v>0</v>
      </c>
      <c r="S276" s="593">
        <v>0</v>
      </c>
      <c r="T276" s="563">
        <v>0</v>
      </c>
      <c r="U276" s="593">
        <v>0</v>
      </c>
      <c r="V276" s="522"/>
      <c r="W276" s="524"/>
      <c r="X276" s="512"/>
    </row>
    <row r="277" spans="1:24" s="513" customFormat="1" x14ac:dyDescent="0.3">
      <c r="A277" s="521"/>
      <c r="B277" s="562" t="s">
        <v>164</v>
      </c>
      <c r="C277" s="522"/>
      <c r="D277" s="522"/>
      <c r="E277" s="522"/>
      <c r="F277" s="522"/>
      <c r="G277" s="522"/>
      <c r="H277" s="594"/>
      <c r="I277" s="594"/>
      <c r="J277" s="594"/>
      <c r="K277" s="594"/>
      <c r="L277" s="594"/>
      <c r="M277" s="594"/>
      <c r="N277" s="594"/>
      <c r="O277" s="594"/>
      <c r="P277" s="594"/>
      <c r="Q277" s="594"/>
      <c r="R277" s="562">
        <v>0</v>
      </c>
      <c r="S277" s="593">
        <v>0</v>
      </c>
      <c r="T277" s="563">
        <v>0</v>
      </c>
      <c r="U277" s="593">
        <v>0</v>
      </c>
      <c r="V277" s="522"/>
      <c r="W277" s="524"/>
      <c r="X277" s="512"/>
    </row>
    <row r="278" spans="1:24" s="513" customFormat="1" x14ac:dyDescent="0.3">
      <c r="A278" s="521"/>
      <c r="B278" s="562" t="s">
        <v>165</v>
      </c>
      <c r="C278" s="522"/>
      <c r="D278" s="522"/>
      <c r="E278" s="522"/>
      <c r="F278" s="522"/>
      <c r="G278" s="522"/>
      <c r="H278" s="594"/>
      <c r="I278" s="594"/>
      <c r="J278" s="594"/>
      <c r="K278" s="594"/>
      <c r="L278" s="594"/>
      <c r="M278" s="594"/>
      <c r="N278" s="594"/>
      <c r="O278" s="594"/>
      <c r="P278" s="594"/>
      <c r="Q278" s="594"/>
      <c r="R278" s="562">
        <v>0</v>
      </c>
      <c r="S278" s="593">
        <v>0</v>
      </c>
      <c r="T278" s="563">
        <v>0</v>
      </c>
      <c r="U278" s="593">
        <v>0</v>
      </c>
      <c r="V278" s="522"/>
      <c r="W278" s="524"/>
      <c r="X278" s="512"/>
    </row>
    <row r="279" spans="1:24" s="513" customFormat="1" x14ac:dyDescent="0.3">
      <c r="A279" s="521"/>
      <c r="B279" s="562"/>
      <c r="C279" s="522"/>
      <c r="D279" s="522"/>
      <c r="E279" s="522"/>
      <c r="F279" s="522"/>
      <c r="G279" s="522"/>
      <c r="H279" s="594"/>
      <c r="I279" s="594"/>
      <c r="J279" s="594"/>
      <c r="K279" s="594"/>
      <c r="L279" s="594"/>
      <c r="M279" s="594"/>
      <c r="N279" s="594"/>
      <c r="O279" s="594"/>
      <c r="P279" s="594"/>
      <c r="Q279" s="594"/>
      <c r="R279" s="562"/>
      <c r="S279" s="593"/>
      <c r="T279" s="563"/>
      <c r="U279" s="593"/>
      <c r="V279" s="522"/>
      <c r="W279" s="524"/>
      <c r="X279" s="512"/>
    </row>
    <row r="280" spans="1:24" s="513" customFormat="1" x14ac:dyDescent="0.3">
      <c r="A280" s="521"/>
      <c r="B280" s="522" t="s">
        <v>119</v>
      </c>
      <c r="C280" s="522"/>
      <c r="D280" s="522"/>
      <c r="E280" s="522"/>
      <c r="F280" s="522"/>
      <c r="G280" s="522"/>
      <c r="H280" s="594"/>
      <c r="I280" s="594"/>
      <c r="J280" s="594"/>
      <c r="K280" s="594"/>
      <c r="L280" s="594"/>
      <c r="M280" s="594"/>
      <c r="N280" s="594"/>
      <c r="O280" s="594"/>
      <c r="P280" s="594"/>
      <c r="Q280" s="594"/>
      <c r="R280" s="562">
        <f>SUM(R271:R278)</f>
        <v>0</v>
      </c>
      <c r="S280" s="593">
        <f>SUM(S271:S279)</f>
        <v>0</v>
      </c>
      <c r="T280" s="563">
        <f>SUM(T271:T278)</f>
        <v>0</v>
      </c>
      <c r="U280" s="593">
        <f>SUM(U271:U279)</f>
        <v>0</v>
      </c>
      <c r="V280" s="522"/>
      <c r="W280" s="524"/>
      <c r="X280" s="512"/>
    </row>
    <row r="281" spans="1:24" s="513" customFormat="1" x14ac:dyDescent="0.3">
      <c r="A281" s="521"/>
      <c r="B281" s="522"/>
      <c r="C281" s="522"/>
      <c r="D281" s="522"/>
      <c r="E281" s="522"/>
      <c r="F281" s="522"/>
      <c r="G281" s="522"/>
      <c r="H281" s="594"/>
      <c r="I281" s="594"/>
      <c r="J281" s="594"/>
      <c r="K281" s="594"/>
      <c r="L281" s="594"/>
      <c r="M281" s="594"/>
      <c r="N281" s="594"/>
      <c r="O281" s="594"/>
      <c r="P281" s="594"/>
      <c r="Q281" s="594"/>
      <c r="R281" s="562"/>
      <c r="S281" s="593"/>
      <c r="T281" s="563"/>
      <c r="U281" s="593"/>
      <c r="V281" s="522"/>
      <c r="W281" s="524"/>
      <c r="X281" s="512"/>
    </row>
    <row r="282" spans="1:24" s="513" customFormat="1" x14ac:dyDescent="0.3">
      <c r="A282" s="521"/>
      <c r="B282" s="527" t="s">
        <v>170</v>
      </c>
      <c r="C282" s="522"/>
      <c r="D282" s="522"/>
      <c r="E282" s="522"/>
      <c r="F282" s="522"/>
      <c r="G282" s="522"/>
      <c r="H282" s="594"/>
      <c r="I282" s="594"/>
      <c r="J282" s="594"/>
      <c r="K282" s="594"/>
      <c r="L282" s="594"/>
      <c r="M282" s="594"/>
      <c r="N282" s="594"/>
      <c r="O282" s="594"/>
      <c r="P282" s="594"/>
      <c r="Q282" s="594"/>
      <c r="R282" s="598">
        <f>R280+R268+R256</f>
        <v>5357</v>
      </c>
      <c r="S282" s="593"/>
      <c r="T282" s="599">
        <f>+T280+T268+T256</f>
        <v>704808</v>
      </c>
      <c r="U282" s="593"/>
      <c r="V282" s="522"/>
      <c r="W282" s="524"/>
      <c r="X282" s="512"/>
    </row>
    <row r="283" spans="1:24" s="513" customFormat="1" x14ac:dyDescent="0.3">
      <c r="A283" s="509"/>
      <c r="B283" s="552"/>
      <c r="C283" s="552"/>
      <c r="D283" s="552"/>
      <c r="E283" s="552"/>
      <c r="F283" s="552"/>
      <c r="G283" s="552"/>
      <c r="H283" s="597"/>
      <c r="I283" s="597"/>
      <c r="J283" s="597"/>
      <c r="K283" s="597"/>
      <c r="L283" s="597"/>
      <c r="M283" s="597"/>
      <c r="N283" s="597"/>
      <c r="O283" s="597"/>
      <c r="P283" s="597"/>
      <c r="Q283" s="597"/>
      <c r="R283" s="597"/>
      <c r="S283" s="597"/>
      <c r="T283" s="596"/>
      <c r="U283" s="597"/>
      <c r="V283" s="552"/>
      <c r="W283" s="552"/>
      <c r="X283" s="512"/>
    </row>
    <row r="284" spans="1:24" s="513" customFormat="1" x14ac:dyDescent="0.3">
      <c r="A284" s="509"/>
      <c r="B284" s="510"/>
      <c r="C284" s="510"/>
      <c r="D284" s="510"/>
      <c r="E284" s="510"/>
      <c r="F284" s="510"/>
      <c r="G284" s="510"/>
      <c r="H284" s="600"/>
      <c r="I284" s="600"/>
      <c r="J284" s="600"/>
      <c r="K284" s="600"/>
      <c r="L284" s="600"/>
      <c r="M284" s="600"/>
      <c r="N284" s="600"/>
      <c r="O284" s="600"/>
      <c r="P284" s="600"/>
      <c r="Q284" s="600"/>
      <c r="R284" s="600"/>
      <c r="S284" s="600"/>
      <c r="T284" s="601"/>
      <c r="U284" s="600"/>
      <c r="V284" s="510"/>
      <c r="W284" s="510"/>
      <c r="X284" s="512"/>
    </row>
    <row r="285" spans="1:24" s="513" customFormat="1" x14ac:dyDescent="0.3">
      <c r="A285" s="509"/>
      <c r="B285" s="508" t="s">
        <v>93</v>
      </c>
      <c r="C285" s="510"/>
      <c r="D285" s="510"/>
      <c r="E285" s="510"/>
      <c r="F285" s="516" t="s">
        <v>99</v>
      </c>
      <c r="G285" s="510"/>
      <c r="H285" s="508" t="s">
        <v>101</v>
      </c>
      <c r="I285" s="510"/>
      <c r="J285" s="510"/>
      <c r="K285" s="510"/>
      <c r="L285" s="510"/>
      <c r="M285" s="510"/>
      <c r="N285" s="510"/>
      <c r="O285" s="510"/>
      <c r="P285" s="510"/>
      <c r="Q285" s="510"/>
      <c r="R285" s="510"/>
      <c r="S285" s="510"/>
      <c r="T285" s="510"/>
      <c r="U285" s="510"/>
      <c r="V285" s="510"/>
      <c r="W285" s="510"/>
      <c r="X285" s="512"/>
    </row>
    <row r="286" spans="1:24" s="513" customFormat="1" x14ac:dyDescent="0.3">
      <c r="A286" s="509"/>
      <c r="B286" s="510"/>
      <c r="C286" s="510"/>
      <c r="D286" s="510"/>
      <c r="E286" s="510"/>
      <c r="F286" s="510"/>
      <c r="G286" s="510"/>
      <c r="H286" s="510"/>
      <c r="I286" s="510"/>
      <c r="J286" s="510"/>
      <c r="K286" s="510"/>
      <c r="L286" s="510"/>
      <c r="M286" s="510"/>
      <c r="N286" s="510"/>
      <c r="O286" s="510"/>
      <c r="P286" s="510"/>
      <c r="Q286" s="510"/>
      <c r="R286" s="510"/>
      <c r="S286" s="510"/>
      <c r="T286" s="510"/>
      <c r="U286" s="510"/>
      <c r="V286" s="510"/>
      <c r="W286" s="510"/>
      <c r="X286" s="512"/>
    </row>
    <row r="287" spans="1:24" s="513" customFormat="1" x14ac:dyDescent="0.3">
      <c r="A287" s="509"/>
      <c r="B287" s="508" t="s">
        <v>327</v>
      </c>
      <c r="C287" s="508"/>
      <c r="D287" s="508"/>
      <c r="E287" s="508"/>
      <c r="F287" s="602" t="s">
        <v>278</v>
      </c>
      <c r="G287" s="508"/>
      <c r="H287" s="402" t="s">
        <v>350</v>
      </c>
      <c r="I287" s="510"/>
      <c r="J287" s="510"/>
      <c r="K287" s="510"/>
      <c r="L287" s="510"/>
      <c r="M287" s="510"/>
      <c r="N287" s="510"/>
      <c r="O287" s="510"/>
      <c r="P287" s="510"/>
      <c r="Q287" s="510"/>
      <c r="R287" s="510"/>
      <c r="S287" s="510"/>
      <c r="T287" s="510"/>
      <c r="U287" s="510"/>
      <c r="V287" s="510"/>
      <c r="W287" s="510"/>
      <c r="X287" s="512"/>
    </row>
    <row r="288" spans="1:24" s="513" customFormat="1" x14ac:dyDescent="0.3">
      <c r="A288" s="509"/>
      <c r="B288" s="508" t="s">
        <v>328</v>
      </c>
      <c r="C288" s="508"/>
      <c r="D288" s="508"/>
      <c r="E288" s="508"/>
      <c r="F288" s="602" t="s">
        <v>152</v>
      </c>
      <c r="G288" s="508"/>
      <c r="H288" s="402" t="s">
        <v>351</v>
      </c>
      <c r="I288" s="510"/>
      <c r="J288" s="510"/>
      <c r="K288" s="510"/>
      <c r="L288" s="510"/>
      <c r="M288" s="510"/>
      <c r="N288" s="510"/>
      <c r="O288" s="510"/>
      <c r="P288" s="510"/>
      <c r="Q288" s="510"/>
      <c r="R288" s="510"/>
      <c r="S288" s="510"/>
      <c r="T288" s="510"/>
      <c r="U288" s="510"/>
      <c r="V288" s="510"/>
      <c r="W288" s="510"/>
      <c r="X288" s="512"/>
    </row>
    <row r="289" spans="1:24" s="513" customFormat="1" x14ac:dyDescent="0.3">
      <c r="A289" s="509"/>
      <c r="B289" s="508"/>
      <c r="C289" s="508"/>
      <c r="D289" s="508"/>
      <c r="E289" s="508"/>
      <c r="F289" s="508"/>
      <c r="G289" s="508"/>
      <c r="H289" s="510"/>
      <c r="I289" s="510"/>
      <c r="J289" s="510"/>
      <c r="K289" s="510"/>
      <c r="L289" s="510"/>
      <c r="M289" s="510"/>
      <c r="N289" s="510"/>
      <c r="O289" s="510"/>
      <c r="P289" s="510"/>
      <c r="Q289" s="510"/>
      <c r="R289" s="510"/>
      <c r="S289" s="510"/>
      <c r="T289" s="510"/>
      <c r="U289" s="510"/>
      <c r="V289" s="510"/>
      <c r="W289" s="510"/>
      <c r="X289" s="512"/>
    </row>
    <row r="290" spans="1:24" s="513" customFormat="1" ht="18.600000000000001" thickBot="1" x14ac:dyDescent="0.4">
      <c r="A290" s="509"/>
      <c r="B290" s="603" t="str">
        <f>B196</f>
        <v>PM12 INVESTOR REPORT QUARTER ENDING JANUARY 2019</v>
      </c>
      <c r="C290" s="508"/>
      <c r="D290" s="508"/>
      <c r="E290" s="508"/>
      <c r="F290" s="508"/>
      <c r="G290" s="508"/>
      <c r="H290" s="510"/>
      <c r="I290" s="510"/>
      <c r="J290" s="510"/>
      <c r="K290" s="510"/>
      <c r="L290" s="510"/>
      <c r="M290" s="510"/>
      <c r="N290" s="510"/>
      <c r="O290" s="510"/>
      <c r="P290" s="510"/>
      <c r="Q290" s="510"/>
      <c r="R290" s="510"/>
      <c r="S290" s="510"/>
      <c r="T290" s="510"/>
      <c r="U290" s="510"/>
      <c r="V290" s="510"/>
      <c r="W290" s="510"/>
      <c r="X290" s="512"/>
    </row>
    <row r="291" spans="1:24" x14ac:dyDescent="0.3">
      <c r="A291" s="492"/>
      <c r="B291" s="492"/>
      <c r="C291" s="492"/>
      <c r="D291" s="492"/>
      <c r="E291" s="492"/>
      <c r="F291" s="492"/>
      <c r="G291" s="492"/>
      <c r="H291" s="492"/>
      <c r="I291" s="492"/>
      <c r="J291" s="492"/>
      <c r="K291" s="492"/>
      <c r="L291" s="492"/>
      <c r="M291" s="492"/>
      <c r="N291" s="492"/>
      <c r="O291" s="492"/>
      <c r="P291" s="492"/>
      <c r="Q291" s="492"/>
      <c r="R291" s="492"/>
      <c r="S291" s="492"/>
      <c r="T291" s="492"/>
      <c r="U291" s="492"/>
      <c r="V291" s="492"/>
      <c r="W291" s="492"/>
    </row>
  </sheetData>
  <hyperlinks>
    <hyperlink ref="I9" r:id="rId1" xr:uid="{00000000-0004-0000-3100-000000000000}"/>
    <hyperlink ref="P232" r:id="rId2" xr:uid="{00000000-0004-0000-31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89CB31"/>
  </sheetPr>
  <dimension ref="A1:Y293"/>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0.67500000000000004</v>
      </c>
      <c r="T16" s="516" t="s">
        <v>145</v>
      </c>
      <c r="U16" s="515">
        <v>0.32500000000000001</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43606</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219</v>
      </c>
      <c r="E26" s="526"/>
      <c r="F26" s="526" t="s">
        <v>146</v>
      </c>
      <c r="G26" s="526"/>
      <c r="H26" s="526" t="s">
        <v>146</v>
      </c>
      <c r="I26" s="526"/>
      <c r="J26" s="526" t="s">
        <v>146</v>
      </c>
      <c r="K26" s="526"/>
      <c r="L26" s="613" t="s">
        <v>189</v>
      </c>
      <c r="M26" s="613"/>
      <c r="N26" s="613" t="s">
        <v>189</v>
      </c>
      <c r="O26" s="526"/>
      <c r="P26" s="526" t="s">
        <v>147</v>
      </c>
      <c r="Q26" s="526"/>
      <c r="R26" s="526" t="s">
        <v>147</v>
      </c>
      <c r="S26" s="526"/>
      <c r="T26" s="523"/>
      <c r="U26" s="522"/>
      <c r="V26" s="522"/>
      <c r="W26" s="524"/>
      <c r="X26" s="512"/>
    </row>
    <row r="27" spans="1:25" s="513" customFormat="1" x14ac:dyDescent="0.3">
      <c r="A27" s="521"/>
      <c r="B27" s="527" t="s">
        <v>197</v>
      </c>
      <c r="C27" s="523"/>
      <c r="D27" s="526" t="s">
        <v>314</v>
      </c>
      <c r="E27" s="526"/>
      <c r="F27" s="526" t="s">
        <v>148</v>
      </c>
      <c r="G27" s="526"/>
      <c r="H27" s="526" t="s">
        <v>148</v>
      </c>
      <c r="I27" s="526"/>
      <c r="J27" s="526" t="s">
        <v>148</v>
      </c>
      <c r="K27" s="526"/>
      <c r="L27" s="526" t="s">
        <v>149</v>
      </c>
      <c r="M27" s="526"/>
      <c r="N27" s="526" t="s">
        <v>149</v>
      </c>
      <c r="O27" s="526"/>
      <c r="P27" s="526" t="s">
        <v>337</v>
      </c>
      <c r="Q27" s="526"/>
      <c r="R27" s="526" t="s">
        <v>337</v>
      </c>
      <c r="S27" s="523"/>
      <c r="T27" s="528"/>
      <c r="U27" s="522"/>
      <c r="V27" s="522"/>
      <c r="W27" s="524"/>
      <c r="X27" s="512"/>
    </row>
    <row r="28" spans="1:25" s="513" customFormat="1" x14ac:dyDescent="0.3">
      <c r="A28" s="521"/>
      <c r="B28" s="527" t="s">
        <v>198</v>
      </c>
      <c r="C28" s="523"/>
      <c r="D28" s="526" t="s">
        <v>312</v>
      </c>
      <c r="E28" s="526"/>
      <c r="F28" s="526" t="s">
        <v>148</v>
      </c>
      <c r="G28" s="526"/>
      <c r="H28" s="526" t="s">
        <v>148</v>
      </c>
      <c r="I28" s="526"/>
      <c r="J28" s="526" t="s">
        <v>148</v>
      </c>
      <c r="K28" s="526"/>
      <c r="L28" s="526" t="s">
        <v>148</v>
      </c>
      <c r="M28" s="526"/>
      <c r="N28" s="526" t="s">
        <v>148</v>
      </c>
      <c r="O28" s="526"/>
      <c r="P28" s="526" t="s">
        <v>149</v>
      </c>
      <c r="Q28" s="526"/>
      <c r="R28" s="526" t="s">
        <v>149</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533">
        <f>D31*D38</f>
        <v>595299.30000000005</v>
      </c>
      <c r="E32" s="529"/>
      <c r="F32" s="530">
        <f>F31*F38</f>
        <v>57545.917999999998</v>
      </c>
      <c r="G32" s="530"/>
      <c r="H32" s="534">
        <f>H31*H38</f>
        <v>97232.758000000002</v>
      </c>
      <c r="I32" s="534"/>
      <c r="J32" s="533">
        <f>J31*J38</f>
        <v>123425.3882</v>
      </c>
      <c r="K32" s="530"/>
      <c r="L32" s="530">
        <f>L31*L38</f>
        <v>23464.59</v>
      </c>
      <c r="M32" s="530"/>
      <c r="N32" s="534">
        <f>N31*N38</f>
        <v>118261.5336</v>
      </c>
      <c r="O32" s="530"/>
      <c r="P32" s="530">
        <f>P31*P38</f>
        <v>15955.921199999999</v>
      </c>
      <c r="Q32" s="530"/>
      <c r="R32" s="534">
        <f>R31*R38</f>
        <v>99489.861599999989</v>
      </c>
      <c r="S32" s="530"/>
      <c r="T32" s="530"/>
      <c r="U32" s="529"/>
      <c r="V32" s="530"/>
      <c r="W32" s="531"/>
      <c r="X32" s="512"/>
    </row>
    <row r="33" spans="1:24" s="513" customFormat="1" x14ac:dyDescent="0.3">
      <c r="A33" s="521"/>
      <c r="B33" s="527" t="s">
        <v>139</v>
      </c>
      <c r="C33" s="529"/>
      <c r="D33" s="536">
        <f>D37*D31</f>
        <v>584033.4</v>
      </c>
      <c r="E33" s="532"/>
      <c r="F33" s="535">
        <f>F37*F31</f>
        <v>56456.880999999994</v>
      </c>
      <c r="G33" s="535"/>
      <c r="H33" s="537">
        <f>H31*H37</f>
        <v>95392.660999999993</v>
      </c>
      <c r="I33" s="537"/>
      <c r="J33" s="536">
        <f>J37*J31</f>
        <v>121089.59160000001</v>
      </c>
      <c r="K33" s="535"/>
      <c r="L33" s="535">
        <f>L37*L31</f>
        <v>23020.525000000001</v>
      </c>
      <c r="M33" s="535"/>
      <c r="N33" s="537">
        <f>N37*N31</f>
        <v>116023.446</v>
      </c>
      <c r="O33" s="535"/>
      <c r="P33" s="535">
        <f>P37*P31</f>
        <v>15653.957</v>
      </c>
      <c r="Q33" s="535"/>
      <c r="R33" s="537">
        <f>R37*R31</f>
        <v>97607.025999999998</v>
      </c>
      <c r="S33" s="530"/>
      <c r="T33" s="530"/>
      <c r="U33" s="529"/>
      <c r="V33" s="530"/>
      <c r="W33" s="531"/>
      <c r="X33" s="512"/>
    </row>
    <row r="34" spans="1:24"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4" s="513" customFormat="1" x14ac:dyDescent="0.3">
      <c r="A35" s="525"/>
      <c r="B35" s="522" t="s">
        <v>294</v>
      </c>
      <c r="C35" s="532"/>
      <c r="D35" s="530">
        <f>D34*D38</f>
        <v>323532.0729654</v>
      </c>
      <c r="E35" s="529"/>
      <c r="F35" s="530">
        <f>F34*F38</f>
        <v>57545.917999999998</v>
      </c>
      <c r="G35" s="530"/>
      <c r="H35" s="530">
        <f>H34*H38</f>
        <v>67057.266074400002</v>
      </c>
      <c r="I35" s="530"/>
      <c r="J35" s="530">
        <f>J34*J38</f>
        <v>67079.118856400004</v>
      </c>
      <c r="K35" s="530"/>
      <c r="L35" s="530">
        <f>L34*L38</f>
        <v>23464.59</v>
      </c>
      <c r="M35" s="530"/>
      <c r="N35" s="530">
        <f>N34*N38</f>
        <v>81560.099089199997</v>
      </c>
      <c r="O35" s="530"/>
      <c r="P35" s="530">
        <f>P34*P38</f>
        <v>15955.921199999999</v>
      </c>
      <c r="Q35" s="530"/>
      <c r="R35" s="530">
        <f>R34*R38</f>
        <v>68613.276910799992</v>
      </c>
      <c r="S35" s="530"/>
      <c r="T35" s="530"/>
      <c r="U35" s="529"/>
      <c r="V35" s="530">
        <f>SUM(C35:R35)</f>
        <v>704808.26309620007</v>
      </c>
      <c r="W35" s="531"/>
      <c r="X35" s="512"/>
    </row>
    <row r="36" spans="1:24" s="513" customFormat="1" x14ac:dyDescent="0.3">
      <c r="A36" s="525"/>
      <c r="B36" s="527" t="s">
        <v>295</v>
      </c>
      <c r="C36" s="532"/>
      <c r="D36" s="535">
        <f>D34*D37</f>
        <v>317409.30416520004</v>
      </c>
      <c r="E36" s="532"/>
      <c r="F36" s="535">
        <f>F34*F37</f>
        <v>56456.880999999994</v>
      </c>
      <c r="G36" s="535"/>
      <c r="H36" s="535">
        <f>H34*H37</f>
        <v>65788.230034799999</v>
      </c>
      <c r="I36" s="535"/>
      <c r="J36" s="535">
        <f>J34*J37</f>
        <v>65809.662223200008</v>
      </c>
      <c r="K36" s="535"/>
      <c r="L36" s="535">
        <f>L34*L37</f>
        <v>23020.525000000001</v>
      </c>
      <c r="M36" s="535"/>
      <c r="N36" s="535">
        <f>N34*N37</f>
        <v>80016.582437000005</v>
      </c>
      <c r="O36" s="535"/>
      <c r="P36" s="535">
        <f>P34*P37</f>
        <v>15653.957</v>
      </c>
      <c r="Q36" s="535"/>
      <c r="R36" s="535">
        <f>R34*R37</f>
        <v>67314.777562999996</v>
      </c>
      <c r="S36" s="538"/>
      <c r="T36" s="538"/>
      <c r="U36" s="529"/>
      <c r="V36" s="535">
        <f>SUM(C36:R36)</f>
        <v>691469.91942320007</v>
      </c>
      <c r="W36" s="531"/>
      <c r="X36" s="512"/>
    </row>
    <row r="37" spans="1:24" x14ac:dyDescent="0.3">
      <c r="A37" s="420"/>
      <c r="B37" s="493" t="s">
        <v>135</v>
      </c>
      <c r="C37" s="494"/>
      <c r="D37" s="495">
        <v>0.38935560000000002</v>
      </c>
      <c r="E37" s="496"/>
      <c r="F37" s="495">
        <v>0.38935779999999998</v>
      </c>
      <c r="G37" s="495"/>
      <c r="H37" s="495">
        <v>0.38935779999999998</v>
      </c>
      <c r="I37" s="495"/>
      <c r="J37" s="495">
        <v>0.38935560000000002</v>
      </c>
      <c r="K37" s="495"/>
      <c r="L37" s="495">
        <v>0.920821</v>
      </c>
      <c r="M37" s="495"/>
      <c r="N37" s="495">
        <v>0.920821</v>
      </c>
      <c r="O37" s="495"/>
      <c r="P37" s="495">
        <v>0.920821</v>
      </c>
      <c r="Q37" s="495"/>
      <c r="R37" s="495">
        <v>0.920821</v>
      </c>
      <c r="S37" s="425"/>
      <c r="T37" s="425"/>
      <c r="U37" s="424"/>
      <c r="V37" s="424"/>
      <c r="W37" s="426"/>
      <c r="X37" s="405"/>
    </row>
    <row r="38" spans="1:24" x14ac:dyDescent="0.3">
      <c r="A38" s="420"/>
      <c r="B38" s="493" t="s">
        <v>136</v>
      </c>
      <c r="C38" s="494"/>
      <c r="D38" s="495">
        <v>0.3968662</v>
      </c>
      <c r="E38" s="496"/>
      <c r="F38" s="495">
        <v>0.39686840000000001</v>
      </c>
      <c r="G38" s="495"/>
      <c r="H38" s="495">
        <v>0.39686840000000001</v>
      </c>
      <c r="I38" s="495"/>
      <c r="J38" s="495">
        <v>0.3968662</v>
      </c>
      <c r="K38" s="495"/>
      <c r="L38" s="495">
        <v>0.93858359999999996</v>
      </c>
      <c r="M38" s="495"/>
      <c r="N38" s="495">
        <v>0.93858359999999996</v>
      </c>
      <c r="O38" s="495"/>
      <c r="P38" s="495">
        <v>0.93858359999999996</v>
      </c>
      <c r="Q38" s="495"/>
      <c r="R38" s="495">
        <v>0.93858359999999996</v>
      </c>
      <c r="S38" s="427"/>
      <c r="T38" s="428"/>
      <c r="U38" s="424"/>
      <c r="V38" s="427"/>
      <c r="W38" s="426"/>
      <c r="X38" s="405"/>
    </row>
    <row r="39" spans="1:24"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4" s="513" customFormat="1" x14ac:dyDescent="0.3">
      <c r="A40" s="521"/>
      <c r="B40" s="522" t="s">
        <v>12</v>
      </c>
      <c r="C40" s="522"/>
      <c r="D40" s="540">
        <v>2.7126299999999999E-2</v>
      </c>
      <c r="E40" s="522"/>
      <c r="F40" s="540">
        <v>1.1098800000000001E-2</v>
      </c>
      <c r="G40" s="539"/>
      <c r="H40" s="540">
        <v>0</v>
      </c>
      <c r="I40" s="540"/>
      <c r="J40" s="540">
        <v>2.9037500000000001E-2</v>
      </c>
      <c r="K40" s="539"/>
      <c r="L40" s="540">
        <v>1.34988E-2</v>
      </c>
      <c r="M40" s="539"/>
      <c r="N40" s="540">
        <v>1.72E-3</v>
      </c>
      <c r="O40" s="539"/>
      <c r="P40" s="540">
        <v>1.7898799999999999E-2</v>
      </c>
      <c r="Q40" s="539"/>
      <c r="R40" s="540">
        <v>6.1199999999999996E-3</v>
      </c>
      <c r="S40" s="539"/>
      <c r="T40" s="540"/>
      <c r="U40" s="522"/>
      <c r="V40" s="528"/>
      <c r="W40" s="524"/>
      <c r="X40" s="512"/>
    </row>
    <row r="41" spans="1:24" s="513" customFormat="1" x14ac:dyDescent="0.3">
      <c r="A41" s="521"/>
      <c r="B41" s="522" t="s">
        <v>13</v>
      </c>
      <c r="C41" s="522"/>
      <c r="D41" s="540">
        <v>2.7489400000000001E-2</v>
      </c>
      <c r="E41" s="522"/>
      <c r="F41" s="540">
        <v>1.1265000000000001E-2</v>
      </c>
      <c r="G41" s="539"/>
      <c r="H41" s="540">
        <v>0</v>
      </c>
      <c r="I41" s="540"/>
      <c r="J41" s="540">
        <v>2.8361299999999999E-2</v>
      </c>
      <c r="K41" s="539"/>
      <c r="L41" s="540">
        <v>1.3665E-2</v>
      </c>
      <c r="M41" s="539"/>
      <c r="N41" s="540">
        <v>1.64E-3</v>
      </c>
      <c r="O41" s="539"/>
      <c r="P41" s="540">
        <v>1.8065000000000001E-2</v>
      </c>
      <c r="Q41" s="539"/>
      <c r="R41" s="540">
        <v>6.0400000000000002E-3</v>
      </c>
      <c r="S41" s="539"/>
      <c r="T41" s="540"/>
      <c r="U41" s="522"/>
      <c r="V41" s="539" t="s">
        <v>199</v>
      </c>
      <c r="W41" s="524"/>
      <c r="X41" s="512"/>
    </row>
    <row r="42" spans="1:24" s="513" customFormat="1" x14ac:dyDescent="0.3">
      <c r="A42" s="521"/>
      <c r="B42" s="522" t="s">
        <v>296</v>
      </c>
      <c r="C42" s="522"/>
      <c r="D42" s="528" t="s">
        <v>243</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4" s="513" customFormat="1" x14ac:dyDescent="0.3">
      <c r="A43" s="521"/>
      <c r="B43" s="522" t="s">
        <v>297</v>
      </c>
      <c r="C43" s="541"/>
      <c r="D43" s="540">
        <v>1.13131E-2</v>
      </c>
      <c r="E43" s="540"/>
      <c r="F43" s="540">
        <f>+F40</f>
        <v>1.1098800000000001E-2</v>
      </c>
      <c r="G43" s="540"/>
      <c r="H43" s="540">
        <v>1.1020800000000001E-2</v>
      </c>
      <c r="I43" s="540"/>
      <c r="J43" s="540">
        <v>1.12628E-2</v>
      </c>
      <c r="K43" s="540"/>
      <c r="L43" s="540">
        <f>+L40</f>
        <v>1.34988E-2</v>
      </c>
      <c r="M43" s="540"/>
      <c r="N43" s="540">
        <v>1.3700800000000001E-2</v>
      </c>
      <c r="O43" s="540"/>
      <c r="P43" s="540">
        <f>+P40</f>
        <v>1.7898799999999999E-2</v>
      </c>
      <c r="Q43" s="539"/>
      <c r="R43" s="540">
        <v>1.83708E-2</v>
      </c>
      <c r="S43" s="528"/>
      <c r="T43" s="528"/>
      <c r="U43" s="522"/>
      <c r="V43" s="539">
        <f>SUMPRODUCT(D43:R43,D35:R35)/V35</f>
        <v>1.2448236278573751E-2</v>
      </c>
      <c r="W43" s="524"/>
      <c r="X43" s="512"/>
    </row>
    <row r="44" spans="1:24" s="513" customFormat="1" x14ac:dyDescent="0.3">
      <c r="A44" s="521"/>
      <c r="B44" s="522" t="s">
        <v>298</v>
      </c>
      <c r="C44" s="541"/>
      <c r="D44" s="540">
        <v>1.14793E-2</v>
      </c>
      <c r="E44" s="540"/>
      <c r="F44" s="540">
        <f>+F41</f>
        <v>1.1265000000000001E-2</v>
      </c>
      <c r="G44" s="540"/>
      <c r="H44" s="540">
        <v>1.1187000000000001E-2</v>
      </c>
      <c r="I44" s="540"/>
      <c r="J44" s="540">
        <v>1.1429E-2</v>
      </c>
      <c r="K44" s="540"/>
      <c r="L44" s="540">
        <f>+L41</f>
        <v>1.3665E-2</v>
      </c>
      <c r="M44" s="540"/>
      <c r="N44" s="540">
        <v>1.3867000000000001E-2</v>
      </c>
      <c r="O44" s="540"/>
      <c r="P44" s="540">
        <f>+P41</f>
        <v>1.8065000000000001E-2</v>
      </c>
      <c r="Q44" s="539"/>
      <c r="R44" s="540">
        <v>1.8537000000000001E-2</v>
      </c>
      <c r="S44" s="528"/>
      <c r="T44" s="528"/>
      <c r="U44" s="522"/>
      <c r="V44" s="522"/>
      <c r="W44" s="524"/>
      <c r="X44" s="512"/>
    </row>
    <row r="45" spans="1:24"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4"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4"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4" s="513" customFormat="1" x14ac:dyDescent="0.3">
      <c r="A48" s="521"/>
      <c r="B48" s="522" t="s">
        <v>299</v>
      </c>
      <c r="C48" s="522"/>
      <c r="D48" s="528" t="s">
        <v>243</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0.36799022978692614</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209</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43600</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43419</v>
      </c>
      <c r="U57" s="550"/>
      <c r="V57" s="549">
        <v>43510</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89</v>
      </c>
      <c r="S58" s="522"/>
      <c r="T58" s="549">
        <v>43511</v>
      </c>
      <c r="U58" s="550"/>
      <c r="V58" s="549">
        <v>43599</v>
      </c>
      <c r="W58" s="524"/>
      <c r="X58" s="512"/>
    </row>
    <row r="59" spans="1:25" s="513" customFormat="1" x14ac:dyDescent="0.3">
      <c r="A59" s="521"/>
      <c r="B59" s="522" t="s">
        <v>263</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262</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43586</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358</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704808</v>
      </c>
      <c r="O68" s="562"/>
      <c r="P68" s="562">
        <v>13338</v>
      </c>
      <c r="Q68" s="562"/>
      <c r="R68" s="562">
        <v>0</v>
      </c>
      <c r="S68" s="562"/>
      <c r="T68" s="562">
        <v>0</v>
      </c>
      <c r="U68" s="562"/>
      <c r="V68" s="563">
        <f>+N68-P68+R68-T68</f>
        <v>691470</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704808</v>
      </c>
      <c r="O71" s="562"/>
      <c r="P71" s="562">
        <f>SUM(P68:P70)</f>
        <v>13338</v>
      </c>
      <c r="Q71" s="562"/>
      <c r="R71" s="562">
        <f>SUM(R68:R70)</f>
        <v>0</v>
      </c>
      <c r="S71" s="562"/>
      <c r="T71" s="562">
        <f>SUM(T68:T70)</f>
        <v>0</v>
      </c>
      <c r="U71" s="562"/>
      <c r="V71" s="562">
        <f>SUM(V68:V70)</f>
        <v>691470</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704808</v>
      </c>
      <c r="O84" s="562"/>
      <c r="P84" s="562"/>
      <c r="Q84" s="562"/>
      <c r="R84" s="562"/>
      <c r="S84" s="562"/>
      <c r="T84" s="562"/>
      <c r="U84" s="562"/>
      <c r="V84" s="562">
        <f>SUM(V71:V83)</f>
        <v>691470</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+T197</f>
        <v>43585</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13338-65</f>
        <v>13273</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4002+2357-883-787</f>
        <v>4689</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49+29</f>
        <v>78</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73</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245</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13273</v>
      </c>
      <c r="U96" s="522"/>
      <c r="V96" s="562">
        <f>SUM(V88:V95)</f>
        <v>5085</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24</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13273</v>
      </c>
      <c r="U100" s="522"/>
      <c r="V100" s="562">
        <f>V96+V98+V97+V99</f>
        <v>5109</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-261-91-9</f>
        <v>-361</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256</v>
      </c>
      <c r="C106" s="522"/>
      <c r="D106" s="522"/>
      <c r="E106" s="522"/>
      <c r="F106" s="522"/>
      <c r="G106" s="522"/>
      <c r="H106" s="522"/>
      <c r="I106" s="522"/>
      <c r="J106" s="522"/>
      <c r="K106" s="522"/>
      <c r="L106" s="522"/>
      <c r="M106" s="522"/>
      <c r="N106" s="522"/>
      <c r="O106" s="522"/>
      <c r="P106" s="522"/>
      <c r="Q106" s="522"/>
      <c r="R106" s="522"/>
      <c r="S106" s="522"/>
      <c r="T106" s="522"/>
      <c r="U106" s="522"/>
      <c r="V106" s="563">
        <f>-1413+156</f>
        <v>-1257</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-156</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-272</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-78</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-307</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-70</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-8</v>
      </c>
      <c r="W113" s="422"/>
      <c r="X113" s="405"/>
    </row>
    <row r="114" spans="1:24" x14ac:dyDescent="0.3">
      <c r="A114" s="521">
        <f t="shared" ref="A114:A119"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65</v>
      </c>
      <c r="U114" s="522"/>
      <c r="V114" s="563">
        <v>-65</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-260</v>
      </c>
      <c r="W118" s="422"/>
      <c r="X118" s="405"/>
    </row>
    <row r="119" spans="1:24" x14ac:dyDescent="0.3">
      <c r="A119" s="521">
        <f t="shared" si="0"/>
        <v>14</v>
      </c>
      <c r="B119" s="522" t="s">
        <v>131</v>
      </c>
      <c r="C119" s="522"/>
      <c r="D119" s="522"/>
      <c r="E119" s="522"/>
      <c r="F119" s="522"/>
      <c r="G119" s="522"/>
      <c r="H119" s="522"/>
      <c r="I119" s="522"/>
      <c r="J119" s="522"/>
      <c r="K119" s="522"/>
      <c r="L119" s="522"/>
      <c r="M119" s="522"/>
      <c r="N119" s="522"/>
      <c r="O119" s="522"/>
      <c r="P119" s="522"/>
      <c r="Q119" s="522"/>
      <c r="R119" s="522"/>
      <c r="S119" s="522"/>
      <c r="T119" s="522"/>
      <c r="U119" s="522"/>
      <c r="V119" s="563">
        <f>-V100-SUM(V102:V118)</f>
        <v>-2273</v>
      </c>
      <c r="W119" s="422"/>
      <c r="X119" s="405"/>
    </row>
    <row r="120" spans="1:24" x14ac:dyDescent="0.3">
      <c r="A120" s="420"/>
      <c r="B120" s="501" t="s">
        <v>38</v>
      </c>
      <c r="C120" s="424"/>
      <c r="D120" s="424"/>
      <c r="E120" s="424"/>
      <c r="F120" s="424"/>
      <c r="G120" s="424"/>
      <c r="H120" s="424"/>
      <c r="I120" s="424"/>
      <c r="J120" s="424"/>
      <c r="K120" s="424"/>
      <c r="L120" s="424"/>
      <c r="M120" s="424"/>
      <c r="N120" s="424"/>
      <c r="O120" s="424"/>
      <c r="P120" s="424"/>
      <c r="Q120" s="424"/>
      <c r="R120" s="424"/>
      <c r="S120" s="424"/>
      <c r="T120" s="424"/>
      <c r="U120" s="424"/>
      <c r="V120" s="443"/>
      <c r="W120" s="426"/>
      <c r="X120" s="405"/>
    </row>
    <row r="121" spans="1:24" x14ac:dyDescent="0.3">
      <c r="A121" s="420"/>
      <c r="B121" s="522" t="s">
        <v>179</v>
      </c>
      <c r="C121" s="522"/>
      <c r="D121" s="522"/>
      <c r="E121" s="522"/>
      <c r="F121" s="522"/>
      <c r="G121" s="522"/>
      <c r="H121" s="522"/>
      <c r="I121" s="522"/>
      <c r="J121" s="522"/>
      <c r="K121" s="522"/>
      <c r="L121" s="522"/>
      <c r="M121" s="522"/>
      <c r="N121" s="522"/>
      <c r="O121" s="522"/>
      <c r="P121" s="522"/>
      <c r="Q121" s="522"/>
      <c r="R121" s="522"/>
      <c r="S121" s="522"/>
      <c r="T121" s="562">
        <f>-T181</f>
        <v>0</v>
      </c>
      <c r="U121" s="562"/>
      <c r="V121" s="563"/>
      <c r="W121" s="524"/>
      <c r="X121" s="405"/>
    </row>
    <row r="122" spans="1:24" x14ac:dyDescent="0.3">
      <c r="A122" s="420"/>
      <c r="B122" s="522" t="s">
        <v>180</v>
      </c>
      <c r="C122" s="522"/>
      <c r="D122" s="522"/>
      <c r="E122" s="522"/>
      <c r="F122" s="522"/>
      <c r="G122" s="522"/>
      <c r="H122" s="522"/>
      <c r="I122" s="522"/>
      <c r="J122" s="522"/>
      <c r="K122" s="522"/>
      <c r="L122" s="522"/>
      <c r="M122" s="522"/>
      <c r="N122" s="522"/>
      <c r="O122" s="522"/>
      <c r="P122" s="522"/>
      <c r="Q122" s="522"/>
      <c r="R122" s="522"/>
      <c r="S122" s="522"/>
      <c r="T122" s="562">
        <v>0</v>
      </c>
      <c r="U122" s="562"/>
      <c r="V122" s="563"/>
      <c r="W122" s="524"/>
      <c r="X122" s="405"/>
    </row>
    <row r="123" spans="1:24" x14ac:dyDescent="0.3">
      <c r="A123" s="420"/>
      <c r="B123" s="522" t="s">
        <v>39</v>
      </c>
      <c r="C123" s="522"/>
      <c r="D123" s="522"/>
      <c r="E123" s="522"/>
      <c r="F123" s="522"/>
      <c r="G123" s="522"/>
      <c r="H123" s="522"/>
      <c r="I123" s="522"/>
      <c r="J123" s="522"/>
      <c r="K123" s="522"/>
      <c r="L123" s="522"/>
      <c r="M123" s="522"/>
      <c r="N123" s="522"/>
      <c r="O123" s="522"/>
      <c r="P123" s="522"/>
      <c r="Q123" s="522"/>
      <c r="R123" s="522"/>
      <c r="S123" s="522"/>
      <c r="T123" s="562">
        <f>-S181</f>
        <v>0</v>
      </c>
      <c r="U123" s="562"/>
      <c r="V123" s="563"/>
      <c r="W123" s="524"/>
      <c r="X123" s="405"/>
    </row>
    <row r="124" spans="1:24" x14ac:dyDescent="0.3">
      <c r="A124" s="420"/>
      <c r="B124" s="522" t="s">
        <v>203</v>
      </c>
      <c r="C124" s="522"/>
      <c r="D124" s="522"/>
      <c r="E124" s="522"/>
      <c r="F124" s="522"/>
      <c r="G124" s="522"/>
      <c r="H124" s="522"/>
      <c r="I124" s="522"/>
      <c r="J124" s="522"/>
      <c r="K124" s="522"/>
      <c r="L124" s="522"/>
      <c r="M124" s="522"/>
      <c r="N124" s="522"/>
      <c r="O124" s="522"/>
      <c r="P124" s="522"/>
      <c r="Q124" s="522"/>
      <c r="R124" s="522"/>
      <c r="S124" s="522"/>
      <c r="T124" s="562">
        <v>-6123</v>
      </c>
      <c r="U124" s="562"/>
      <c r="V124" s="563"/>
      <c r="W124" s="524"/>
      <c r="X124" s="405"/>
    </row>
    <row r="125" spans="1:24" x14ac:dyDescent="0.3">
      <c r="A125" s="420"/>
      <c r="B125" s="522" t="s">
        <v>201</v>
      </c>
      <c r="C125" s="522"/>
      <c r="D125" s="522"/>
      <c r="E125" s="522"/>
      <c r="F125" s="522"/>
      <c r="G125" s="522"/>
      <c r="H125" s="522"/>
      <c r="I125" s="522"/>
      <c r="J125" s="522"/>
      <c r="K125" s="522"/>
      <c r="L125" s="522"/>
      <c r="M125" s="522"/>
      <c r="N125" s="522"/>
      <c r="O125" s="522"/>
      <c r="P125" s="522"/>
      <c r="Q125" s="522"/>
      <c r="R125" s="522"/>
      <c r="S125" s="522"/>
      <c r="T125" s="562">
        <v>-1089</v>
      </c>
      <c r="U125" s="562"/>
      <c r="V125" s="563"/>
      <c r="W125" s="524"/>
      <c r="X125" s="405"/>
    </row>
    <row r="126" spans="1:24" x14ac:dyDescent="0.3">
      <c r="A126" s="420"/>
      <c r="B126" s="522" t="s">
        <v>200</v>
      </c>
      <c r="C126" s="522"/>
      <c r="D126" s="522"/>
      <c r="E126" s="522"/>
      <c r="F126" s="522"/>
      <c r="G126" s="522"/>
      <c r="H126" s="522"/>
      <c r="I126" s="522"/>
      <c r="J126" s="522"/>
      <c r="K126" s="522"/>
      <c r="L126" s="522"/>
      <c r="M126" s="522"/>
      <c r="N126" s="522"/>
      <c r="O126" s="522"/>
      <c r="P126" s="522"/>
      <c r="Q126" s="522"/>
      <c r="R126" s="522"/>
      <c r="S126" s="522"/>
      <c r="T126" s="562">
        <v>-1269</v>
      </c>
      <c r="U126" s="562"/>
      <c r="V126" s="563"/>
      <c r="W126" s="524"/>
      <c r="X126" s="405"/>
    </row>
    <row r="127" spans="1:24" x14ac:dyDescent="0.3">
      <c r="A127" s="420"/>
      <c r="B127" s="522" t="s">
        <v>260</v>
      </c>
      <c r="C127" s="522"/>
      <c r="D127" s="522"/>
      <c r="E127" s="522"/>
      <c r="F127" s="522"/>
      <c r="G127" s="522"/>
      <c r="H127" s="522"/>
      <c r="I127" s="522"/>
      <c r="J127" s="522"/>
      <c r="K127" s="522"/>
      <c r="L127" s="522"/>
      <c r="M127" s="522"/>
      <c r="N127" s="522"/>
      <c r="O127" s="522"/>
      <c r="P127" s="522"/>
      <c r="Q127" s="522"/>
      <c r="R127" s="522"/>
      <c r="S127" s="522"/>
      <c r="T127" s="562">
        <v>-1269</v>
      </c>
      <c r="U127" s="562"/>
      <c r="V127" s="563"/>
      <c r="W127" s="524"/>
      <c r="X127" s="405"/>
    </row>
    <row r="128" spans="1:24" x14ac:dyDescent="0.3">
      <c r="A128" s="420"/>
      <c r="B128" s="522" t="s">
        <v>195</v>
      </c>
      <c r="C128" s="522"/>
      <c r="D128" s="522"/>
      <c r="E128" s="522"/>
      <c r="F128" s="522"/>
      <c r="G128" s="522"/>
      <c r="H128" s="522"/>
      <c r="I128" s="522"/>
      <c r="J128" s="522"/>
      <c r="K128" s="522"/>
      <c r="L128" s="522"/>
      <c r="M128" s="522"/>
      <c r="N128" s="522"/>
      <c r="O128" s="522"/>
      <c r="P128" s="522"/>
      <c r="Q128" s="522"/>
      <c r="R128" s="522"/>
      <c r="S128" s="522"/>
      <c r="T128" s="562">
        <v>-444</v>
      </c>
      <c r="U128" s="562"/>
      <c r="V128" s="563"/>
      <c r="W128" s="524"/>
      <c r="X128" s="405"/>
    </row>
    <row r="129" spans="1:24" x14ac:dyDescent="0.3">
      <c r="A129" s="420"/>
      <c r="B129" s="522" t="s">
        <v>194</v>
      </c>
      <c r="C129" s="522"/>
      <c r="D129" s="522"/>
      <c r="E129" s="522"/>
      <c r="F129" s="522"/>
      <c r="G129" s="522"/>
      <c r="H129" s="522"/>
      <c r="I129" s="522"/>
      <c r="J129" s="522"/>
      <c r="K129" s="522"/>
      <c r="L129" s="522"/>
      <c r="M129" s="522"/>
      <c r="N129" s="522"/>
      <c r="O129" s="522"/>
      <c r="P129" s="522"/>
      <c r="Q129" s="522"/>
      <c r="R129" s="522"/>
      <c r="S129" s="522"/>
      <c r="T129" s="562">
        <v>-1544</v>
      </c>
      <c r="U129" s="562"/>
      <c r="V129" s="563"/>
      <c r="W129" s="524"/>
      <c r="X129" s="405"/>
    </row>
    <row r="130" spans="1:24" x14ac:dyDescent="0.3">
      <c r="A130" s="420"/>
      <c r="B130" s="522" t="s">
        <v>261</v>
      </c>
      <c r="C130" s="522"/>
      <c r="D130" s="522"/>
      <c r="E130" s="522"/>
      <c r="F130" s="522"/>
      <c r="G130" s="522"/>
      <c r="H130" s="522"/>
      <c r="I130" s="522"/>
      <c r="J130" s="522"/>
      <c r="K130" s="522"/>
      <c r="L130" s="522"/>
      <c r="M130" s="522"/>
      <c r="N130" s="522"/>
      <c r="O130" s="522"/>
      <c r="P130" s="522"/>
      <c r="Q130" s="522"/>
      <c r="R130" s="522"/>
      <c r="S130" s="522"/>
      <c r="T130" s="562">
        <v>-302</v>
      </c>
      <c r="U130" s="562"/>
      <c r="V130" s="563"/>
      <c r="W130" s="524"/>
      <c r="X130" s="405"/>
    </row>
    <row r="131" spans="1:24" x14ac:dyDescent="0.3">
      <c r="A131" s="420"/>
      <c r="B131" s="522" t="s">
        <v>193</v>
      </c>
      <c r="C131" s="522"/>
      <c r="D131" s="522"/>
      <c r="E131" s="522"/>
      <c r="F131" s="522"/>
      <c r="G131" s="522"/>
      <c r="H131" s="522"/>
      <c r="I131" s="522"/>
      <c r="J131" s="522"/>
      <c r="K131" s="522"/>
      <c r="L131" s="522"/>
      <c r="M131" s="522"/>
      <c r="N131" s="522"/>
      <c r="O131" s="522"/>
      <c r="P131" s="522"/>
      <c r="Q131" s="522"/>
      <c r="R131" s="522"/>
      <c r="S131" s="522"/>
      <c r="T131" s="562">
        <v>-1298</v>
      </c>
      <c r="U131" s="562"/>
      <c r="V131" s="563"/>
      <c r="W131" s="524"/>
      <c r="X131" s="405"/>
    </row>
    <row r="132" spans="1:24" x14ac:dyDescent="0.3">
      <c r="A132" s="420"/>
      <c r="B132" s="522" t="s">
        <v>40</v>
      </c>
      <c r="C132" s="522"/>
      <c r="D132" s="522"/>
      <c r="E132" s="522"/>
      <c r="F132" s="522"/>
      <c r="G132" s="522"/>
      <c r="H132" s="522"/>
      <c r="I132" s="522"/>
      <c r="J132" s="522"/>
      <c r="K132" s="522"/>
      <c r="L132" s="522"/>
      <c r="M132" s="522"/>
      <c r="N132" s="522"/>
      <c r="O132" s="522"/>
      <c r="P132" s="522"/>
      <c r="Q132" s="522"/>
      <c r="R132" s="522"/>
      <c r="S132" s="522"/>
      <c r="T132" s="562">
        <f>SUM(T121:T131)</f>
        <v>-13338</v>
      </c>
      <c r="U132" s="562"/>
      <c r="V132" s="562">
        <f>SUM(V101:V129)</f>
        <v>-5109</v>
      </c>
      <c r="W132" s="524"/>
      <c r="X132" s="405"/>
    </row>
    <row r="133" spans="1:24" x14ac:dyDescent="0.3">
      <c r="A133" s="420"/>
      <c r="B133" s="522" t="s">
        <v>41</v>
      </c>
      <c r="C133" s="522"/>
      <c r="D133" s="522"/>
      <c r="E133" s="522"/>
      <c r="F133" s="522"/>
      <c r="G133" s="522"/>
      <c r="H133" s="522"/>
      <c r="I133" s="522"/>
      <c r="J133" s="522"/>
      <c r="K133" s="522"/>
      <c r="L133" s="522"/>
      <c r="M133" s="522"/>
      <c r="N133" s="522"/>
      <c r="O133" s="522"/>
      <c r="P133" s="522"/>
      <c r="Q133" s="522"/>
      <c r="R133" s="522"/>
      <c r="S133" s="522"/>
      <c r="T133" s="562">
        <f>T100+T132+T114</f>
        <v>0</v>
      </c>
      <c r="U133" s="562"/>
      <c r="V133" s="562">
        <f>V100+V132</f>
        <v>0</v>
      </c>
      <c r="W133" s="524"/>
      <c r="X133" s="405"/>
    </row>
    <row r="134" spans="1:24" x14ac:dyDescent="0.3">
      <c r="A134" s="407"/>
      <c r="B134" s="552"/>
      <c r="C134" s="552"/>
      <c r="D134" s="552"/>
      <c r="E134" s="552"/>
      <c r="F134" s="552"/>
      <c r="G134" s="552"/>
      <c r="H134" s="552"/>
      <c r="I134" s="552"/>
      <c r="J134" s="552"/>
      <c r="K134" s="552"/>
      <c r="L134" s="552"/>
      <c r="M134" s="552"/>
      <c r="N134" s="552"/>
      <c r="O134" s="552"/>
      <c r="P134" s="552"/>
      <c r="Q134" s="552"/>
      <c r="R134" s="552"/>
      <c r="S134" s="552"/>
      <c r="T134" s="567"/>
      <c r="U134" s="567"/>
      <c r="V134" s="567"/>
      <c r="W134" s="552"/>
      <c r="X134" s="405"/>
    </row>
    <row r="135" spans="1:24" x14ac:dyDescent="0.3">
      <c r="A135" s="407"/>
      <c r="B135" s="510"/>
      <c r="C135" s="510"/>
      <c r="D135" s="510"/>
      <c r="E135" s="510"/>
      <c r="F135" s="510"/>
      <c r="G135" s="510"/>
      <c r="H135" s="510"/>
      <c r="I135" s="510"/>
      <c r="J135" s="510"/>
      <c r="K135" s="510"/>
      <c r="L135" s="510"/>
      <c r="M135" s="510"/>
      <c r="N135" s="510"/>
      <c r="O135" s="510"/>
      <c r="P135" s="510"/>
      <c r="Q135" s="510"/>
      <c r="R135" s="510"/>
      <c r="S135" s="510"/>
      <c r="T135" s="510"/>
      <c r="U135" s="510"/>
      <c r="V135" s="568"/>
      <c r="W135" s="510"/>
      <c r="X135" s="405"/>
    </row>
    <row r="136" spans="1:24" ht="18.600000000000001" thickBot="1" x14ac:dyDescent="0.4">
      <c r="A136" s="430"/>
      <c r="B136" s="558" t="str">
        <f>B64</f>
        <v>PM12 INVESTOR REPORT QUARTER ENDING APRIL 2019</v>
      </c>
      <c r="C136" s="559"/>
      <c r="D136" s="559"/>
      <c r="E136" s="559"/>
      <c r="F136" s="559"/>
      <c r="G136" s="559"/>
      <c r="H136" s="559"/>
      <c r="I136" s="559"/>
      <c r="J136" s="559"/>
      <c r="K136" s="559"/>
      <c r="L136" s="559"/>
      <c r="M136" s="559"/>
      <c r="N136" s="559"/>
      <c r="O136" s="559"/>
      <c r="P136" s="559"/>
      <c r="Q136" s="559"/>
      <c r="R136" s="559"/>
      <c r="S136" s="559"/>
      <c r="T136" s="559"/>
      <c r="U136" s="559"/>
      <c r="V136" s="569"/>
      <c r="W136" s="561"/>
      <c r="X136" s="405"/>
    </row>
    <row r="137" spans="1:24" x14ac:dyDescent="0.3">
      <c r="A137" s="444"/>
      <c r="B137" s="445" t="s">
        <v>42</v>
      </c>
      <c r="C137" s="446"/>
      <c r="D137" s="446"/>
      <c r="E137" s="446"/>
      <c r="F137" s="446"/>
      <c r="G137" s="446"/>
      <c r="H137" s="446"/>
      <c r="I137" s="446"/>
      <c r="J137" s="446"/>
      <c r="K137" s="446"/>
      <c r="L137" s="446"/>
      <c r="M137" s="446"/>
      <c r="N137" s="446"/>
      <c r="O137" s="446"/>
      <c r="P137" s="446"/>
      <c r="Q137" s="446"/>
      <c r="R137" s="446"/>
      <c r="S137" s="446"/>
      <c r="T137" s="446"/>
      <c r="U137" s="446"/>
      <c r="V137" s="447"/>
      <c r="W137" s="446"/>
      <c r="X137" s="405"/>
    </row>
    <row r="138" spans="1:24" x14ac:dyDescent="0.3">
      <c r="A138" s="407"/>
      <c r="B138" s="448"/>
      <c r="C138" s="409"/>
      <c r="D138" s="409"/>
      <c r="E138" s="409"/>
      <c r="F138" s="409"/>
      <c r="G138" s="409"/>
      <c r="H138" s="409"/>
      <c r="I138" s="409"/>
      <c r="J138" s="409"/>
      <c r="K138" s="409"/>
      <c r="L138" s="409"/>
      <c r="M138" s="409"/>
      <c r="N138" s="409"/>
      <c r="O138" s="409"/>
      <c r="P138" s="409"/>
      <c r="Q138" s="409"/>
      <c r="R138" s="409"/>
      <c r="S138" s="409"/>
      <c r="T138" s="409"/>
      <c r="U138" s="409"/>
      <c r="V138" s="433"/>
      <c r="W138" s="409"/>
      <c r="X138" s="405"/>
    </row>
    <row r="139" spans="1:24" x14ac:dyDescent="0.3">
      <c r="A139" s="407"/>
      <c r="B139" s="502" t="s">
        <v>43</v>
      </c>
      <c r="C139" s="409"/>
      <c r="D139" s="409"/>
      <c r="E139" s="409"/>
      <c r="F139" s="409"/>
      <c r="G139" s="409"/>
      <c r="H139" s="409"/>
      <c r="I139" s="409"/>
      <c r="J139" s="409"/>
      <c r="K139" s="409"/>
      <c r="L139" s="409"/>
      <c r="M139" s="409"/>
      <c r="N139" s="409"/>
      <c r="O139" s="409"/>
      <c r="P139" s="409"/>
      <c r="Q139" s="409"/>
      <c r="R139" s="409"/>
      <c r="S139" s="409"/>
      <c r="T139" s="409"/>
      <c r="U139" s="409"/>
      <c r="V139" s="433"/>
      <c r="W139" s="409"/>
      <c r="X139" s="405"/>
    </row>
    <row r="140" spans="1:24" s="513" customFormat="1" x14ac:dyDescent="0.3">
      <c r="A140" s="521"/>
      <c r="B140" s="522" t="s">
        <v>44</v>
      </c>
      <c r="C140" s="522"/>
      <c r="D140" s="522"/>
      <c r="E140" s="522"/>
      <c r="F140" s="522"/>
      <c r="G140" s="522"/>
      <c r="H140" s="522"/>
      <c r="I140" s="522"/>
      <c r="J140" s="522"/>
      <c r="K140" s="522"/>
      <c r="L140" s="522"/>
      <c r="M140" s="522"/>
      <c r="N140" s="522"/>
      <c r="O140" s="522"/>
      <c r="P140" s="522"/>
      <c r="Q140" s="522"/>
      <c r="R140" s="522"/>
      <c r="S140" s="522"/>
      <c r="T140" s="522"/>
      <c r="U140" s="522"/>
      <c r="V140" s="563">
        <f>+V34*0.019</f>
        <v>28503.895</v>
      </c>
      <c r="W140" s="524"/>
      <c r="X140" s="512"/>
    </row>
    <row r="141" spans="1:24" s="513" customFormat="1" x14ac:dyDescent="0.3">
      <c r="A141" s="521"/>
      <c r="B141" s="522" t="s">
        <v>45</v>
      </c>
      <c r="C141" s="522"/>
      <c r="D141" s="522"/>
      <c r="E141" s="522"/>
      <c r="F141" s="522"/>
      <c r="G141" s="522"/>
      <c r="H141" s="522"/>
      <c r="I141" s="522"/>
      <c r="J141" s="522"/>
      <c r="K141" s="522"/>
      <c r="L141" s="522"/>
      <c r="M141" s="522"/>
      <c r="N141" s="522"/>
      <c r="O141" s="522"/>
      <c r="P141" s="522"/>
      <c r="Q141" s="522"/>
      <c r="R141" s="522"/>
      <c r="S141" s="522"/>
      <c r="T141" s="522"/>
      <c r="U141" s="522"/>
      <c r="V141" s="563">
        <v>28504</v>
      </c>
      <c r="W141" s="524"/>
      <c r="X141" s="512"/>
    </row>
    <row r="142" spans="1:24" s="513" customFormat="1" x14ac:dyDescent="0.3">
      <c r="A142" s="521"/>
      <c r="B142" s="522" t="s">
        <v>141</v>
      </c>
      <c r="C142" s="522"/>
      <c r="D142" s="522"/>
      <c r="E142" s="522"/>
      <c r="F142" s="522"/>
      <c r="G142" s="522"/>
      <c r="H142" s="522"/>
      <c r="I142" s="522"/>
      <c r="J142" s="522"/>
      <c r="K142" s="522"/>
      <c r="L142" s="522"/>
      <c r="M142" s="522"/>
      <c r="N142" s="522"/>
      <c r="O142" s="522"/>
      <c r="P142" s="522"/>
      <c r="Q142" s="522"/>
      <c r="R142" s="522"/>
      <c r="S142" s="522"/>
      <c r="T142" s="522"/>
      <c r="U142" s="522"/>
      <c r="V142" s="563">
        <v>0</v>
      </c>
      <c r="W142" s="524"/>
      <c r="X142" s="512"/>
    </row>
    <row r="143" spans="1:24" s="513" customFormat="1" x14ac:dyDescent="0.3">
      <c r="A143" s="521"/>
      <c r="B143" s="522" t="s">
        <v>128</v>
      </c>
      <c r="C143" s="522"/>
      <c r="D143" s="522"/>
      <c r="E143" s="522"/>
      <c r="F143" s="522"/>
      <c r="G143" s="522"/>
      <c r="H143" s="522"/>
      <c r="I143" s="522"/>
      <c r="J143" s="522"/>
      <c r="K143" s="522"/>
      <c r="L143" s="522"/>
      <c r="M143" s="522"/>
      <c r="N143" s="522"/>
      <c r="O143" s="522"/>
      <c r="P143" s="522"/>
      <c r="Q143" s="522"/>
      <c r="R143" s="522"/>
      <c r="S143" s="522"/>
      <c r="T143" s="522"/>
      <c r="U143" s="522"/>
      <c r="V143" s="563">
        <v>0</v>
      </c>
      <c r="W143" s="524"/>
      <c r="X143" s="512"/>
    </row>
    <row r="144" spans="1:24" s="513" customFormat="1" x14ac:dyDescent="0.3">
      <c r="A144" s="521"/>
      <c r="B144" s="522" t="s">
        <v>129</v>
      </c>
      <c r="C144" s="522"/>
      <c r="D144" s="522"/>
      <c r="E144" s="522"/>
      <c r="F144" s="522"/>
      <c r="G144" s="522"/>
      <c r="H144" s="522"/>
      <c r="I144" s="522"/>
      <c r="J144" s="522"/>
      <c r="K144" s="522"/>
      <c r="L144" s="522"/>
      <c r="M144" s="522"/>
      <c r="N144" s="522"/>
      <c r="O144" s="522"/>
      <c r="P144" s="522"/>
      <c r="Q144" s="522"/>
      <c r="R144" s="522"/>
      <c r="S144" s="522"/>
      <c r="T144" s="522"/>
      <c r="U144" s="522"/>
      <c r="V144" s="563">
        <v>0</v>
      </c>
      <c r="W144" s="524"/>
      <c r="X144" s="512"/>
    </row>
    <row r="145" spans="1:25" s="513" customFormat="1" x14ac:dyDescent="0.3">
      <c r="A145" s="521"/>
      <c r="B145" s="522" t="s">
        <v>181</v>
      </c>
      <c r="C145" s="522"/>
      <c r="D145" s="522"/>
      <c r="E145" s="522"/>
      <c r="F145" s="522"/>
      <c r="G145" s="522"/>
      <c r="H145" s="522"/>
      <c r="I145" s="522"/>
      <c r="J145" s="522"/>
      <c r="K145" s="522"/>
      <c r="L145" s="522"/>
      <c r="M145" s="522"/>
      <c r="N145" s="522"/>
      <c r="O145" s="522"/>
      <c r="P145" s="522"/>
      <c r="Q145" s="522"/>
      <c r="R145" s="522"/>
      <c r="S145" s="522"/>
      <c r="T145" s="522"/>
      <c r="U145" s="522"/>
      <c r="V145" s="563">
        <v>0</v>
      </c>
      <c r="W145" s="524"/>
      <c r="X145" s="512"/>
    </row>
    <row r="146" spans="1:25" s="513" customFormat="1" x14ac:dyDescent="0.3">
      <c r="A146" s="521"/>
      <c r="B146" s="522" t="s">
        <v>46</v>
      </c>
      <c r="C146" s="522"/>
      <c r="D146" s="522"/>
      <c r="E146" s="522"/>
      <c r="F146" s="522"/>
      <c r="G146" s="522"/>
      <c r="H146" s="522"/>
      <c r="I146" s="522"/>
      <c r="J146" s="522"/>
      <c r="K146" s="522"/>
      <c r="L146" s="522"/>
      <c r="M146" s="522"/>
      <c r="N146" s="522"/>
      <c r="O146" s="522"/>
      <c r="P146" s="522"/>
      <c r="Q146" s="522"/>
      <c r="R146" s="522"/>
      <c r="S146" s="522"/>
      <c r="T146" s="522"/>
      <c r="U146" s="522"/>
      <c r="V146" s="563">
        <v>0</v>
      </c>
      <c r="W146" s="524"/>
      <c r="X146" s="512"/>
    </row>
    <row r="147" spans="1:25" s="513" customFormat="1" x14ac:dyDescent="0.3">
      <c r="A147" s="521"/>
      <c r="B147" s="522" t="s">
        <v>134</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5" s="513" customFormat="1" x14ac:dyDescent="0.3">
      <c r="A148" s="521"/>
      <c r="B148" s="522" t="s">
        <v>230</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c r="Y148" s="570"/>
    </row>
    <row r="149" spans="1:25" s="513" customFormat="1" x14ac:dyDescent="0.3">
      <c r="A149" s="521"/>
      <c r="B149" s="522" t="s">
        <v>47</v>
      </c>
      <c r="C149" s="522"/>
      <c r="D149" s="522"/>
      <c r="E149" s="522"/>
      <c r="F149" s="522"/>
      <c r="G149" s="522"/>
      <c r="H149" s="522"/>
      <c r="I149" s="522"/>
      <c r="J149" s="522"/>
      <c r="K149" s="522"/>
      <c r="L149" s="522"/>
      <c r="M149" s="522"/>
      <c r="N149" s="522"/>
      <c r="O149" s="522"/>
      <c r="P149" s="522"/>
      <c r="Q149" s="522"/>
      <c r="R149" s="522"/>
      <c r="S149" s="522"/>
      <c r="T149" s="522"/>
      <c r="U149" s="522"/>
      <c r="V149" s="563">
        <f>SUM(V141:V148)</f>
        <v>28504</v>
      </c>
      <c r="W149" s="524"/>
      <c r="X149" s="512"/>
    </row>
    <row r="150" spans="1:25" x14ac:dyDescent="0.3">
      <c r="A150" s="420"/>
      <c r="B150" s="424"/>
      <c r="C150" s="424"/>
      <c r="D150" s="424"/>
      <c r="E150" s="424"/>
      <c r="F150" s="424"/>
      <c r="G150" s="424"/>
      <c r="H150" s="424"/>
      <c r="I150" s="424"/>
      <c r="J150" s="424"/>
      <c r="K150" s="424"/>
      <c r="L150" s="424"/>
      <c r="M150" s="424"/>
      <c r="N150" s="424"/>
      <c r="O150" s="424"/>
      <c r="P150" s="424"/>
      <c r="Q150" s="424"/>
      <c r="R150" s="424"/>
      <c r="S150" s="424"/>
      <c r="T150" s="424"/>
      <c r="U150" s="424"/>
      <c r="V150" s="440"/>
      <c r="W150" s="426"/>
      <c r="X150" s="405"/>
    </row>
    <row r="151" spans="1:25" x14ac:dyDescent="0.3">
      <c r="A151" s="420"/>
      <c r="B151" s="501" t="s">
        <v>360</v>
      </c>
      <c r="C151" s="424"/>
      <c r="D151" s="424"/>
      <c r="E151" s="424"/>
      <c r="F151" s="424"/>
      <c r="G151" s="424"/>
      <c r="H151" s="424"/>
      <c r="I151" s="424"/>
      <c r="J151" s="424"/>
      <c r="K151" s="424"/>
      <c r="L151" s="424"/>
      <c r="M151" s="424"/>
      <c r="N151" s="424"/>
      <c r="O151" s="424"/>
      <c r="P151" s="424"/>
      <c r="Q151" s="424"/>
      <c r="R151" s="424"/>
      <c r="S151" s="424"/>
      <c r="T151" s="424"/>
      <c r="U151" s="424"/>
      <c r="V151" s="440"/>
      <c r="W151" s="426"/>
      <c r="X151" s="405"/>
    </row>
    <row r="152" spans="1:25" s="513" customFormat="1" x14ac:dyDescent="0.3">
      <c r="A152" s="521"/>
      <c r="B152" s="522" t="s">
        <v>160</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5" s="513" customFormat="1" x14ac:dyDescent="0.3">
      <c r="A153" s="521"/>
      <c r="B153" s="522" t="s">
        <v>178</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row>
    <row r="154" spans="1:25" s="513" customFormat="1" x14ac:dyDescent="0.3">
      <c r="A154" s="521"/>
      <c r="B154" s="522" t="s">
        <v>270</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row>
    <row r="155" spans="1:25" x14ac:dyDescent="0.3">
      <c r="A155" s="420"/>
      <c r="B155" s="424"/>
      <c r="C155" s="424"/>
      <c r="D155" s="424"/>
      <c r="E155" s="424"/>
      <c r="F155" s="424"/>
      <c r="G155" s="424"/>
      <c r="H155" s="424"/>
      <c r="I155" s="424"/>
      <c r="J155" s="424"/>
      <c r="K155" s="424"/>
      <c r="L155" s="424"/>
      <c r="M155" s="424"/>
      <c r="N155" s="424"/>
      <c r="O155" s="424"/>
      <c r="P155" s="424"/>
      <c r="Q155" s="424"/>
      <c r="R155" s="424"/>
      <c r="S155" s="424"/>
      <c r="T155" s="424"/>
      <c r="U155" s="424"/>
      <c r="V155" s="440"/>
      <c r="W155" s="426"/>
      <c r="X155" s="405"/>
    </row>
    <row r="156" spans="1:25" x14ac:dyDescent="0.3">
      <c r="A156" s="407"/>
      <c r="B156" s="429"/>
      <c r="C156" s="429"/>
      <c r="D156" s="429"/>
      <c r="E156" s="429"/>
      <c r="F156" s="429"/>
      <c r="G156" s="429"/>
      <c r="H156" s="429"/>
      <c r="I156" s="429"/>
      <c r="J156" s="429"/>
      <c r="K156" s="429"/>
      <c r="L156" s="429"/>
      <c r="M156" s="429"/>
      <c r="N156" s="429"/>
      <c r="O156" s="429"/>
      <c r="P156" s="429"/>
      <c r="Q156" s="429"/>
      <c r="R156" s="429"/>
      <c r="S156" s="429"/>
      <c r="T156" s="429"/>
      <c r="U156" s="429"/>
      <c r="V156" s="449"/>
      <c r="W156" s="429"/>
      <c r="X156" s="405"/>
    </row>
    <row r="157" spans="1:25" x14ac:dyDescent="0.3">
      <c r="A157" s="407"/>
      <c r="B157" s="502" t="s">
        <v>24</v>
      </c>
      <c r="C157" s="409"/>
      <c r="D157" s="409"/>
      <c r="E157" s="409"/>
      <c r="F157" s="409"/>
      <c r="G157" s="409"/>
      <c r="H157" s="409"/>
      <c r="I157" s="409"/>
      <c r="J157" s="409"/>
      <c r="K157" s="409"/>
      <c r="L157" s="409"/>
      <c r="M157" s="409"/>
      <c r="N157" s="409"/>
      <c r="O157" s="409"/>
      <c r="P157" s="409"/>
      <c r="Q157" s="409"/>
      <c r="R157" s="409"/>
      <c r="S157" s="409"/>
      <c r="T157" s="409"/>
      <c r="U157" s="409"/>
      <c r="V157" s="433"/>
      <c r="W157" s="409"/>
      <c r="X157" s="405"/>
    </row>
    <row r="158" spans="1:25" s="513" customFormat="1" x14ac:dyDescent="0.3">
      <c r="A158" s="521"/>
      <c r="B158" s="522" t="s">
        <v>48</v>
      </c>
      <c r="C158" s="522"/>
      <c r="D158" s="522"/>
      <c r="E158" s="522"/>
      <c r="F158" s="522"/>
      <c r="G158" s="522"/>
      <c r="H158" s="522"/>
      <c r="I158" s="522"/>
      <c r="J158" s="522"/>
      <c r="K158" s="522"/>
      <c r="L158" s="522"/>
      <c r="M158" s="522"/>
      <c r="N158" s="522"/>
      <c r="O158" s="522"/>
      <c r="P158" s="522"/>
      <c r="Q158" s="522"/>
      <c r="R158" s="522"/>
      <c r="S158" s="522"/>
      <c r="T158" s="522"/>
      <c r="U158" s="522"/>
      <c r="V158" s="571" t="s">
        <v>123</v>
      </c>
      <c r="W158" s="524"/>
      <c r="X158" s="512"/>
    </row>
    <row r="159" spans="1:25" s="513" customFormat="1" x14ac:dyDescent="0.3">
      <c r="A159" s="521"/>
      <c r="B159" s="522" t="s">
        <v>49</v>
      </c>
      <c r="C159" s="522"/>
      <c r="D159" s="522"/>
      <c r="E159" s="522"/>
      <c r="F159" s="522"/>
      <c r="G159" s="522"/>
      <c r="H159" s="522"/>
      <c r="I159" s="522"/>
      <c r="J159" s="522"/>
      <c r="K159" s="522"/>
      <c r="L159" s="522"/>
      <c r="M159" s="522"/>
      <c r="N159" s="522"/>
      <c r="O159" s="522"/>
      <c r="P159" s="522"/>
      <c r="Q159" s="522"/>
      <c r="R159" s="522"/>
      <c r="S159" s="522"/>
      <c r="T159" s="522"/>
      <c r="U159" s="522"/>
      <c r="V159" s="571" t="s">
        <v>123</v>
      </c>
      <c r="W159" s="524"/>
      <c r="X159" s="512"/>
    </row>
    <row r="160" spans="1:25" s="513" customFormat="1" x14ac:dyDescent="0.3">
      <c r="A160" s="521"/>
      <c r="B160" s="522" t="s">
        <v>50</v>
      </c>
      <c r="C160" s="522"/>
      <c r="D160" s="522"/>
      <c r="E160" s="522"/>
      <c r="F160" s="522"/>
      <c r="G160" s="522"/>
      <c r="H160" s="522"/>
      <c r="I160" s="522"/>
      <c r="J160" s="522"/>
      <c r="K160" s="522"/>
      <c r="L160" s="522"/>
      <c r="M160" s="522"/>
      <c r="N160" s="522"/>
      <c r="O160" s="522"/>
      <c r="P160" s="522"/>
      <c r="Q160" s="522"/>
      <c r="R160" s="522"/>
      <c r="S160" s="522"/>
      <c r="T160" s="522"/>
      <c r="U160" s="522"/>
      <c r="V160" s="571" t="s">
        <v>123</v>
      </c>
      <c r="W160" s="524"/>
      <c r="X160" s="512"/>
    </row>
    <row r="161" spans="1:24" s="513" customFormat="1" x14ac:dyDescent="0.3">
      <c r="A161" s="521"/>
      <c r="B161" s="522" t="s">
        <v>51</v>
      </c>
      <c r="C161" s="522"/>
      <c r="D161" s="522"/>
      <c r="E161" s="522"/>
      <c r="F161" s="522"/>
      <c r="G161" s="522"/>
      <c r="H161" s="522"/>
      <c r="I161" s="522"/>
      <c r="J161" s="522"/>
      <c r="K161" s="522"/>
      <c r="L161" s="522"/>
      <c r="M161" s="522"/>
      <c r="N161" s="522"/>
      <c r="O161" s="522"/>
      <c r="P161" s="522"/>
      <c r="Q161" s="522"/>
      <c r="R161" s="522"/>
      <c r="S161" s="522"/>
      <c r="T161" s="522"/>
      <c r="U161" s="522"/>
      <c r="V161" s="571" t="s">
        <v>123</v>
      </c>
      <c r="W161" s="524"/>
      <c r="X161" s="512"/>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52</v>
      </c>
      <c r="C163" s="409"/>
      <c r="D163" s="409"/>
      <c r="E163" s="409"/>
      <c r="F163" s="409"/>
      <c r="G163" s="409"/>
      <c r="H163" s="409"/>
      <c r="I163" s="409"/>
      <c r="J163" s="409"/>
      <c r="K163" s="409"/>
      <c r="L163" s="409"/>
      <c r="M163" s="409"/>
      <c r="N163" s="409"/>
      <c r="O163" s="409"/>
      <c r="P163" s="409"/>
      <c r="Q163" s="409"/>
      <c r="R163" s="409"/>
      <c r="S163" s="409"/>
      <c r="T163" s="409"/>
      <c r="U163" s="409"/>
      <c r="V163" s="450"/>
      <c r="W163" s="409"/>
      <c r="X163" s="405"/>
    </row>
    <row r="164" spans="1:24" s="513" customFormat="1" x14ac:dyDescent="0.3">
      <c r="A164" s="521"/>
      <c r="B164" s="522" t="s">
        <v>53</v>
      </c>
      <c r="C164" s="522"/>
      <c r="D164" s="522"/>
      <c r="E164" s="522"/>
      <c r="F164" s="522"/>
      <c r="G164" s="522"/>
      <c r="H164" s="522"/>
      <c r="I164" s="522"/>
      <c r="J164" s="522"/>
      <c r="K164" s="522"/>
      <c r="L164" s="522"/>
      <c r="M164" s="522"/>
      <c r="N164" s="522"/>
      <c r="O164" s="522"/>
      <c r="P164" s="522"/>
      <c r="Q164" s="522"/>
      <c r="R164" s="522"/>
      <c r="S164" s="522"/>
      <c r="T164" s="522"/>
      <c r="U164" s="522"/>
      <c r="V164" s="563">
        <v>0</v>
      </c>
      <c r="W164" s="524"/>
      <c r="X164" s="512"/>
    </row>
    <row r="165" spans="1:24" s="513" customFormat="1" x14ac:dyDescent="0.3">
      <c r="A165" s="521"/>
      <c r="B165" s="522" t="s">
        <v>54</v>
      </c>
      <c r="C165" s="522"/>
      <c r="D165" s="522"/>
      <c r="E165" s="522"/>
      <c r="F165" s="522"/>
      <c r="G165" s="522"/>
      <c r="H165" s="522"/>
      <c r="I165" s="522"/>
      <c r="J165" s="522"/>
      <c r="K165" s="522"/>
      <c r="L165" s="522"/>
      <c r="M165" s="522"/>
      <c r="N165" s="522"/>
      <c r="O165" s="522"/>
      <c r="P165" s="522"/>
      <c r="Q165" s="522"/>
      <c r="R165" s="522"/>
      <c r="S165" s="522"/>
      <c r="T165" s="522"/>
      <c r="U165" s="522"/>
      <c r="V165" s="563">
        <f>-V114</f>
        <v>65</v>
      </c>
      <c r="W165" s="524"/>
      <c r="X165" s="512"/>
    </row>
    <row r="166" spans="1:24" s="513" customFormat="1" x14ac:dyDescent="0.3">
      <c r="A166" s="521"/>
      <c r="B166" s="522" t="s">
        <v>55</v>
      </c>
      <c r="C166" s="522"/>
      <c r="D166" s="522"/>
      <c r="E166" s="522"/>
      <c r="F166" s="522"/>
      <c r="G166" s="522"/>
      <c r="H166" s="522"/>
      <c r="I166" s="522"/>
      <c r="J166" s="522"/>
      <c r="K166" s="522"/>
      <c r="L166" s="522"/>
      <c r="M166" s="522"/>
      <c r="N166" s="522"/>
      <c r="O166" s="522"/>
      <c r="P166" s="522"/>
      <c r="Q166" s="522"/>
      <c r="R166" s="522"/>
      <c r="S166" s="522"/>
      <c r="T166" s="522"/>
      <c r="U166" s="522"/>
      <c r="V166" s="563">
        <f>V165+V164</f>
        <v>65</v>
      </c>
      <c r="W166" s="524"/>
      <c r="X166" s="512"/>
    </row>
    <row r="167" spans="1:24" s="513" customFormat="1" x14ac:dyDescent="0.3">
      <c r="A167" s="521"/>
      <c r="B167" s="572" t="s">
        <v>310</v>
      </c>
      <c r="C167" s="522"/>
      <c r="D167" s="522"/>
      <c r="E167" s="522"/>
      <c r="F167" s="522"/>
      <c r="G167" s="522"/>
      <c r="H167" s="522"/>
      <c r="I167" s="522"/>
      <c r="J167" s="522"/>
      <c r="K167" s="522"/>
      <c r="L167" s="522"/>
      <c r="M167" s="522"/>
      <c r="N167" s="522"/>
      <c r="O167" s="522"/>
      <c r="P167" s="522"/>
      <c r="Q167" s="522"/>
      <c r="R167" s="522"/>
      <c r="S167" s="522"/>
      <c r="T167" s="522"/>
      <c r="U167" s="522"/>
      <c r="V167" s="563">
        <f>V114</f>
        <v>-65</v>
      </c>
      <c r="W167" s="524"/>
      <c r="X167" s="512"/>
    </row>
    <row r="168" spans="1:24" s="513" customFormat="1" x14ac:dyDescent="0.3">
      <c r="A168" s="521"/>
      <c r="B168" s="522" t="s">
        <v>56</v>
      </c>
      <c r="C168" s="522"/>
      <c r="D168" s="522"/>
      <c r="E168" s="522"/>
      <c r="F168" s="522"/>
      <c r="G168" s="522"/>
      <c r="H168" s="522"/>
      <c r="I168" s="522"/>
      <c r="J168" s="522"/>
      <c r="K168" s="522"/>
      <c r="L168" s="522"/>
      <c r="M168" s="522"/>
      <c r="N168" s="522"/>
      <c r="O168" s="522"/>
      <c r="P168" s="522"/>
      <c r="Q168" s="522"/>
      <c r="R168" s="522"/>
      <c r="S168" s="522"/>
      <c r="T168" s="522"/>
      <c r="U168" s="522"/>
      <c r="V168" s="563">
        <f>V166+V167</f>
        <v>0</v>
      </c>
      <c r="W168" s="524"/>
      <c r="X168" s="512"/>
    </row>
    <row r="169" spans="1:24" s="513" customFormat="1" x14ac:dyDescent="0.3">
      <c r="A169" s="521"/>
      <c r="B169" s="522" t="s">
        <v>282</v>
      </c>
      <c r="C169" s="522"/>
      <c r="D169" s="522"/>
      <c r="E169" s="522"/>
      <c r="F169" s="522"/>
      <c r="G169" s="522"/>
      <c r="H169" s="522"/>
      <c r="I169" s="522"/>
      <c r="J169" s="522"/>
      <c r="K169" s="522"/>
      <c r="L169" s="522"/>
      <c r="M169" s="522"/>
      <c r="N169" s="522"/>
      <c r="O169" s="522"/>
      <c r="P169" s="522"/>
      <c r="Q169" s="522"/>
      <c r="R169" s="522"/>
      <c r="S169" s="522"/>
      <c r="T169" s="522"/>
      <c r="U169" s="522"/>
      <c r="V169" s="563">
        <v>0</v>
      </c>
      <c r="W169" s="524"/>
      <c r="X169" s="512"/>
    </row>
    <row r="170" spans="1:24" ht="16.2" thickBot="1" x14ac:dyDescent="0.35">
      <c r="A170" s="407"/>
      <c r="B170" s="429"/>
      <c r="C170" s="429"/>
      <c r="D170" s="429"/>
      <c r="E170" s="429"/>
      <c r="F170" s="429"/>
      <c r="G170" s="429"/>
      <c r="H170" s="429"/>
      <c r="I170" s="429"/>
      <c r="J170" s="429"/>
      <c r="K170" s="429"/>
      <c r="L170" s="429"/>
      <c r="M170" s="429"/>
      <c r="N170" s="429"/>
      <c r="O170" s="429"/>
      <c r="P170" s="429"/>
      <c r="Q170" s="429"/>
      <c r="R170" s="429"/>
      <c r="S170" s="429"/>
      <c r="T170" s="429"/>
      <c r="U170" s="429"/>
      <c r="V170" s="449"/>
      <c r="W170" s="429"/>
      <c r="X170" s="405"/>
    </row>
    <row r="171" spans="1:24" x14ac:dyDescent="0.3">
      <c r="A171" s="403"/>
      <c r="B171" s="404"/>
      <c r="C171" s="404"/>
      <c r="D171" s="404"/>
      <c r="E171" s="404"/>
      <c r="F171" s="404"/>
      <c r="G171" s="404"/>
      <c r="H171" s="404"/>
      <c r="I171" s="404"/>
      <c r="J171" s="404"/>
      <c r="K171" s="404"/>
      <c r="L171" s="404"/>
      <c r="M171" s="404"/>
      <c r="N171" s="404"/>
      <c r="O171" s="404"/>
      <c r="P171" s="404"/>
      <c r="Q171" s="404"/>
      <c r="R171" s="404"/>
      <c r="S171" s="404"/>
      <c r="T171" s="404"/>
      <c r="U171" s="404"/>
      <c r="V171" s="451"/>
      <c r="W171" s="404"/>
      <c r="X171" s="405"/>
    </row>
    <row r="172" spans="1:24" x14ac:dyDescent="0.3">
      <c r="A172" s="407"/>
      <c r="B172" s="502" t="s">
        <v>57</v>
      </c>
      <c r="C172" s="409"/>
      <c r="D172" s="409"/>
      <c r="E172" s="409"/>
      <c r="F172" s="409"/>
      <c r="G172" s="409"/>
      <c r="H172" s="409"/>
      <c r="I172" s="409"/>
      <c r="J172" s="409"/>
      <c r="K172" s="409"/>
      <c r="L172" s="409"/>
      <c r="M172" s="409"/>
      <c r="N172" s="409"/>
      <c r="O172" s="409"/>
      <c r="P172" s="409"/>
      <c r="Q172" s="409"/>
      <c r="R172" s="409"/>
      <c r="S172" s="409"/>
      <c r="T172" s="409"/>
      <c r="U172" s="409"/>
      <c r="V172" s="433"/>
      <c r="W172" s="409"/>
      <c r="X172" s="405"/>
    </row>
    <row r="173" spans="1:24" x14ac:dyDescent="0.3">
      <c r="A173" s="407"/>
      <c r="B173" s="448"/>
      <c r="C173" s="409"/>
      <c r="D173" s="409"/>
      <c r="E173" s="409"/>
      <c r="F173" s="409"/>
      <c r="G173" s="409"/>
      <c r="H173" s="409"/>
      <c r="I173" s="409"/>
      <c r="J173" s="409"/>
      <c r="K173" s="409"/>
      <c r="L173" s="409"/>
      <c r="M173" s="409"/>
      <c r="N173" s="409"/>
      <c r="O173" s="409"/>
      <c r="P173" s="409"/>
      <c r="Q173" s="409"/>
      <c r="R173" s="409"/>
      <c r="S173" s="409"/>
      <c r="T173" s="409"/>
      <c r="U173" s="409"/>
      <c r="V173" s="433"/>
      <c r="W173" s="409"/>
      <c r="X173" s="405"/>
    </row>
    <row r="174" spans="1:24" s="513" customFormat="1" x14ac:dyDescent="0.3">
      <c r="A174" s="521"/>
      <c r="B174" s="522" t="s">
        <v>58</v>
      </c>
      <c r="C174" s="522"/>
      <c r="D174" s="522"/>
      <c r="E174" s="522"/>
      <c r="F174" s="522"/>
      <c r="G174" s="522"/>
      <c r="H174" s="522"/>
      <c r="I174" s="522"/>
      <c r="J174" s="522"/>
      <c r="K174" s="522"/>
      <c r="L174" s="522"/>
      <c r="M174" s="522"/>
      <c r="N174" s="522"/>
      <c r="O174" s="522"/>
      <c r="P174" s="522"/>
      <c r="Q174" s="522"/>
      <c r="R174" s="522"/>
      <c r="S174" s="522"/>
      <c r="T174" s="522"/>
      <c r="U174" s="522"/>
      <c r="V174" s="563">
        <f>V71</f>
        <v>691470</v>
      </c>
      <c r="W174" s="524"/>
      <c r="X174" s="512"/>
    </row>
    <row r="175" spans="1:24" s="513" customFormat="1" x14ac:dyDescent="0.3">
      <c r="A175" s="521"/>
      <c r="B175" s="522" t="s">
        <v>59</v>
      </c>
      <c r="C175" s="522"/>
      <c r="D175" s="522"/>
      <c r="E175" s="522"/>
      <c r="F175" s="522"/>
      <c r="G175" s="522"/>
      <c r="H175" s="522"/>
      <c r="I175" s="522"/>
      <c r="J175" s="522"/>
      <c r="K175" s="522"/>
      <c r="L175" s="522"/>
      <c r="M175" s="522"/>
      <c r="N175" s="522"/>
      <c r="O175" s="522"/>
      <c r="P175" s="522"/>
      <c r="Q175" s="522"/>
      <c r="R175" s="522"/>
      <c r="S175" s="522"/>
      <c r="T175" s="522"/>
      <c r="U175" s="522"/>
      <c r="V175" s="563">
        <f>V84</f>
        <v>691470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60</v>
      </c>
      <c r="C178" s="434"/>
      <c r="D178" s="434"/>
      <c r="E178" s="434"/>
      <c r="F178" s="434"/>
      <c r="G178" s="434"/>
      <c r="H178" s="452"/>
      <c r="I178" s="452"/>
      <c r="J178" s="452"/>
      <c r="K178" s="452"/>
      <c r="L178" s="452"/>
      <c r="M178" s="452"/>
      <c r="N178" s="452"/>
      <c r="O178" s="452"/>
      <c r="P178" s="452"/>
      <c r="Q178" s="452"/>
      <c r="R178" s="452"/>
      <c r="S178" s="503" t="s">
        <v>103</v>
      </c>
      <c r="T178" s="503" t="s">
        <v>182</v>
      </c>
      <c r="U178" s="411"/>
      <c r="V178" s="504" t="s">
        <v>119</v>
      </c>
      <c r="W178" s="453"/>
      <c r="X178" s="405"/>
    </row>
    <row r="179" spans="1:24" s="513" customFormat="1" x14ac:dyDescent="0.3">
      <c r="A179" s="521"/>
      <c r="B179" s="522" t="s">
        <v>61</v>
      </c>
      <c r="C179" s="522"/>
      <c r="D179" s="522"/>
      <c r="E179" s="522"/>
      <c r="F179" s="522"/>
      <c r="G179" s="522"/>
      <c r="H179" s="522"/>
      <c r="I179" s="522"/>
      <c r="J179" s="522"/>
      <c r="K179" s="522"/>
      <c r="L179" s="522"/>
      <c r="M179" s="522"/>
      <c r="N179" s="522"/>
      <c r="O179" s="522"/>
      <c r="P179" s="522"/>
      <c r="Q179" s="522"/>
      <c r="R179" s="522"/>
      <c r="S179" s="563">
        <f>+V34*0.16</f>
        <v>240032.80000000002</v>
      </c>
      <c r="T179" s="542"/>
      <c r="U179" s="522"/>
      <c r="V179" s="563"/>
      <c r="W179" s="524"/>
      <c r="X179" s="512"/>
    </row>
    <row r="180" spans="1:24" s="513" customFormat="1" x14ac:dyDescent="0.3">
      <c r="A180" s="521"/>
      <c r="B180" s="522" t="s">
        <v>62</v>
      </c>
      <c r="C180" s="522"/>
      <c r="D180" s="522"/>
      <c r="E180" s="522"/>
      <c r="F180" s="522"/>
      <c r="G180" s="522"/>
      <c r="H180" s="522"/>
      <c r="I180" s="522"/>
      <c r="J180" s="522"/>
      <c r="K180" s="522"/>
      <c r="L180" s="522"/>
      <c r="M180" s="522"/>
      <c r="N180" s="522"/>
      <c r="O180" s="522"/>
      <c r="P180" s="522"/>
      <c r="Q180" s="522"/>
      <c r="R180" s="522"/>
      <c r="S180" s="563">
        <f>+'Jan 19'!S182</f>
        <v>57078</v>
      </c>
      <c r="T180" s="563">
        <f>+'Jan 19'!T182</f>
        <v>6370</v>
      </c>
      <c r="U180" s="522"/>
      <c r="V180" s="563">
        <f>S180+T180</f>
        <v>63448</v>
      </c>
      <c r="W180" s="524"/>
      <c r="X180" s="512"/>
    </row>
    <row r="181" spans="1:24" s="513" customFormat="1" x14ac:dyDescent="0.3">
      <c r="A181" s="521"/>
      <c r="B181" s="522" t="s">
        <v>63</v>
      </c>
      <c r="C181" s="522"/>
      <c r="D181" s="522"/>
      <c r="E181" s="522"/>
      <c r="F181" s="522"/>
      <c r="G181" s="522"/>
      <c r="H181" s="522"/>
      <c r="I181" s="522"/>
      <c r="J181" s="522"/>
      <c r="K181" s="522"/>
      <c r="L181" s="522"/>
      <c r="M181" s="522"/>
      <c r="N181" s="522"/>
      <c r="O181" s="522"/>
      <c r="P181" s="522"/>
      <c r="Q181" s="522"/>
      <c r="R181" s="522"/>
      <c r="S181" s="562">
        <v>0</v>
      </c>
      <c r="T181" s="562">
        <v>0</v>
      </c>
      <c r="U181" s="522"/>
      <c r="V181" s="563">
        <f>S181+T181</f>
        <v>0</v>
      </c>
      <c r="W181" s="524"/>
      <c r="X181" s="512"/>
    </row>
    <row r="182" spans="1:24" s="513" customFormat="1" x14ac:dyDescent="0.3">
      <c r="A182" s="521"/>
      <c r="B182" s="522" t="s">
        <v>64</v>
      </c>
      <c r="C182" s="522"/>
      <c r="D182" s="522"/>
      <c r="E182" s="522"/>
      <c r="F182" s="522"/>
      <c r="G182" s="522"/>
      <c r="H182" s="522"/>
      <c r="I182" s="522"/>
      <c r="J182" s="522"/>
      <c r="K182" s="522"/>
      <c r="L182" s="522"/>
      <c r="M182" s="522"/>
      <c r="N182" s="522"/>
      <c r="O182" s="522"/>
      <c r="P182" s="522"/>
      <c r="Q182" s="522"/>
      <c r="R182" s="522"/>
      <c r="S182" s="563">
        <f>S180+S181</f>
        <v>57078</v>
      </c>
      <c r="T182" s="563">
        <f>T181+T180</f>
        <v>6370</v>
      </c>
      <c r="U182" s="522"/>
      <c r="V182" s="563">
        <f>S182+T182</f>
        <v>63448</v>
      </c>
      <c r="W182" s="524"/>
      <c r="X182" s="512"/>
    </row>
    <row r="183" spans="1:24" s="513" customFormat="1" x14ac:dyDescent="0.3">
      <c r="A183" s="521"/>
      <c r="B183" s="522" t="s">
        <v>65</v>
      </c>
      <c r="C183" s="522"/>
      <c r="D183" s="522"/>
      <c r="E183" s="522"/>
      <c r="F183" s="522"/>
      <c r="G183" s="522"/>
      <c r="H183" s="522"/>
      <c r="I183" s="522"/>
      <c r="J183" s="522"/>
      <c r="K183" s="522"/>
      <c r="L183" s="522"/>
      <c r="M183" s="522"/>
      <c r="N183" s="522"/>
      <c r="O183" s="522"/>
      <c r="P183" s="522"/>
      <c r="Q183" s="522"/>
      <c r="R183" s="522"/>
      <c r="S183" s="563">
        <f>S179-S182-T182</f>
        <v>176584.80000000002</v>
      </c>
      <c r="T183" s="542"/>
      <c r="U183" s="522"/>
      <c r="V183" s="563"/>
      <c r="W183" s="524"/>
      <c r="X183" s="512"/>
    </row>
    <row r="184" spans="1:24" ht="16.2" thickBot="1" x14ac:dyDescent="0.35">
      <c r="A184" s="407"/>
      <c r="B184" s="429"/>
      <c r="C184" s="429"/>
      <c r="D184" s="429"/>
      <c r="E184" s="429"/>
      <c r="F184" s="429"/>
      <c r="G184" s="429"/>
      <c r="H184" s="429"/>
      <c r="I184" s="429"/>
      <c r="J184" s="429"/>
      <c r="K184" s="429"/>
      <c r="L184" s="429"/>
      <c r="M184" s="429"/>
      <c r="N184" s="429"/>
      <c r="O184" s="429"/>
      <c r="P184" s="429"/>
      <c r="Q184" s="429"/>
      <c r="R184" s="429"/>
      <c r="S184" s="429"/>
      <c r="T184" s="429"/>
      <c r="U184" s="429"/>
      <c r="V184" s="449"/>
      <c r="W184" s="429"/>
      <c r="X184" s="405"/>
    </row>
    <row r="185" spans="1:24" x14ac:dyDescent="0.3">
      <c r="A185" s="403"/>
      <c r="B185" s="404"/>
      <c r="C185" s="404"/>
      <c r="D185" s="404"/>
      <c r="E185" s="404"/>
      <c r="F185" s="404"/>
      <c r="G185" s="404"/>
      <c r="H185" s="404"/>
      <c r="I185" s="404"/>
      <c r="J185" s="404"/>
      <c r="K185" s="404"/>
      <c r="L185" s="404"/>
      <c r="M185" s="404"/>
      <c r="N185" s="404"/>
      <c r="O185" s="404"/>
      <c r="P185" s="404"/>
      <c r="Q185" s="404"/>
      <c r="R185" s="404"/>
      <c r="S185" s="404"/>
      <c r="T185" s="404"/>
      <c r="U185" s="404"/>
      <c r="V185" s="451"/>
      <c r="W185" s="404"/>
      <c r="X185" s="405"/>
    </row>
    <row r="186" spans="1:24" x14ac:dyDescent="0.3">
      <c r="A186" s="407"/>
      <c r="B186" s="502" t="s">
        <v>66</v>
      </c>
      <c r="C186" s="409"/>
      <c r="D186" s="409"/>
      <c r="E186" s="409"/>
      <c r="F186" s="409"/>
      <c r="G186" s="409"/>
      <c r="H186" s="409"/>
      <c r="I186" s="409"/>
      <c r="J186" s="409"/>
      <c r="K186" s="409"/>
      <c r="L186" s="409"/>
      <c r="M186" s="409"/>
      <c r="N186" s="409"/>
      <c r="O186" s="409"/>
      <c r="P186" s="409"/>
      <c r="Q186" s="409"/>
      <c r="R186" s="409"/>
      <c r="S186" s="409"/>
      <c r="T186" s="409"/>
      <c r="U186" s="409"/>
      <c r="V186" s="454"/>
      <c r="W186" s="409"/>
      <c r="X186" s="405"/>
    </row>
    <row r="187" spans="1:24" s="513" customFormat="1" x14ac:dyDescent="0.3">
      <c r="A187" s="521"/>
      <c r="B187" s="522" t="s">
        <v>67</v>
      </c>
      <c r="C187" s="522"/>
      <c r="D187" s="522"/>
      <c r="E187" s="522"/>
      <c r="F187" s="522"/>
      <c r="G187" s="522"/>
      <c r="H187" s="522"/>
      <c r="I187" s="522"/>
      <c r="J187" s="522"/>
      <c r="K187" s="522"/>
      <c r="L187" s="522"/>
      <c r="M187" s="522"/>
      <c r="N187" s="522"/>
      <c r="O187" s="522"/>
      <c r="P187" s="522"/>
      <c r="Q187" s="522"/>
      <c r="R187" s="522"/>
      <c r="S187" s="522"/>
      <c r="T187" s="522"/>
      <c r="U187" s="522"/>
      <c r="V187" s="571">
        <f>(V100+V102+V103+V104+V105)/-(V106+V107)</f>
        <v>3.3588110403397029</v>
      </c>
      <c r="W187" s="524" t="s">
        <v>120</v>
      </c>
      <c r="X187" s="512"/>
    </row>
    <row r="188" spans="1:24" s="513" customFormat="1" x14ac:dyDescent="0.3">
      <c r="A188" s="521"/>
      <c r="B188" s="522" t="s">
        <v>68</v>
      </c>
      <c r="C188" s="522"/>
      <c r="D188" s="522"/>
      <c r="E188" s="522"/>
      <c r="F188" s="522"/>
      <c r="G188" s="522"/>
      <c r="H188" s="522"/>
      <c r="I188" s="522"/>
      <c r="J188" s="522"/>
      <c r="K188" s="522"/>
      <c r="L188" s="522"/>
      <c r="M188" s="522"/>
      <c r="N188" s="522"/>
      <c r="O188" s="522"/>
      <c r="P188" s="522"/>
      <c r="Q188" s="522"/>
      <c r="R188" s="522"/>
      <c r="S188" s="522"/>
      <c r="T188" s="522"/>
      <c r="U188" s="522"/>
      <c r="V188" s="573">
        <v>1.96</v>
      </c>
      <c r="W188" s="524" t="s">
        <v>120</v>
      </c>
      <c r="X188" s="512"/>
    </row>
    <row r="189" spans="1:24" s="513" customFormat="1" x14ac:dyDescent="0.3">
      <c r="A189" s="521"/>
      <c r="B189" s="522" t="s">
        <v>69</v>
      </c>
      <c r="C189" s="522"/>
      <c r="D189" s="522"/>
      <c r="E189" s="522"/>
      <c r="F189" s="522"/>
      <c r="G189" s="522"/>
      <c r="H189" s="522"/>
      <c r="I189" s="522"/>
      <c r="J189" s="522"/>
      <c r="K189" s="522"/>
      <c r="L189" s="522"/>
      <c r="M189" s="522"/>
      <c r="N189" s="522"/>
      <c r="O189" s="522"/>
      <c r="P189" s="522"/>
      <c r="Q189" s="522"/>
      <c r="R189" s="522"/>
      <c r="S189" s="522"/>
      <c r="T189" s="522"/>
      <c r="U189" s="522"/>
      <c r="V189" s="571">
        <f>(V100+V102+V103+V104+V105+V106+V107)/-(V108+V109)</f>
        <v>9.5228571428571431</v>
      </c>
      <c r="W189" s="524" t="s">
        <v>120</v>
      </c>
      <c r="X189" s="512"/>
    </row>
    <row r="190" spans="1:24" s="513" customFormat="1" x14ac:dyDescent="0.3">
      <c r="A190" s="521"/>
      <c r="B190" s="522" t="s">
        <v>70</v>
      </c>
      <c r="C190" s="522"/>
      <c r="D190" s="522"/>
      <c r="E190" s="522"/>
      <c r="F190" s="522"/>
      <c r="G190" s="522"/>
      <c r="H190" s="522"/>
      <c r="I190" s="522"/>
      <c r="J190" s="522"/>
      <c r="K190" s="522"/>
      <c r="L190" s="522"/>
      <c r="M190" s="522"/>
      <c r="N190" s="522"/>
      <c r="O190" s="522"/>
      <c r="P190" s="522"/>
      <c r="Q190" s="522"/>
      <c r="R190" s="522"/>
      <c r="S190" s="522"/>
      <c r="T190" s="522"/>
      <c r="U190" s="522"/>
      <c r="V190" s="573">
        <v>7.64</v>
      </c>
      <c r="W190" s="524" t="s">
        <v>120</v>
      </c>
      <c r="X190" s="512"/>
    </row>
    <row r="191" spans="1:24" s="513" customFormat="1" x14ac:dyDescent="0.3">
      <c r="A191" s="521"/>
      <c r="B191" s="522" t="s">
        <v>204</v>
      </c>
      <c r="C191" s="522"/>
      <c r="D191" s="522"/>
      <c r="E191" s="522"/>
      <c r="F191" s="522"/>
      <c r="G191" s="522"/>
      <c r="H191" s="522"/>
      <c r="I191" s="522"/>
      <c r="J191" s="522"/>
      <c r="K191" s="522"/>
      <c r="L191" s="522"/>
      <c r="M191" s="522"/>
      <c r="N191" s="522"/>
      <c r="O191" s="522"/>
      <c r="P191" s="522"/>
      <c r="Q191" s="522"/>
      <c r="R191" s="522"/>
      <c r="S191" s="522"/>
      <c r="T191" s="522"/>
      <c r="U191" s="522"/>
      <c r="V191" s="571">
        <f>(V100+V102+V103+V104+V105+V106+V107+V108+V109)/-(V110+V111)</f>
        <v>7.9124668435013259</v>
      </c>
      <c r="W191" s="524" t="s">
        <v>120</v>
      </c>
      <c r="X191" s="512"/>
    </row>
    <row r="192" spans="1:24" s="513" customFormat="1" x14ac:dyDescent="0.3">
      <c r="A192" s="521"/>
      <c r="B192" s="522" t="s">
        <v>205</v>
      </c>
      <c r="C192" s="522"/>
      <c r="D192" s="522"/>
      <c r="E192" s="522"/>
      <c r="F192" s="522"/>
      <c r="G192" s="522"/>
      <c r="H192" s="522"/>
      <c r="I192" s="522"/>
      <c r="J192" s="522"/>
      <c r="K192" s="522"/>
      <c r="L192" s="522"/>
      <c r="M192" s="522"/>
      <c r="N192" s="522"/>
      <c r="O192" s="522"/>
      <c r="P192" s="522"/>
      <c r="Q192" s="522"/>
      <c r="R192" s="522"/>
      <c r="S192" s="522"/>
      <c r="T192" s="522"/>
      <c r="U192" s="522"/>
      <c r="V192" s="573">
        <v>6.98</v>
      </c>
      <c r="W192" s="524" t="s">
        <v>120</v>
      </c>
      <c r="X192" s="512"/>
    </row>
    <row r="193" spans="1:24" s="513" customFormat="1" x14ac:dyDescent="0.3">
      <c r="A193" s="521"/>
      <c r="B193" s="522"/>
      <c r="C193" s="522"/>
      <c r="D193" s="522"/>
      <c r="E193" s="522"/>
      <c r="F193" s="522"/>
      <c r="G193" s="522"/>
      <c r="H193" s="522"/>
      <c r="I193" s="522"/>
      <c r="J193" s="522"/>
      <c r="K193" s="522"/>
      <c r="L193" s="522"/>
      <c r="M193" s="522"/>
      <c r="N193" s="522"/>
      <c r="O193" s="522"/>
      <c r="P193" s="522"/>
      <c r="Q193" s="522"/>
      <c r="R193" s="522"/>
      <c r="S193" s="522"/>
      <c r="T193" s="522"/>
      <c r="U193" s="522"/>
      <c r="V193" s="522"/>
      <c r="W193" s="524"/>
      <c r="X193" s="512"/>
    </row>
    <row r="194" spans="1:24" s="513" customFormat="1" x14ac:dyDescent="0.3">
      <c r="A194" s="509"/>
      <c r="B194" s="552"/>
      <c r="C194" s="552"/>
      <c r="D194" s="552"/>
      <c r="E194" s="552"/>
      <c r="F194" s="552"/>
      <c r="G194" s="552"/>
      <c r="H194" s="552"/>
      <c r="I194" s="552"/>
      <c r="J194" s="552"/>
      <c r="K194" s="552"/>
      <c r="L194" s="552"/>
      <c r="M194" s="552"/>
      <c r="N194" s="552"/>
      <c r="O194" s="552"/>
      <c r="P194" s="552"/>
      <c r="Q194" s="552"/>
      <c r="R194" s="552"/>
      <c r="S194" s="552"/>
      <c r="T194" s="552"/>
      <c r="U194" s="552"/>
      <c r="V194" s="552"/>
      <c r="W194" s="552"/>
      <c r="X194" s="512"/>
    </row>
    <row r="195" spans="1:24" s="513" customFormat="1" x14ac:dyDescent="0.3">
      <c r="A195" s="509"/>
      <c r="B195" s="510"/>
      <c r="C195" s="510"/>
      <c r="D195" s="510"/>
      <c r="E195" s="510"/>
      <c r="F195" s="510"/>
      <c r="G195" s="510"/>
      <c r="H195" s="510"/>
      <c r="I195" s="510"/>
      <c r="J195" s="510"/>
      <c r="K195" s="510"/>
      <c r="L195" s="510"/>
      <c r="M195" s="510"/>
      <c r="N195" s="510"/>
      <c r="O195" s="510"/>
      <c r="P195" s="510"/>
      <c r="Q195" s="510"/>
      <c r="R195" s="510"/>
      <c r="S195" s="510"/>
      <c r="T195" s="510"/>
      <c r="U195" s="510"/>
      <c r="V195" s="510"/>
      <c r="W195" s="510"/>
      <c r="X195" s="512"/>
    </row>
    <row r="196" spans="1:24" s="513" customFormat="1" ht="18.600000000000001" thickBot="1" x14ac:dyDescent="0.4">
      <c r="A196" s="557"/>
      <c r="B196" s="558" t="str">
        <f>B136</f>
        <v>PM12 INVESTOR REPORT QUARTER ENDING APRIL 2019</v>
      </c>
      <c r="C196" s="559"/>
      <c r="D196" s="559"/>
      <c r="E196" s="559"/>
      <c r="F196" s="559"/>
      <c r="G196" s="559"/>
      <c r="H196" s="559"/>
      <c r="I196" s="559"/>
      <c r="J196" s="559"/>
      <c r="K196" s="559"/>
      <c r="L196" s="559"/>
      <c r="M196" s="559"/>
      <c r="N196" s="559"/>
      <c r="O196" s="559"/>
      <c r="P196" s="559"/>
      <c r="Q196" s="559"/>
      <c r="R196" s="559"/>
      <c r="S196" s="559"/>
      <c r="T196" s="559"/>
      <c r="U196" s="559"/>
      <c r="V196" s="559"/>
      <c r="W196" s="561"/>
      <c r="X196" s="512"/>
    </row>
    <row r="197" spans="1:24" x14ac:dyDescent="0.3">
      <c r="A197" s="444"/>
      <c r="B197" s="445" t="s">
        <v>71</v>
      </c>
      <c r="C197" s="455"/>
      <c r="D197" s="455"/>
      <c r="E197" s="455"/>
      <c r="F197" s="455"/>
      <c r="G197" s="456"/>
      <c r="H197" s="456"/>
      <c r="I197" s="456"/>
      <c r="J197" s="456"/>
      <c r="K197" s="456"/>
      <c r="L197" s="456"/>
      <c r="M197" s="456"/>
      <c r="N197" s="456"/>
      <c r="O197" s="456"/>
      <c r="P197" s="456"/>
      <c r="Q197" s="456"/>
      <c r="R197" s="456"/>
      <c r="S197" s="456"/>
      <c r="T197" s="456">
        <v>43585</v>
      </c>
      <c r="U197" s="446"/>
      <c r="V197" s="446"/>
      <c r="W197" s="446"/>
      <c r="X197" s="405"/>
    </row>
    <row r="198" spans="1:24" x14ac:dyDescent="0.3">
      <c r="A198" s="457"/>
      <c r="B198" s="458"/>
      <c r="C198" s="459"/>
      <c r="D198" s="459"/>
      <c r="E198" s="459"/>
      <c r="F198" s="459"/>
      <c r="G198" s="460"/>
      <c r="H198" s="460"/>
      <c r="I198" s="460"/>
      <c r="J198" s="460"/>
      <c r="K198" s="460"/>
      <c r="L198" s="460"/>
      <c r="M198" s="460"/>
      <c r="N198" s="460"/>
      <c r="O198" s="460"/>
      <c r="P198" s="460"/>
      <c r="Q198" s="460"/>
      <c r="R198" s="460"/>
      <c r="S198" s="460"/>
      <c r="T198" s="460"/>
      <c r="U198" s="409"/>
      <c r="V198" s="409"/>
      <c r="W198" s="409"/>
      <c r="X198" s="405"/>
    </row>
    <row r="199" spans="1:24" s="513" customFormat="1" x14ac:dyDescent="0.3">
      <c r="A199" s="521"/>
      <c r="B199" s="522" t="s">
        <v>72</v>
      </c>
      <c r="C199" s="574"/>
      <c r="D199" s="574"/>
      <c r="E199" s="574"/>
      <c r="F199" s="574"/>
      <c r="G199" s="546"/>
      <c r="H199" s="546"/>
      <c r="I199" s="546"/>
      <c r="J199" s="546"/>
      <c r="K199" s="546"/>
      <c r="L199" s="546"/>
      <c r="M199" s="546"/>
      <c r="N199" s="546"/>
      <c r="O199" s="546"/>
      <c r="P199" s="546"/>
      <c r="Q199" s="546"/>
      <c r="R199" s="546"/>
      <c r="S199" s="546"/>
      <c r="T199" s="539">
        <v>5.2060000000000002E-2</v>
      </c>
      <c r="U199" s="522"/>
      <c r="V199" s="522"/>
      <c r="W199" s="524"/>
      <c r="X199" s="512"/>
    </row>
    <row r="200" spans="1:24" s="513" customFormat="1" x14ac:dyDescent="0.3">
      <c r="A200" s="521"/>
      <c r="B200" s="522" t="s">
        <v>156</v>
      </c>
      <c r="C200" s="574"/>
      <c r="D200" s="574"/>
      <c r="E200" s="574"/>
      <c r="F200" s="574"/>
      <c r="G200" s="546"/>
      <c r="H200" s="546"/>
      <c r="I200" s="546"/>
      <c r="J200" s="546"/>
      <c r="K200" s="546"/>
      <c r="L200" s="546"/>
      <c r="M200" s="546"/>
      <c r="N200" s="546"/>
      <c r="O200" s="546"/>
      <c r="P200" s="546"/>
      <c r="Q200" s="546"/>
      <c r="R200" s="546"/>
      <c r="S200" s="546"/>
      <c r="T200" s="539">
        <f>'Oct 06'!T197</f>
        <v>4.8538814772447772E-2</v>
      </c>
      <c r="U200" s="522"/>
      <c r="V200" s="522"/>
      <c r="W200" s="524"/>
      <c r="X200" s="512"/>
    </row>
    <row r="201" spans="1:24" s="513" customFormat="1" x14ac:dyDescent="0.3">
      <c r="A201" s="521"/>
      <c r="B201" s="522" t="s">
        <v>73</v>
      </c>
      <c r="C201" s="574"/>
      <c r="D201" s="574"/>
      <c r="E201" s="574"/>
      <c r="F201" s="574"/>
      <c r="G201" s="546"/>
      <c r="H201" s="546"/>
      <c r="I201" s="546"/>
      <c r="J201" s="546"/>
      <c r="K201" s="546"/>
      <c r="L201" s="546"/>
      <c r="M201" s="546"/>
      <c r="N201" s="546"/>
      <c r="O201" s="546"/>
      <c r="P201" s="546"/>
      <c r="Q201" s="546"/>
      <c r="R201" s="546"/>
      <c r="S201" s="546"/>
      <c r="T201" s="539">
        <f>T199-T200</f>
        <v>3.5211852275522301E-3</v>
      </c>
      <c r="U201" s="522"/>
      <c r="V201" s="522"/>
      <c r="W201" s="524"/>
      <c r="X201" s="512"/>
    </row>
    <row r="202" spans="1:24" s="513" customFormat="1" x14ac:dyDescent="0.3">
      <c r="A202" s="521"/>
      <c r="B202" s="522" t="s">
        <v>74</v>
      </c>
      <c r="C202" s="574"/>
      <c r="D202" s="574"/>
      <c r="E202" s="574"/>
      <c r="F202" s="574"/>
      <c r="G202" s="546"/>
      <c r="H202" s="546"/>
      <c r="I202" s="546"/>
      <c r="J202" s="546"/>
      <c r="K202" s="546"/>
      <c r="L202" s="546"/>
      <c r="M202" s="546"/>
      <c r="N202" s="546"/>
      <c r="O202" s="546"/>
      <c r="P202" s="546"/>
      <c r="Q202" s="546"/>
      <c r="R202" s="546"/>
      <c r="S202" s="546"/>
      <c r="T202" s="539">
        <v>2.5950000000000001E-2</v>
      </c>
      <c r="U202" s="522"/>
      <c r="V202" s="522"/>
      <c r="W202" s="524"/>
      <c r="X202" s="512"/>
    </row>
    <row r="203" spans="1:24" s="513" customFormat="1" x14ac:dyDescent="0.3">
      <c r="A203" s="521"/>
      <c r="B203" s="522" t="s">
        <v>225</v>
      </c>
      <c r="C203" s="574"/>
      <c r="D203" s="574"/>
      <c r="E203" s="574"/>
      <c r="F203" s="574"/>
      <c r="G203" s="546"/>
      <c r="H203" s="546"/>
      <c r="I203" s="546"/>
      <c r="J203" s="546"/>
      <c r="K203" s="546"/>
      <c r="L203" s="546"/>
      <c r="M203" s="546"/>
      <c r="N203" s="546"/>
      <c r="O203" s="546"/>
      <c r="P203" s="546"/>
      <c r="Q203" s="546"/>
      <c r="R203" s="546"/>
      <c r="S203" s="546"/>
      <c r="T203" s="539">
        <f>V43</f>
        <v>1.2448236278573751E-2</v>
      </c>
      <c r="U203" s="522"/>
      <c r="V203" s="522"/>
      <c r="W203" s="524"/>
      <c r="X203" s="512"/>
    </row>
    <row r="204" spans="1:24" s="513" customFormat="1" x14ac:dyDescent="0.3">
      <c r="A204" s="521"/>
      <c r="B204" s="522" t="s">
        <v>75</v>
      </c>
      <c r="C204" s="574"/>
      <c r="D204" s="574"/>
      <c r="E204" s="574"/>
      <c r="F204" s="574"/>
      <c r="G204" s="546"/>
      <c r="H204" s="546"/>
      <c r="I204" s="546"/>
      <c r="J204" s="546"/>
      <c r="K204" s="546"/>
      <c r="L204" s="546"/>
      <c r="M204" s="546"/>
      <c r="N204" s="546"/>
      <c r="O204" s="546"/>
      <c r="P204" s="546"/>
      <c r="Q204" s="546"/>
      <c r="R204" s="546"/>
      <c r="S204" s="546"/>
      <c r="T204" s="539">
        <f>T202-T203</f>
        <v>1.350176372142625E-2</v>
      </c>
      <c r="U204" s="522"/>
      <c r="V204" s="522"/>
      <c r="W204" s="524"/>
      <c r="X204" s="512"/>
    </row>
    <row r="205" spans="1:24" s="513" customFormat="1" x14ac:dyDescent="0.3">
      <c r="A205" s="521"/>
      <c r="B205" s="522" t="s">
        <v>271</v>
      </c>
      <c r="C205" s="574"/>
      <c r="D205" s="574"/>
      <c r="E205" s="574"/>
      <c r="F205" s="574"/>
      <c r="G205" s="546"/>
      <c r="H205" s="546"/>
      <c r="I205" s="546"/>
      <c r="J205" s="546"/>
      <c r="K205" s="546"/>
      <c r="L205" s="546"/>
      <c r="M205" s="546"/>
      <c r="N205" s="546"/>
      <c r="O205" s="546"/>
      <c r="P205" s="546"/>
      <c r="Q205" s="546"/>
      <c r="R205" s="546"/>
      <c r="S205" s="546"/>
      <c r="T205" s="539">
        <f>+V100/N71</f>
        <v>7.2487826471890216E-3</v>
      </c>
      <c r="U205" s="522"/>
      <c r="V205" s="522"/>
      <c r="W205" s="524"/>
      <c r="X205" s="512"/>
    </row>
    <row r="206" spans="1:24" s="513" customFormat="1" x14ac:dyDescent="0.3">
      <c r="A206" s="521"/>
      <c r="B206" s="522" t="s">
        <v>214</v>
      </c>
      <c r="C206" s="574"/>
      <c r="D206" s="574"/>
      <c r="E206" s="574"/>
      <c r="F206" s="574"/>
      <c r="G206" s="546"/>
      <c r="H206" s="546"/>
      <c r="I206" s="546"/>
      <c r="J206" s="546"/>
      <c r="K206" s="546"/>
      <c r="L206" s="546"/>
      <c r="M206" s="546"/>
      <c r="N206" s="546"/>
      <c r="O206" s="546"/>
      <c r="P206" s="546"/>
      <c r="Q206" s="546"/>
      <c r="R206" s="546"/>
      <c r="S206" s="546"/>
      <c r="T206" s="575">
        <v>50710</v>
      </c>
      <c r="U206" s="522"/>
      <c r="V206" s="522"/>
      <c r="W206" s="524"/>
      <c r="X206" s="512"/>
    </row>
    <row r="207" spans="1:24" s="513" customFormat="1" x14ac:dyDescent="0.3">
      <c r="A207" s="521"/>
      <c r="B207" s="522" t="s">
        <v>215</v>
      </c>
      <c r="C207" s="574"/>
      <c r="D207" s="574"/>
      <c r="E207" s="574"/>
      <c r="F207" s="574"/>
      <c r="G207" s="546"/>
      <c r="H207" s="546"/>
      <c r="I207" s="546"/>
      <c r="J207" s="546"/>
      <c r="K207" s="546"/>
      <c r="L207" s="546"/>
      <c r="M207" s="546"/>
      <c r="N207" s="546"/>
      <c r="O207" s="546"/>
      <c r="P207" s="546"/>
      <c r="Q207" s="546"/>
      <c r="R207" s="546"/>
      <c r="S207" s="546"/>
      <c r="T207" s="575">
        <v>50710</v>
      </c>
      <c r="U207" s="522"/>
      <c r="V207" s="522"/>
      <c r="W207" s="524"/>
      <c r="X207" s="512"/>
    </row>
    <row r="208" spans="1:24" s="513" customFormat="1" x14ac:dyDescent="0.3">
      <c r="A208" s="521"/>
      <c r="B208" s="522" t="s">
        <v>216</v>
      </c>
      <c r="C208" s="574"/>
      <c r="D208" s="574"/>
      <c r="E208" s="574"/>
      <c r="F208" s="574"/>
      <c r="G208" s="546"/>
      <c r="H208" s="546"/>
      <c r="I208" s="546"/>
      <c r="J208" s="546"/>
      <c r="K208" s="546"/>
      <c r="L208" s="546"/>
      <c r="M208" s="546"/>
      <c r="N208" s="546"/>
      <c r="O208" s="546"/>
      <c r="P208" s="546"/>
      <c r="Q208" s="546"/>
      <c r="R208" s="546"/>
      <c r="S208" s="546"/>
      <c r="T208" s="575">
        <v>50710</v>
      </c>
      <c r="U208" s="522"/>
      <c r="V208" s="522"/>
      <c r="W208" s="524"/>
      <c r="X208" s="512"/>
    </row>
    <row r="209" spans="1:24" s="513" customFormat="1" x14ac:dyDescent="0.3">
      <c r="A209" s="521"/>
      <c r="B209" s="522" t="s">
        <v>76</v>
      </c>
      <c r="C209" s="574"/>
      <c r="D209" s="574"/>
      <c r="E209" s="574"/>
      <c r="F209" s="574"/>
      <c r="G209" s="546"/>
      <c r="H209" s="546"/>
      <c r="I209" s="546"/>
      <c r="J209" s="546"/>
      <c r="K209" s="546"/>
      <c r="L209" s="546"/>
      <c r="M209" s="546"/>
      <c r="N209" s="546"/>
      <c r="O209" s="546"/>
      <c r="P209" s="546"/>
      <c r="Q209" s="546"/>
      <c r="R209" s="546"/>
      <c r="S209" s="546"/>
      <c r="T209" s="544">
        <v>21.06</v>
      </c>
      <c r="U209" s="522" t="s">
        <v>115</v>
      </c>
      <c r="V209" s="522"/>
      <c r="W209" s="524"/>
      <c r="X209" s="512"/>
    </row>
    <row r="210" spans="1:24" s="513" customFormat="1" x14ac:dyDescent="0.3">
      <c r="A210" s="521"/>
      <c r="B210" s="522" t="s">
        <v>77</v>
      </c>
      <c r="C210" s="574"/>
      <c r="D210" s="574"/>
      <c r="E210" s="574"/>
      <c r="F210" s="574"/>
      <c r="G210" s="546"/>
      <c r="H210" s="546"/>
      <c r="I210" s="546"/>
      <c r="J210" s="546"/>
      <c r="K210" s="546"/>
      <c r="L210" s="546"/>
      <c r="M210" s="546"/>
      <c r="N210" s="546"/>
      <c r="O210" s="546"/>
      <c r="P210" s="546"/>
      <c r="Q210" s="546"/>
      <c r="R210" s="546"/>
      <c r="S210" s="546"/>
      <c r="T210" s="544">
        <v>9.1199999999999992</v>
      </c>
      <c r="U210" s="522" t="s">
        <v>115</v>
      </c>
      <c r="V210" s="522"/>
      <c r="W210" s="524"/>
      <c r="X210" s="512"/>
    </row>
    <row r="211" spans="1:24" s="513" customFormat="1" x14ac:dyDescent="0.3">
      <c r="A211" s="521"/>
      <c r="B211" s="522" t="s">
        <v>78</v>
      </c>
      <c r="C211" s="574"/>
      <c r="D211" s="574"/>
      <c r="E211" s="574"/>
      <c r="F211" s="574"/>
      <c r="G211" s="546"/>
      <c r="H211" s="546"/>
      <c r="I211" s="546"/>
      <c r="J211" s="546"/>
      <c r="K211" s="546"/>
      <c r="L211" s="546"/>
      <c r="M211" s="546"/>
      <c r="N211" s="546"/>
      <c r="O211" s="546"/>
      <c r="P211" s="546"/>
      <c r="Q211" s="546"/>
      <c r="R211" s="546"/>
      <c r="S211" s="546"/>
      <c r="T211" s="539">
        <f>P68/N68</f>
        <v>1.8924302788844622E-2</v>
      </c>
      <c r="U211" s="522"/>
      <c r="V211" s="522"/>
      <c r="W211" s="524"/>
      <c r="X211" s="512"/>
    </row>
    <row r="212" spans="1:24" s="513" customFormat="1" x14ac:dyDescent="0.3">
      <c r="A212" s="521"/>
      <c r="B212" s="522" t="s">
        <v>79</v>
      </c>
      <c r="C212" s="574"/>
      <c r="D212" s="574"/>
      <c r="E212" s="574"/>
      <c r="F212" s="574"/>
      <c r="G212" s="546"/>
      <c r="H212" s="546"/>
      <c r="I212" s="546"/>
      <c r="J212" s="546"/>
      <c r="K212" s="546"/>
      <c r="L212" s="546"/>
      <c r="M212" s="546"/>
      <c r="N212" s="546"/>
      <c r="O212" s="546"/>
      <c r="P212" s="546"/>
      <c r="Q212" s="546"/>
      <c r="R212" s="546"/>
      <c r="S212" s="546"/>
      <c r="T212" s="539">
        <v>6.2600000000000003E-2</v>
      </c>
      <c r="U212" s="522"/>
      <c r="V212" s="522"/>
      <c r="W212" s="524"/>
      <c r="X212" s="512"/>
    </row>
    <row r="213" spans="1:24" x14ac:dyDescent="0.3">
      <c r="A213" s="457"/>
      <c r="B213" s="461"/>
      <c r="C213" s="461"/>
      <c r="D213" s="461"/>
      <c r="E213" s="461"/>
      <c r="F213" s="461"/>
      <c r="G213" s="429"/>
      <c r="H213" s="429"/>
      <c r="I213" s="429"/>
      <c r="J213" s="429"/>
      <c r="K213" s="429"/>
      <c r="L213" s="429"/>
      <c r="M213" s="429"/>
      <c r="N213" s="429"/>
      <c r="O213" s="429"/>
      <c r="P213" s="429"/>
      <c r="Q213" s="429"/>
      <c r="R213" s="429"/>
      <c r="S213" s="429"/>
      <c r="T213" s="449"/>
      <c r="U213" s="429"/>
      <c r="V213" s="462"/>
      <c r="W213" s="429"/>
      <c r="X213" s="405"/>
    </row>
    <row r="214" spans="1:24" x14ac:dyDescent="0.3">
      <c r="A214" s="463"/>
      <c r="B214" s="464" t="s">
        <v>80</v>
      </c>
      <c r="C214" s="465"/>
      <c r="D214" s="465"/>
      <c r="E214" s="465"/>
      <c r="F214" s="466"/>
      <c r="G214" s="465"/>
      <c r="H214" s="465"/>
      <c r="I214" s="465"/>
      <c r="J214" s="465"/>
      <c r="K214" s="465"/>
      <c r="L214" s="465"/>
      <c r="M214" s="465"/>
      <c r="N214" s="465"/>
      <c r="O214" s="465"/>
      <c r="P214" s="465"/>
      <c r="Q214" s="465"/>
      <c r="R214" s="465"/>
      <c r="S214" s="465" t="s">
        <v>104</v>
      </c>
      <c r="T214" s="466" t="s">
        <v>111</v>
      </c>
      <c r="U214" s="467"/>
      <c r="V214" s="467"/>
      <c r="W214" s="468"/>
      <c r="X214" s="405"/>
    </row>
    <row r="215" spans="1:24" x14ac:dyDescent="0.3">
      <c r="A215" s="469"/>
      <c r="B215" s="552" t="s">
        <v>81</v>
      </c>
      <c r="C215" s="567"/>
      <c r="D215" s="567"/>
      <c r="E215" s="567"/>
      <c r="F215" s="552"/>
      <c r="G215" s="552"/>
      <c r="H215" s="576"/>
      <c r="I215" s="576"/>
      <c r="J215" s="576"/>
      <c r="K215" s="576"/>
      <c r="L215" s="576"/>
      <c r="M215" s="576"/>
      <c r="N215" s="576"/>
      <c r="O215" s="576"/>
      <c r="P215" s="576"/>
      <c r="Q215" s="576"/>
      <c r="R215" s="576"/>
      <c r="S215" s="576">
        <v>5</v>
      </c>
      <c r="T215" s="577">
        <v>307</v>
      </c>
      <c r="U215" s="429"/>
      <c r="V215" s="462"/>
      <c r="W215" s="470"/>
      <c r="X215" s="405"/>
    </row>
    <row r="216" spans="1:24" x14ac:dyDescent="0.3">
      <c r="A216" s="471"/>
      <c r="B216" s="522" t="s">
        <v>150</v>
      </c>
      <c r="C216" s="562"/>
      <c r="D216" s="562"/>
      <c r="E216" s="562"/>
      <c r="F216" s="522"/>
      <c r="G216" s="522"/>
      <c r="H216" s="528"/>
      <c r="I216" s="528"/>
      <c r="J216" s="528"/>
      <c r="K216" s="528"/>
      <c r="L216" s="528"/>
      <c r="M216" s="528"/>
      <c r="N216" s="528"/>
      <c r="O216" s="528"/>
      <c r="P216" s="528"/>
      <c r="Q216" s="528"/>
      <c r="R216" s="528"/>
      <c r="S216" s="578">
        <f>+R268</f>
        <v>79</v>
      </c>
      <c r="T216" s="579">
        <f>+T268</f>
        <v>13164</v>
      </c>
      <c r="U216" s="424"/>
      <c r="V216" s="474"/>
      <c r="W216" s="475"/>
      <c r="X216" s="405"/>
    </row>
    <row r="217" spans="1:24" x14ac:dyDescent="0.3">
      <c r="A217" s="471"/>
      <c r="B217" s="522" t="s">
        <v>82</v>
      </c>
      <c r="C217" s="562"/>
      <c r="D217" s="562"/>
      <c r="E217" s="562"/>
      <c r="F217" s="522"/>
      <c r="G217" s="522"/>
      <c r="H217" s="528"/>
      <c r="I217" s="528"/>
      <c r="J217" s="528"/>
      <c r="K217" s="528"/>
      <c r="L217" s="528"/>
      <c r="M217" s="528"/>
      <c r="N217" s="528"/>
      <c r="O217" s="528"/>
      <c r="P217" s="528"/>
      <c r="Q217" s="528"/>
      <c r="R217" s="528"/>
      <c r="S217" s="578">
        <f>+R280</f>
        <v>0</v>
      </c>
      <c r="T217" s="579">
        <f>+T280</f>
        <v>0</v>
      </c>
      <c r="U217" s="424"/>
      <c r="V217" s="474"/>
      <c r="W217" s="475"/>
      <c r="X217" s="405"/>
    </row>
    <row r="218" spans="1:24" x14ac:dyDescent="0.3">
      <c r="A218" s="471"/>
      <c r="B218" s="493" t="s">
        <v>83</v>
      </c>
      <c r="C218" s="472"/>
      <c r="D218" s="472"/>
      <c r="E218" s="472"/>
      <c r="F218" s="424"/>
      <c r="G218" s="424"/>
      <c r="H218" s="424"/>
      <c r="I218" s="424"/>
      <c r="J218" s="424"/>
      <c r="K218" s="424"/>
      <c r="L218" s="424"/>
      <c r="M218" s="424"/>
      <c r="N218" s="424"/>
      <c r="O218" s="424"/>
      <c r="P218" s="424"/>
      <c r="Q218" s="424"/>
      <c r="R218" s="424"/>
      <c r="S218" s="421"/>
      <c r="T218" s="579">
        <v>0</v>
      </c>
      <c r="U218" s="424"/>
      <c r="V218" s="474"/>
      <c r="W218" s="475"/>
      <c r="X218" s="405"/>
    </row>
    <row r="219" spans="1:24" x14ac:dyDescent="0.3">
      <c r="A219" s="471"/>
      <c r="B219" s="493" t="s">
        <v>84</v>
      </c>
      <c r="C219" s="472"/>
      <c r="D219" s="472"/>
      <c r="E219" s="472"/>
      <c r="F219" s="424"/>
      <c r="G219" s="424"/>
      <c r="H219" s="424"/>
      <c r="I219" s="424"/>
      <c r="J219" s="424"/>
      <c r="K219" s="424"/>
      <c r="L219" s="424"/>
      <c r="M219" s="424"/>
      <c r="N219" s="424"/>
      <c r="O219" s="424"/>
      <c r="P219" s="424"/>
      <c r="Q219" s="424"/>
      <c r="R219" s="424"/>
      <c r="S219" s="421"/>
      <c r="T219" s="580" t="s">
        <v>112</v>
      </c>
      <c r="U219" s="424"/>
      <c r="V219" s="474"/>
      <c r="W219" s="475"/>
      <c r="X219" s="405"/>
    </row>
    <row r="220" spans="1:24" x14ac:dyDescent="0.3">
      <c r="A220" s="476"/>
      <c r="B220" s="493" t="s">
        <v>85</v>
      </c>
      <c r="C220" s="477"/>
      <c r="D220" s="477"/>
      <c r="E220" s="477"/>
      <c r="F220" s="477"/>
      <c r="G220" s="424"/>
      <c r="H220" s="424"/>
      <c r="I220" s="424"/>
      <c r="J220" s="424"/>
      <c r="K220" s="424"/>
      <c r="L220" s="424"/>
      <c r="M220" s="424"/>
      <c r="N220" s="424"/>
      <c r="O220" s="424"/>
      <c r="P220" s="424"/>
      <c r="Q220" s="424"/>
      <c r="R220" s="424"/>
      <c r="S220" s="421"/>
      <c r="T220" s="473"/>
      <c r="U220" s="424"/>
      <c r="V220" s="474"/>
      <c r="W220" s="478"/>
      <c r="X220" s="405"/>
    </row>
    <row r="221" spans="1:24" s="513" customFormat="1" x14ac:dyDescent="0.3">
      <c r="A221" s="581"/>
      <c r="B221" s="522" t="s">
        <v>86</v>
      </c>
      <c r="C221" s="522"/>
      <c r="D221" s="522"/>
      <c r="E221" s="522"/>
      <c r="F221" s="522"/>
      <c r="G221" s="522"/>
      <c r="H221" s="522"/>
      <c r="I221" s="522"/>
      <c r="J221" s="522"/>
      <c r="K221" s="522"/>
      <c r="L221" s="522"/>
      <c r="M221" s="522"/>
      <c r="N221" s="522"/>
      <c r="O221" s="522"/>
      <c r="P221" s="522"/>
      <c r="Q221" s="522"/>
      <c r="R221" s="522"/>
      <c r="S221" s="528"/>
      <c r="T221" s="579">
        <f>+V165</f>
        <v>65</v>
      </c>
      <c r="U221" s="522"/>
      <c r="V221" s="582"/>
      <c r="W221" s="583"/>
      <c r="X221" s="512"/>
    </row>
    <row r="222" spans="1:24" s="513" customFormat="1" x14ac:dyDescent="0.3">
      <c r="A222" s="584"/>
      <c r="B222" s="522" t="s">
        <v>87</v>
      </c>
      <c r="C222" s="562"/>
      <c r="D222" s="562"/>
      <c r="E222" s="562"/>
      <c r="F222" s="562"/>
      <c r="G222" s="522"/>
      <c r="H222" s="522"/>
      <c r="I222" s="522"/>
      <c r="J222" s="522"/>
      <c r="K222" s="522"/>
      <c r="L222" s="522"/>
      <c r="M222" s="522"/>
      <c r="N222" s="522"/>
      <c r="O222" s="522"/>
      <c r="P222" s="522"/>
      <c r="Q222" s="522"/>
      <c r="R222" s="522"/>
      <c r="S222" s="528"/>
      <c r="T222" s="579">
        <f>'Jan 19'!T222+'April 19'!T221</f>
        <v>7662</v>
      </c>
      <c r="U222" s="522"/>
      <c r="V222" s="582"/>
      <c r="W222" s="583"/>
      <c r="X222" s="512"/>
    </row>
    <row r="223" spans="1:24" x14ac:dyDescent="0.3">
      <c r="A223" s="476"/>
      <c r="B223" s="493" t="s">
        <v>292</v>
      </c>
      <c r="C223" s="477"/>
      <c r="D223" s="477"/>
      <c r="E223" s="477"/>
      <c r="F223" s="477"/>
      <c r="G223" s="424"/>
      <c r="H223" s="424"/>
      <c r="I223" s="424"/>
      <c r="J223" s="424"/>
      <c r="K223" s="424"/>
      <c r="L223" s="424"/>
      <c r="M223" s="424"/>
      <c r="N223" s="424"/>
      <c r="O223" s="424"/>
      <c r="P223" s="424"/>
      <c r="Q223" s="424"/>
      <c r="R223" s="424"/>
      <c r="S223" s="423"/>
      <c r="T223" s="473"/>
      <c r="U223" s="424"/>
      <c r="V223" s="474"/>
      <c r="W223" s="478"/>
      <c r="X223" s="405"/>
    </row>
    <row r="224" spans="1:24" s="513" customFormat="1" x14ac:dyDescent="0.3">
      <c r="A224" s="581"/>
      <c r="B224" s="522" t="s">
        <v>290</v>
      </c>
      <c r="C224" s="522"/>
      <c r="D224" s="522"/>
      <c r="E224" s="522"/>
      <c r="F224" s="522"/>
      <c r="G224" s="522"/>
      <c r="H224" s="522"/>
      <c r="I224" s="522"/>
      <c r="J224" s="522"/>
      <c r="K224" s="522"/>
      <c r="L224" s="522"/>
      <c r="M224" s="522"/>
      <c r="N224" s="522"/>
      <c r="O224" s="522"/>
      <c r="P224" s="522"/>
      <c r="Q224" s="522"/>
      <c r="R224" s="522"/>
      <c r="S224" s="528">
        <v>0</v>
      </c>
      <c r="T224" s="579">
        <v>0</v>
      </c>
      <c r="U224" s="522"/>
      <c r="V224" s="582"/>
      <c r="W224" s="583"/>
      <c r="X224" s="512"/>
    </row>
    <row r="225" spans="1:25" s="513" customFormat="1" x14ac:dyDescent="0.3">
      <c r="A225" s="584"/>
      <c r="B225" s="522" t="s">
        <v>88</v>
      </c>
      <c r="C225" s="542"/>
      <c r="D225" s="542"/>
      <c r="E225" s="542"/>
      <c r="F225" s="585"/>
      <c r="G225" s="522"/>
      <c r="H225" s="522"/>
      <c r="I225" s="522"/>
      <c r="J225" s="522"/>
      <c r="K225" s="522"/>
      <c r="L225" s="522"/>
      <c r="M225" s="522"/>
      <c r="N225" s="522"/>
      <c r="O225" s="522"/>
      <c r="P225" s="522"/>
      <c r="Q225" s="522"/>
      <c r="R225" s="522"/>
      <c r="S225" s="522"/>
      <c r="T225" s="580">
        <v>0</v>
      </c>
      <c r="U225" s="522"/>
      <c r="V225" s="582"/>
      <c r="W225" s="583"/>
      <c r="X225" s="512"/>
    </row>
    <row r="226" spans="1:25" s="513" customFormat="1" x14ac:dyDescent="0.3">
      <c r="A226" s="584"/>
      <c r="B226" s="522" t="s">
        <v>89</v>
      </c>
      <c r="C226" s="542"/>
      <c r="D226" s="542"/>
      <c r="E226" s="542"/>
      <c r="F226" s="585"/>
      <c r="G226" s="522"/>
      <c r="H226" s="522"/>
      <c r="I226" s="522"/>
      <c r="J226" s="522"/>
      <c r="K226" s="522"/>
      <c r="L226" s="522"/>
      <c r="M226" s="522"/>
      <c r="N226" s="522"/>
      <c r="O226" s="522"/>
      <c r="P226" s="522"/>
      <c r="Q226" s="522"/>
      <c r="R226" s="522"/>
      <c r="S226" s="522"/>
      <c r="T226" s="580">
        <v>0</v>
      </c>
      <c r="U226" s="522"/>
      <c r="V226" s="582"/>
      <c r="W226" s="583"/>
      <c r="X226" s="512"/>
    </row>
    <row r="227" spans="1:25" x14ac:dyDescent="0.3">
      <c r="A227" s="471"/>
      <c r="B227" s="493" t="s">
        <v>223</v>
      </c>
      <c r="C227" s="479"/>
      <c r="D227" s="479"/>
      <c r="E227" s="479"/>
      <c r="F227" s="480"/>
      <c r="G227" s="424"/>
      <c r="H227" s="424"/>
      <c r="I227" s="424"/>
      <c r="J227" s="424"/>
      <c r="K227" s="424"/>
      <c r="L227" s="424"/>
      <c r="M227" s="424"/>
      <c r="N227" s="424"/>
      <c r="O227" s="424"/>
      <c r="P227" s="424"/>
      <c r="Q227" s="424"/>
      <c r="R227" s="424"/>
      <c r="S227" s="421"/>
      <c r="T227" s="481"/>
      <c r="U227" s="424"/>
      <c r="V227" s="474"/>
      <c r="W227" s="478"/>
      <c r="X227" s="405"/>
    </row>
    <row r="228" spans="1:25" s="513" customFormat="1" x14ac:dyDescent="0.3">
      <c r="A228" s="584"/>
      <c r="B228" s="522" t="s">
        <v>290</v>
      </c>
      <c r="C228" s="542"/>
      <c r="D228" s="542"/>
      <c r="E228" s="542"/>
      <c r="F228" s="585"/>
      <c r="G228" s="522"/>
      <c r="H228" s="522"/>
      <c r="I228" s="522"/>
      <c r="J228" s="522"/>
      <c r="K228" s="522"/>
      <c r="L228" s="522"/>
      <c r="M228" s="522"/>
      <c r="N228" s="522"/>
      <c r="O228" s="522"/>
      <c r="P228" s="522"/>
      <c r="Q228" s="522"/>
      <c r="R228" s="522"/>
      <c r="S228" s="528">
        <v>1</v>
      </c>
      <c r="T228" s="579">
        <v>209</v>
      </c>
      <c r="U228" s="522"/>
      <c r="V228" s="582"/>
      <c r="W228" s="583"/>
      <c r="X228" s="512"/>
    </row>
    <row r="229" spans="1:25" s="513" customFormat="1" x14ac:dyDescent="0.3">
      <c r="A229" s="584"/>
      <c r="B229" s="522" t="s">
        <v>224</v>
      </c>
      <c r="C229" s="542"/>
      <c r="D229" s="542"/>
      <c r="E229" s="542"/>
      <c r="F229" s="585"/>
      <c r="G229" s="522"/>
      <c r="H229" s="522"/>
      <c r="I229" s="522"/>
      <c r="J229" s="522"/>
      <c r="K229" s="522"/>
      <c r="L229" s="522"/>
      <c r="M229" s="522"/>
      <c r="N229" s="522"/>
      <c r="O229" s="522"/>
      <c r="P229" s="522"/>
      <c r="Q229" s="522"/>
      <c r="R229" s="522"/>
      <c r="S229" s="522"/>
      <c r="T229" s="580">
        <v>14.9</v>
      </c>
      <c r="U229" s="522"/>
      <c r="V229" s="582"/>
      <c r="W229" s="583"/>
      <c r="X229" s="512"/>
    </row>
    <row r="230" spans="1:25" x14ac:dyDescent="0.3">
      <c r="A230" s="471"/>
      <c r="B230" s="477"/>
      <c r="C230" s="479"/>
      <c r="D230" s="479"/>
      <c r="E230" s="479"/>
      <c r="F230" s="480"/>
      <c r="G230" s="424"/>
      <c r="H230" s="424"/>
      <c r="I230" s="424"/>
      <c r="J230" s="424"/>
      <c r="K230" s="424"/>
      <c r="L230" s="424"/>
      <c r="M230" s="424"/>
      <c r="N230" s="424"/>
      <c r="O230" s="424"/>
      <c r="P230" s="424"/>
      <c r="Q230" s="424"/>
      <c r="R230" s="424"/>
      <c r="S230" s="421"/>
      <c r="T230" s="481"/>
      <c r="U230" s="424"/>
      <c r="V230" s="474"/>
      <c r="W230" s="478"/>
      <c r="X230" s="405"/>
    </row>
    <row r="231" spans="1:25" x14ac:dyDescent="0.3">
      <c r="A231" s="471"/>
      <c r="B231" s="477"/>
      <c r="C231" s="479"/>
      <c r="D231" s="479"/>
      <c r="E231" s="479"/>
      <c r="F231" s="480"/>
      <c r="G231" s="424"/>
      <c r="H231" s="424"/>
      <c r="I231" s="424"/>
      <c r="J231" s="424"/>
      <c r="K231" s="424"/>
      <c r="L231" s="424"/>
      <c r="M231" s="424"/>
      <c r="N231" s="424"/>
      <c r="O231" s="424"/>
      <c r="P231" s="424"/>
      <c r="Q231" s="424"/>
      <c r="R231" s="424"/>
      <c r="S231" s="424"/>
      <c r="T231" s="482"/>
      <c r="U231" s="424"/>
      <c r="V231" s="474"/>
      <c r="W231" s="478"/>
      <c r="X231" s="405"/>
    </row>
    <row r="232" spans="1:25" ht="18" x14ac:dyDescent="0.35">
      <c r="A232" s="471"/>
      <c r="B232" s="505" t="s">
        <v>174</v>
      </c>
      <c r="C232" s="479"/>
      <c r="D232" s="479"/>
      <c r="E232" s="479"/>
      <c r="F232" s="480"/>
      <c r="G232" s="424"/>
      <c r="H232" s="424"/>
      <c r="I232" s="424"/>
      <c r="J232" s="424"/>
      <c r="K232" s="424"/>
      <c r="L232" s="424"/>
      <c r="M232" s="424"/>
      <c r="N232" s="424"/>
      <c r="O232" s="424"/>
      <c r="P232" s="606" t="s">
        <v>349</v>
      </c>
      <c r="Q232" s="424"/>
      <c r="R232" s="424"/>
      <c r="S232" s="424"/>
      <c r="T232" s="482"/>
      <c r="U232" s="424"/>
      <c r="V232" s="474"/>
      <c r="W232" s="478"/>
      <c r="X232" s="405"/>
    </row>
    <row r="233" spans="1:25" x14ac:dyDescent="0.3">
      <c r="A233" s="469"/>
      <c r="B233" s="461"/>
      <c r="C233" s="483"/>
      <c r="D233" s="483"/>
      <c r="E233" s="483"/>
      <c r="F233" s="484"/>
      <c r="G233" s="429"/>
      <c r="H233" s="429"/>
      <c r="I233" s="429"/>
      <c r="J233" s="429"/>
      <c r="K233" s="429"/>
      <c r="L233" s="429"/>
      <c r="M233" s="429"/>
      <c r="N233" s="429"/>
      <c r="O233" s="429"/>
      <c r="P233" s="429"/>
      <c r="Q233" s="429"/>
      <c r="R233" s="429"/>
      <c r="S233" s="429"/>
      <c r="T233" s="485"/>
      <c r="U233" s="429"/>
      <c r="V233" s="462"/>
      <c r="W233" s="486"/>
      <c r="X233" s="405"/>
    </row>
    <row r="234" spans="1:25" x14ac:dyDescent="0.3">
      <c r="A234" s="418"/>
      <c r="B234" s="464" t="s">
        <v>361</v>
      </c>
      <c r="C234" s="465"/>
      <c r="D234" s="465"/>
      <c r="E234" s="465"/>
      <c r="F234" s="466"/>
      <c r="G234" s="465"/>
      <c r="H234" s="465"/>
      <c r="I234" s="465"/>
      <c r="J234" s="465"/>
      <c r="K234" s="465"/>
      <c r="L234" s="465"/>
      <c r="M234" s="465"/>
      <c r="N234" s="465"/>
      <c r="O234" s="465"/>
      <c r="P234" s="465"/>
      <c r="Q234" s="465"/>
      <c r="R234" s="466" t="s">
        <v>104</v>
      </c>
      <c r="S234" s="465" t="s">
        <v>105</v>
      </c>
      <c r="T234" s="466" t="s">
        <v>113</v>
      </c>
      <c r="U234" s="465" t="s">
        <v>105</v>
      </c>
      <c r="V234" s="467"/>
      <c r="W234" s="487"/>
      <c r="X234" s="405"/>
    </row>
    <row r="235" spans="1:25" s="513" customFormat="1" x14ac:dyDescent="0.3">
      <c r="A235" s="509"/>
      <c r="B235" s="567" t="s">
        <v>90</v>
      </c>
      <c r="C235" s="586"/>
      <c r="D235" s="586"/>
      <c r="E235" s="586"/>
      <c r="F235" s="552"/>
      <c r="G235" s="586"/>
      <c r="H235" s="586"/>
      <c r="I235" s="586"/>
      <c r="J235" s="586"/>
      <c r="K235" s="586"/>
      <c r="L235" s="586"/>
      <c r="M235" s="586"/>
      <c r="N235" s="586"/>
      <c r="O235" s="586"/>
      <c r="P235" s="586"/>
      <c r="Q235" s="586"/>
      <c r="R235" s="587">
        <f t="shared" ref="R235:R242" si="1">+R247+R259+R271</f>
        <v>5193</v>
      </c>
      <c r="S235" s="588">
        <f t="shared" ref="S235:S242" si="2">R235/$R$244</f>
        <v>0.98745008556759839</v>
      </c>
      <c r="T235" s="589">
        <f t="shared" ref="T235:T242" si="3">+T247+T259+T271</f>
        <v>677092</v>
      </c>
      <c r="U235" s="588">
        <f t="shared" ref="U235:U242" si="4">T235/$T$244</f>
        <v>0.97920661778529794</v>
      </c>
      <c r="V235" s="590"/>
      <c r="W235" s="591"/>
      <c r="X235" s="512"/>
    </row>
    <row r="236" spans="1:25" s="513" customFormat="1" x14ac:dyDescent="0.3">
      <c r="A236" s="521"/>
      <c r="B236" s="562" t="s">
        <v>91</v>
      </c>
      <c r="C236" s="592"/>
      <c r="D236" s="592"/>
      <c r="E236" s="592"/>
      <c r="F236" s="522"/>
      <c r="G236" s="593"/>
      <c r="H236" s="592"/>
      <c r="I236" s="592"/>
      <c r="J236" s="592"/>
      <c r="K236" s="592"/>
      <c r="L236" s="592"/>
      <c r="M236" s="592"/>
      <c r="N236" s="592"/>
      <c r="O236" s="592"/>
      <c r="P236" s="592"/>
      <c r="Q236" s="592"/>
      <c r="R236" s="562">
        <f t="shared" si="1"/>
        <v>33</v>
      </c>
      <c r="S236" s="593">
        <f t="shared" si="2"/>
        <v>6.2749572162007989E-3</v>
      </c>
      <c r="T236" s="563">
        <f t="shared" si="3"/>
        <v>5526</v>
      </c>
      <c r="U236" s="593">
        <f t="shared" si="4"/>
        <v>7.9916699206039315E-3</v>
      </c>
      <c r="V236" s="582"/>
      <c r="W236" s="583"/>
      <c r="X236" s="512"/>
      <c r="Y236" s="570"/>
    </row>
    <row r="237" spans="1:25" s="513" customFormat="1" x14ac:dyDescent="0.3">
      <c r="A237" s="521"/>
      <c r="B237" s="562" t="s">
        <v>92</v>
      </c>
      <c r="C237" s="592"/>
      <c r="D237" s="592"/>
      <c r="E237" s="592"/>
      <c r="F237" s="522"/>
      <c r="G237" s="593"/>
      <c r="H237" s="592"/>
      <c r="I237" s="592"/>
      <c r="J237" s="592"/>
      <c r="K237" s="592"/>
      <c r="L237" s="592"/>
      <c r="M237" s="592"/>
      <c r="N237" s="592"/>
      <c r="O237" s="592"/>
      <c r="P237" s="592"/>
      <c r="Q237" s="592"/>
      <c r="R237" s="562">
        <f t="shared" si="1"/>
        <v>9</v>
      </c>
      <c r="S237" s="593">
        <f t="shared" si="2"/>
        <v>1.7113519680547634E-3</v>
      </c>
      <c r="T237" s="563">
        <f t="shared" si="3"/>
        <v>4743</v>
      </c>
      <c r="U237" s="593">
        <f t="shared" si="4"/>
        <v>6.8592997527007682E-3</v>
      </c>
      <c r="V237" s="582"/>
      <c r="W237" s="583"/>
      <c r="X237" s="512"/>
    </row>
    <row r="238" spans="1:25" s="513" customFormat="1" x14ac:dyDescent="0.3">
      <c r="A238" s="521"/>
      <c r="B238" s="562" t="s">
        <v>161</v>
      </c>
      <c r="C238" s="592"/>
      <c r="D238" s="592"/>
      <c r="E238" s="592"/>
      <c r="F238" s="522"/>
      <c r="G238" s="593"/>
      <c r="H238" s="592"/>
      <c r="I238" s="592"/>
      <c r="J238" s="592"/>
      <c r="K238" s="592"/>
      <c r="L238" s="592"/>
      <c r="M238" s="592"/>
      <c r="N238" s="592"/>
      <c r="O238" s="592"/>
      <c r="P238" s="592"/>
      <c r="Q238" s="592"/>
      <c r="R238" s="562">
        <f t="shared" si="1"/>
        <v>19</v>
      </c>
      <c r="S238" s="593">
        <f t="shared" si="2"/>
        <v>3.6128541547822781E-3</v>
      </c>
      <c r="T238" s="563">
        <f t="shared" si="3"/>
        <v>3465</v>
      </c>
      <c r="U238" s="593">
        <f t="shared" si="4"/>
        <v>5.0110633866979042E-3</v>
      </c>
      <c r="V238" s="582"/>
      <c r="W238" s="583"/>
      <c r="X238" s="512"/>
      <c r="Y238" s="570"/>
    </row>
    <row r="239" spans="1:25" s="513" customFormat="1" x14ac:dyDescent="0.3">
      <c r="A239" s="521"/>
      <c r="B239" s="562" t="s">
        <v>162</v>
      </c>
      <c r="C239" s="592"/>
      <c r="D239" s="592"/>
      <c r="E239" s="592"/>
      <c r="F239" s="522"/>
      <c r="G239" s="593"/>
      <c r="H239" s="592"/>
      <c r="I239" s="592"/>
      <c r="J239" s="592"/>
      <c r="K239" s="592"/>
      <c r="L239" s="592"/>
      <c r="M239" s="592"/>
      <c r="N239" s="592"/>
      <c r="O239" s="592"/>
      <c r="P239" s="592"/>
      <c r="Q239" s="592"/>
      <c r="R239" s="562">
        <f t="shared" si="1"/>
        <v>2</v>
      </c>
      <c r="S239" s="593">
        <f t="shared" si="2"/>
        <v>3.8030043734550294E-4</v>
      </c>
      <c r="T239" s="563">
        <f t="shared" si="3"/>
        <v>493</v>
      </c>
      <c r="U239" s="593">
        <f t="shared" si="4"/>
        <v>7.1297380942050988E-4</v>
      </c>
      <c r="V239" s="582"/>
      <c r="W239" s="583"/>
      <c r="X239" s="512"/>
    </row>
    <row r="240" spans="1:25" s="513" customFormat="1" x14ac:dyDescent="0.3">
      <c r="A240" s="521"/>
      <c r="B240" s="562" t="s">
        <v>163</v>
      </c>
      <c r="C240" s="592"/>
      <c r="D240" s="592"/>
      <c r="E240" s="592"/>
      <c r="F240" s="522"/>
      <c r="G240" s="593"/>
      <c r="H240" s="592"/>
      <c r="I240" s="592"/>
      <c r="J240" s="592"/>
      <c r="K240" s="592"/>
      <c r="L240" s="592"/>
      <c r="M240" s="592"/>
      <c r="N240" s="592"/>
      <c r="O240" s="592"/>
      <c r="P240" s="592"/>
      <c r="Q240" s="592"/>
      <c r="R240" s="562">
        <f t="shared" si="1"/>
        <v>0</v>
      </c>
      <c r="S240" s="593">
        <f t="shared" si="2"/>
        <v>0</v>
      </c>
      <c r="T240" s="563">
        <f t="shared" si="3"/>
        <v>0</v>
      </c>
      <c r="U240" s="593">
        <f t="shared" si="4"/>
        <v>0</v>
      </c>
      <c r="V240" s="582"/>
      <c r="W240" s="583"/>
      <c r="X240" s="512"/>
      <c r="Y240" s="570"/>
    </row>
    <row r="241" spans="1:25" s="513" customFormat="1" x14ac:dyDescent="0.3">
      <c r="A241" s="521"/>
      <c r="B241" s="562" t="s">
        <v>164</v>
      </c>
      <c r="C241" s="592"/>
      <c r="D241" s="592"/>
      <c r="E241" s="592"/>
      <c r="F241" s="522"/>
      <c r="G241" s="593"/>
      <c r="H241" s="592"/>
      <c r="I241" s="592"/>
      <c r="J241" s="592"/>
      <c r="K241" s="592"/>
      <c r="L241" s="592"/>
      <c r="M241" s="592"/>
      <c r="N241" s="592"/>
      <c r="O241" s="592"/>
      <c r="P241" s="592"/>
      <c r="Q241" s="592"/>
      <c r="R241" s="562">
        <f t="shared" si="1"/>
        <v>3</v>
      </c>
      <c r="S241" s="593">
        <f t="shared" si="2"/>
        <v>5.7045065601825438E-4</v>
      </c>
      <c r="T241" s="563">
        <f t="shared" si="3"/>
        <v>151</v>
      </c>
      <c r="U241" s="593">
        <f t="shared" si="4"/>
        <v>2.1837534527889858E-4</v>
      </c>
      <c r="V241" s="582"/>
      <c r="W241" s="583"/>
      <c r="X241" s="512"/>
    </row>
    <row r="242" spans="1:25" s="513" customFormat="1" x14ac:dyDescent="0.3">
      <c r="A242" s="521"/>
      <c r="B242" s="562" t="s">
        <v>165</v>
      </c>
      <c r="C242" s="592"/>
      <c r="D242" s="592"/>
      <c r="E242" s="592"/>
      <c r="F242" s="522"/>
      <c r="G242" s="593"/>
      <c r="H242" s="592"/>
      <c r="I242" s="592"/>
      <c r="J242" s="592"/>
      <c r="K242" s="592"/>
      <c r="L242" s="592"/>
      <c r="M242" s="592"/>
      <c r="N242" s="592"/>
      <c r="O242" s="592"/>
      <c r="P242" s="592"/>
      <c r="Q242" s="592"/>
      <c r="R242" s="562">
        <f t="shared" si="1"/>
        <v>0</v>
      </c>
      <c r="S242" s="593">
        <f t="shared" si="2"/>
        <v>0</v>
      </c>
      <c r="T242" s="563">
        <f t="shared" si="3"/>
        <v>0</v>
      </c>
      <c r="U242" s="593">
        <f t="shared" si="4"/>
        <v>0</v>
      </c>
      <c r="V242" s="582"/>
      <c r="W242" s="583"/>
      <c r="X242" s="512"/>
      <c r="Y242" s="570"/>
    </row>
    <row r="243" spans="1:25" s="513" customFormat="1" x14ac:dyDescent="0.3">
      <c r="A243" s="521"/>
      <c r="B243" s="562"/>
      <c r="C243" s="592"/>
      <c r="D243" s="592"/>
      <c r="E243" s="592"/>
      <c r="F243" s="522"/>
      <c r="G243" s="593"/>
      <c r="H243" s="592"/>
      <c r="I243" s="592"/>
      <c r="J243" s="592"/>
      <c r="K243" s="592"/>
      <c r="L243" s="592"/>
      <c r="M243" s="592"/>
      <c r="N243" s="592"/>
      <c r="O243" s="592"/>
      <c r="P243" s="592"/>
      <c r="Q243" s="592"/>
      <c r="R243" s="562"/>
      <c r="S243" s="593"/>
      <c r="T243" s="563"/>
      <c r="U243" s="593"/>
      <c r="V243" s="582"/>
      <c r="W243" s="583"/>
      <c r="X243" s="512"/>
    </row>
    <row r="244" spans="1:25" s="513" customFormat="1" x14ac:dyDescent="0.3">
      <c r="A244" s="521"/>
      <c r="B244" s="522" t="s">
        <v>119</v>
      </c>
      <c r="C244" s="522"/>
      <c r="D244" s="522"/>
      <c r="E244" s="522"/>
      <c r="F244" s="522"/>
      <c r="G244" s="522"/>
      <c r="H244" s="594"/>
      <c r="I244" s="594"/>
      <c r="J244" s="594"/>
      <c r="K244" s="594"/>
      <c r="L244" s="594"/>
      <c r="M244" s="594"/>
      <c r="N244" s="594"/>
      <c r="O244" s="594"/>
      <c r="P244" s="594"/>
      <c r="Q244" s="594"/>
      <c r="R244" s="562">
        <f>SUM(R235:R243)</f>
        <v>5259</v>
      </c>
      <c r="S244" s="593">
        <f>SUM(S235:S243)</f>
        <v>0.99999999999999989</v>
      </c>
      <c r="T244" s="563">
        <f>SUM(T235:T243)</f>
        <v>691470</v>
      </c>
      <c r="U244" s="593">
        <f>SUM(U235:U243)</f>
        <v>0.99999999999999989</v>
      </c>
      <c r="V244" s="522"/>
      <c r="W244" s="524"/>
      <c r="X244" s="512"/>
    </row>
    <row r="245" spans="1:25" x14ac:dyDescent="0.3">
      <c r="A245" s="469"/>
      <c r="B245" s="461"/>
      <c r="C245" s="483"/>
      <c r="D245" s="483"/>
      <c r="E245" s="483"/>
      <c r="F245" s="484"/>
      <c r="G245" s="429"/>
      <c r="H245" s="429"/>
      <c r="I245" s="429"/>
      <c r="J245" s="429"/>
      <c r="K245" s="429"/>
      <c r="L245" s="429"/>
      <c r="M245" s="429"/>
      <c r="N245" s="429"/>
      <c r="O245" s="429"/>
      <c r="P245" s="429"/>
      <c r="Q245" s="429"/>
      <c r="R245" s="429"/>
      <c r="S245" s="429"/>
      <c r="T245" s="485"/>
      <c r="U245" s="429"/>
      <c r="V245" s="462"/>
      <c r="W245" s="486"/>
      <c r="X245" s="405"/>
    </row>
    <row r="246" spans="1:25" x14ac:dyDescent="0.3">
      <c r="A246" s="418"/>
      <c r="B246" s="464" t="s">
        <v>362</v>
      </c>
      <c r="C246" s="465"/>
      <c r="D246" s="465"/>
      <c r="E246" s="465"/>
      <c r="F246" s="466"/>
      <c r="G246" s="465"/>
      <c r="H246" s="465"/>
      <c r="I246" s="465"/>
      <c r="J246" s="465"/>
      <c r="K246" s="465"/>
      <c r="L246" s="465"/>
      <c r="M246" s="465"/>
      <c r="N246" s="465"/>
      <c r="O246" s="465"/>
      <c r="P246" s="465"/>
      <c r="Q246" s="465"/>
      <c r="R246" s="466" t="s">
        <v>104</v>
      </c>
      <c r="S246" s="465" t="s">
        <v>105</v>
      </c>
      <c r="T246" s="466" t="s">
        <v>113</v>
      </c>
      <c r="U246" s="465" t="s">
        <v>105</v>
      </c>
      <c r="V246" s="467"/>
      <c r="W246" s="487"/>
      <c r="X246" s="405"/>
    </row>
    <row r="247" spans="1:25" s="513" customFormat="1" x14ac:dyDescent="0.3">
      <c r="A247" s="509"/>
      <c r="B247" s="567" t="s">
        <v>90</v>
      </c>
      <c r="C247" s="586"/>
      <c r="D247" s="586"/>
      <c r="E247" s="586"/>
      <c r="F247" s="552"/>
      <c r="G247" s="586"/>
      <c r="H247" s="586"/>
      <c r="I247" s="586"/>
      <c r="J247" s="586"/>
      <c r="K247" s="586"/>
      <c r="L247" s="586"/>
      <c r="M247" s="586"/>
      <c r="N247" s="586"/>
      <c r="O247" s="586"/>
      <c r="P247" s="586"/>
      <c r="Q247" s="586"/>
      <c r="R247" s="567">
        <v>5119</v>
      </c>
      <c r="S247" s="595">
        <f t="shared" ref="S247:S254" si="5">R247/$R$256</f>
        <v>0.98822393822393817</v>
      </c>
      <c r="T247" s="596">
        <v>664742</v>
      </c>
      <c r="U247" s="595">
        <f t="shared" ref="U247:U254" si="6">T247/$T$256</f>
        <v>0.98000312543306412</v>
      </c>
      <c r="V247" s="590"/>
      <c r="W247" s="591"/>
      <c r="X247" s="512"/>
    </row>
    <row r="248" spans="1:25" s="513" customFormat="1" x14ac:dyDescent="0.3">
      <c r="A248" s="521"/>
      <c r="B248" s="562" t="s">
        <v>91</v>
      </c>
      <c r="C248" s="592"/>
      <c r="D248" s="592"/>
      <c r="E248" s="592"/>
      <c r="F248" s="522"/>
      <c r="G248" s="593"/>
      <c r="H248" s="592"/>
      <c r="I248" s="592"/>
      <c r="J248" s="592"/>
      <c r="K248" s="592"/>
      <c r="L248" s="592"/>
      <c r="M248" s="592"/>
      <c r="N248" s="592"/>
      <c r="O248" s="592"/>
      <c r="P248" s="592"/>
      <c r="Q248" s="592"/>
      <c r="R248" s="562">
        <v>32</v>
      </c>
      <c r="S248" s="593">
        <f t="shared" si="5"/>
        <v>6.1776061776061776E-3</v>
      </c>
      <c r="T248" s="563">
        <v>5470</v>
      </c>
      <c r="U248" s="593">
        <f t="shared" si="6"/>
        <v>8.0642070098156295E-3</v>
      </c>
      <c r="V248" s="582"/>
      <c r="W248" s="583"/>
      <c r="X248" s="512"/>
      <c r="Y248" s="570"/>
    </row>
    <row r="249" spans="1:25" s="513" customFormat="1" x14ac:dyDescent="0.3">
      <c r="A249" s="521"/>
      <c r="B249" s="562" t="s">
        <v>92</v>
      </c>
      <c r="C249" s="592"/>
      <c r="D249" s="592"/>
      <c r="E249" s="592"/>
      <c r="F249" s="522"/>
      <c r="G249" s="593"/>
      <c r="H249" s="592"/>
      <c r="I249" s="592"/>
      <c r="J249" s="592"/>
      <c r="K249" s="592"/>
      <c r="L249" s="592"/>
      <c r="M249" s="592"/>
      <c r="N249" s="592"/>
      <c r="O249" s="592"/>
      <c r="P249" s="592"/>
      <c r="Q249" s="592"/>
      <c r="R249" s="562">
        <v>8</v>
      </c>
      <c r="S249" s="593">
        <f t="shared" si="5"/>
        <v>1.5444015444015444E-3</v>
      </c>
      <c r="T249" s="563">
        <v>4263</v>
      </c>
      <c r="U249" s="593">
        <f t="shared" si="6"/>
        <v>6.2847741284906816E-3</v>
      </c>
      <c r="V249" s="582"/>
      <c r="W249" s="583"/>
      <c r="X249" s="512"/>
    </row>
    <row r="250" spans="1:25" s="513" customFormat="1" x14ac:dyDescent="0.3">
      <c r="A250" s="521"/>
      <c r="B250" s="562" t="s">
        <v>161</v>
      </c>
      <c r="C250" s="592"/>
      <c r="D250" s="592"/>
      <c r="E250" s="592"/>
      <c r="F250" s="522"/>
      <c r="G250" s="593"/>
      <c r="H250" s="592"/>
      <c r="I250" s="592"/>
      <c r="J250" s="592"/>
      <c r="K250" s="592"/>
      <c r="L250" s="592"/>
      <c r="M250" s="592"/>
      <c r="N250" s="592"/>
      <c r="O250" s="592"/>
      <c r="P250" s="592"/>
      <c r="Q250" s="592"/>
      <c r="R250" s="562">
        <v>18</v>
      </c>
      <c r="S250" s="593">
        <f t="shared" si="5"/>
        <v>3.4749034749034747E-3</v>
      </c>
      <c r="T250" s="563">
        <v>3290</v>
      </c>
      <c r="U250" s="593">
        <f t="shared" si="6"/>
        <v>4.8503182929238425E-3</v>
      </c>
      <c r="V250" s="582"/>
      <c r="W250" s="583"/>
      <c r="X250" s="512"/>
      <c r="Y250" s="570"/>
    </row>
    <row r="251" spans="1:25" s="513" customFormat="1" x14ac:dyDescent="0.3">
      <c r="A251" s="521"/>
      <c r="B251" s="562" t="s">
        <v>162</v>
      </c>
      <c r="C251" s="592"/>
      <c r="D251" s="592"/>
      <c r="E251" s="592"/>
      <c r="F251" s="522"/>
      <c r="G251" s="593"/>
      <c r="H251" s="592"/>
      <c r="I251" s="592"/>
      <c r="J251" s="592"/>
      <c r="K251" s="592"/>
      <c r="L251" s="592"/>
      <c r="M251" s="592"/>
      <c r="N251" s="592"/>
      <c r="O251" s="592"/>
      <c r="P251" s="592"/>
      <c r="Q251" s="592"/>
      <c r="R251" s="562">
        <v>2</v>
      </c>
      <c r="S251" s="593">
        <f t="shared" si="5"/>
        <v>3.861003861003861E-4</v>
      </c>
      <c r="T251" s="563">
        <v>493</v>
      </c>
      <c r="U251" s="593">
        <f t="shared" si="6"/>
        <v>7.2681061349892228E-4</v>
      </c>
      <c r="V251" s="582"/>
      <c r="W251" s="583"/>
      <c r="X251" s="512"/>
    </row>
    <row r="252" spans="1:25" s="513" customFormat="1" x14ac:dyDescent="0.3">
      <c r="A252" s="521"/>
      <c r="B252" s="562" t="s">
        <v>163</v>
      </c>
      <c r="C252" s="592"/>
      <c r="D252" s="592"/>
      <c r="E252" s="592"/>
      <c r="F252" s="522"/>
      <c r="G252" s="593"/>
      <c r="H252" s="592"/>
      <c r="I252" s="592"/>
      <c r="J252" s="592"/>
      <c r="K252" s="592"/>
      <c r="L252" s="592"/>
      <c r="M252" s="592"/>
      <c r="N252" s="592"/>
      <c r="O252" s="592"/>
      <c r="P252" s="592"/>
      <c r="Q252" s="592"/>
      <c r="R252" s="562">
        <v>0</v>
      </c>
      <c r="S252" s="593">
        <f t="shared" si="5"/>
        <v>0</v>
      </c>
      <c r="T252" s="563">
        <v>0</v>
      </c>
      <c r="U252" s="593">
        <f t="shared" si="6"/>
        <v>0</v>
      </c>
      <c r="V252" s="582"/>
      <c r="W252" s="583"/>
      <c r="X252" s="512"/>
      <c r="Y252" s="570"/>
    </row>
    <row r="253" spans="1:25" s="513" customFormat="1" x14ac:dyDescent="0.3">
      <c r="A253" s="521"/>
      <c r="B253" s="562" t="s">
        <v>164</v>
      </c>
      <c r="C253" s="592"/>
      <c r="D253" s="592"/>
      <c r="E253" s="592"/>
      <c r="F253" s="522"/>
      <c r="G253" s="593"/>
      <c r="H253" s="592"/>
      <c r="I253" s="592"/>
      <c r="J253" s="592"/>
      <c r="K253" s="592"/>
      <c r="L253" s="592"/>
      <c r="M253" s="592"/>
      <c r="N253" s="592"/>
      <c r="O253" s="592"/>
      <c r="P253" s="592"/>
      <c r="Q253" s="592"/>
      <c r="R253" s="562">
        <v>1</v>
      </c>
      <c r="S253" s="593">
        <f t="shared" si="5"/>
        <v>1.9305019305019305E-4</v>
      </c>
      <c r="T253" s="563">
        <v>48</v>
      </c>
      <c r="U253" s="593">
        <f t="shared" si="6"/>
        <v>7.0764522206791619E-5</v>
      </c>
      <c r="V253" s="582"/>
      <c r="W253" s="583"/>
      <c r="X253" s="512"/>
    </row>
    <row r="254" spans="1:25" s="513" customFormat="1" x14ac:dyDescent="0.3">
      <c r="A254" s="521"/>
      <c r="B254" s="562" t="s">
        <v>165</v>
      </c>
      <c r="C254" s="592"/>
      <c r="D254" s="592"/>
      <c r="E254" s="592"/>
      <c r="F254" s="522"/>
      <c r="G254" s="593"/>
      <c r="H254" s="592"/>
      <c r="I254" s="592"/>
      <c r="J254" s="592"/>
      <c r="K254" s="592"/>
      <c r="L254" s="592"/>
      <c r="M254" s="592"/>
      <c r="N254" s="592"/>
      <c r="O254" s="592"/>
      <c r="P254" s="592"/>
      <c r="Q254" s="592"/>
      <c r="R254" s="562">
        <v>0</v>
      </c>
      <c r="S254" s="593">
        <f t="shared" si="5"/>
        <v>0</v>
      </c>
      <c r="T254" s="563">
        <v>0</v>
      </c>
      <c r="U254" s="593">
        <f t="shared" si="6"/>
        <v>0</v>
      </c>
      <c r="V254" s="582"/>
      <c r="W254" s="583"/>
      <c r="X254" s="512"/>
      <c r="Y254" s="570"/>
    </row>
    <row r="255" spans="1:25" s="513" customFormat="1" x14ac:dyDescent="0.3">
      <c r="A255" s="521"/>
      <c r="B255" s="562"/>
      <c r="C255" s="592"/>
      <c r="D255" s="592"/>
      <c r="E255" s="592"/>
      <c r="F255" s="522"/>
      <c r="G255" s="593"/>
      <c r="H255" s="592"/>
      <c r="I255" s="592"/>
      <c r="J255" s="592"/>
      <c r="K255" s="592"/>
      <c r="L255" s="592"/>
      <c r="M255" s="592"/>
      <c r="N255" s="592"/>
      <c r="O255" s="592"/>
      <c r="P255" s="592"/>
      <c r="Q255" s="592"/>
      <c r="R255" s="562"/>
      <c r="S255" s="593"/>
      <c r="T255" s="563"/>
      <c r="U255" s="593"/>
      <c r="V255" s="582"/>
      <c r="W255" s="583"/>
      <c r="X255" s="512"/>
    </row>
    <row r="256" spans="1:25" s="513" customFormat="1" x14ac:dyDescent="0.3">
      <c r="A256" s="521"/>
      <c r="B256" s="522" t="s">
        <v>119</v>
      </c>
      <c r="C256" s="522"/>
      <c r="D256" s="522"/>
      <c r="E256" s="522"/>
      <c r="F256" s="522"/>
      <c r="G256" s="522"/>
      <c r="H256" s="594"/>
      <c r="I256" s="594"/>
      <c r="J256" s="594"/>
      <c r="K256" s="594"/>
      <c r="L256" s="594"/>
      <c r="M256" s="594"/>
      <c r="N256" s="594"/>
      <c r="O256" s="594"/>
      <c r="P256" s="594"/>
      <c r="Q256" s="594"/>
      <c r="R256" s="562">
        <f>SUM(R247:R255)</f>
        <v>5180</v>
      </c>
      <c r="S256" s="593">
        <f>SUM(S247:S255)</f>
        <v>0.99999999999999989</v>
      </c>
      <c r="T256" s="563">
        <f>SUM(T247:T255)</f>
        <v>678306</v>
      </c>
      <c r="U256" s="593">
        <f>SUM(U247:U255)</f>
        <v>0.99999999999999989</v>
      </c>
      <c r="V256" s="522"/>
      <c r="W256" s="524"/>
      <c r="X256" s="512"/>
    </row>
    <row r="257" spans="1:24" x14ac:dyDescent="0.3">
      <c r="A257" s="407"/>
      <c r="B257" s="429"/>
      <c r="C257" s="429"/>
      <c r="D257" s="429"/>
      <c r="E257" s="429"/>
      <c r="F257" s="429"/>
      <c r="G257" s="429"/>
      <c r="H257" s="488"/>
      <c r="I257" s="488"/>
      <c r="J257" s="488"/>
      <c r="K257" s="488"/>
      <c r="L257" s="488"/>
      <c r="M257" s="488"/>
      <c r="N257" s="488"/>
      <c r="O257" s="488"/>
      <c r="P257" s="488"/>
      <c r="Q257" s="488"/>
      <c r="R257" s="435"/>
      <c r="S257" s="489"/>
      <c r="T257" s="490"/>
      <c r="U257" s="489"/>
      <c r="V257" s="429"/>
      <c r="W257" s="429"/>
      <c r="X257" s="405"/>
    </row>
    <row r="258" spans="1:24" x14ac:dyDescent="0.3">
      <c r="A258" s="418"/>
      <c r="B258" s="464" t="s">
        <v>283</v>
      </c>
      <c r="C258" s="465"/>
      <c r="D258" s="465"/>
      <c r="E258" s="465"/>
      <c r="F258" s="466"/>
      <c r="G258" s="465"/>
      <c r="H258" s="465"/>
      <c r="I258" s="465"/>
      <c r="J258" s="465"/>
      <c r="K258" s="465"/>
      <c r="L258" s="465"/>
      <c r="M258" s="465"/>
      <c r="N258" s="465"/>
      <c r="O258" s="465"/>
      <c r="P258" s="465"/>
      <c r="Q258" s="465"/>
      <c r="R258" s="466" t="s">
        <v>104</v>
      </c>
      <c r="S258" s="465" t="s">
        <v>105</v>
      </c>
      <c r="T258" s="466" t="s">
        <v>113</v>
      </c>
      <c r="U258" s="465" t="s">
        <v>105</v>
      </c>
      <c r="V258" s="467"/>
      <c r="W258" s="468"/>
      <c r="X258" s="405"/>
    </row>
    <row r="259" spans="1:24" s="513" customFormat="1" x14ac:dyDescent="0.3">
      <c r="A259" s="509"/>
      <c r="B259" s="567" t="s">
        <v>90</v>
      </c>
      <c r="C259" s="586"/>
      <c r="D259" s="586"/>
      <c r="E259" s="586"/>
      <c r="F259" s="552"/>
      <c r="G259" s="586"/>
      <c r="H259" s="586"/>
      <c r="I259" s="586"/>
      <c r="J259" s="586"/>
      <c r="K259" s="586"/>
      <c r="L259" s="586"/>
      <c r="M259" s="586"/>
      <c r="N259" s="586"/>
      <c r="O259" s="586"/>
      <c r="P259" s="586"/>
      <c r="Q259" s="586"/>
      <c r="R259" s="567">
        <v>74</v>
      </c>
      <c r="S259" s="595">
        <f t="shared" ref="S259:S266" si="7">R259/$R$268</f>
        <v>0.93670886075949367</v>
      </c>
      <c r="T259" s="596">
        <v>12350</v>
      </c>
      <c r="U259" s="595">
        <f t="shared" ref="U259:U266" si="8">T259/$T$268</f>
        <v>0.93816469158310545</v>
      </c>
      <c r="V259" s="552"/>
      <c r="W259" s="552"/>
      <c r="X259" s="512"/>
    </row>
    <row r="260" spans="1:24" s="513" customFormat="1" x14ac:dyDescent="0.3">
      <c r="A260" s="521"/>
      <c r="B260" s="562" t="s">
        <v>91</v>
      </c>
      <c r="C260" s="592"/>
      <c r="D260" s="592"/>
      <c r="E260" s="592"/>
      <c r="F260" s="522"/>
      <c r="G260" s="593"/>
      <c r="H260" s="592"/>
      <c r="I260" s="592"/>
      <c r="J260" s="592"/>
      <c r="K260" s="592"/>
      <c r="L260" s="592"/>
      <c r="M260" s="592"/>
      <c r="N260" s="592"/>
      <c r="O260" s="592"/>
      <c r="P260" s="592"/>
      <c r="Q260" s="592"/>
      <c r="R260" s="562">
        <v>1</v>
      </c>
      <c r="S260" s="593">
        <f t="shared" si="7"/>
        <v>1.2658227848101266E-2</v>
      </c>
      <c r="T260" s="563">
        <v>56</v>
      </c>
      <c r="U260" s="593">
        <f t="shared" si="8"/>
        <v>4.2540261318748098E-3</v>
      </c>
      <c r="V260" s="522"/>
      <c r="W260" s="524"/>
      <c r="X260" s="512"/>
    </row>
    <row r="261" spans="1:24" s="513" customFormat="1" x14ac:dyDescent="0.3">
      <c r="A261" s="521"/>
      <c r="B261" s="562" t="s">
        <v>92</v>
      </c>
      <c r="C261" s="592"/>
      <c r="D261" s="592"/>
      <c r="E261" s="592"/>
      <c r="F261" s="522"/>
      <c r="G261" s="593"/>
      <c r="H261" s="592"/>
      <c r="I261" s="592"/>
      <c r="J261" s="592"/>
      <c r="K261" s="592"/>
      <c r="L261" s="592"/>
      <c r="M261" s="592"/>
      <c r="N261" s="592"/>
      <c r="O261" s="592"/>
      <c r="P261" s="592"/>
      <c r="Q261" s="592"/>
      <c r="R261" s="562">
        <v>1</v>
      </c>
      <c r="S261" s="593">
        <f t="shared" si="7"/>
        <v>1.2658227848101266E-2</v>
      </c>
      <c r="T261" s="563">
        <v>480</v>
      </c>
      <c r="U261" s="593">
        <f t="shared" si="8"/>
        <v>3.6463081130355512E-2</v>
      </c>
      <c r="V261" s="522"/>
      <c r="W261" s="524"/>
      <c r="X261" s="512"/>
    </row>
    <row r="262" spans="1:24" s="513" customFormat="1" x14ac:dyDescent="0.3">
      <c r="A262" s="521"/>
      <c r="B262" s="562" t="s">
        <v>161</v>
      </c>
      <c r="C262" s="592"/>
      <c r="D262" s="592"/>
      <c r="E262" s="592"/>
      <c r="F262" s="522"/>
      <c r="G262" s="593"/>
      <c r="H262" s="592"/>
      <c r="I262" s="592"/>
      <c r="J262" s="592"/>
      <c r="K262" s="592"/>
      <c r="L262" s="592"/>
      <c r="M262" s="592"/>
      <c r="N262" s="592"/>
      <c r="O262" s="592"/>
      <c r="P262" s="592"/>
      <c r="Q262" s="592"/>
      <c r="R262" s="562">
        <v>1</v>
      </c>
      <c r="S262" s="593">
        <f t="shared" si="7"/>
        <v>1.2658227848101266E-2</v>
      </c>
      <c r="T262" s="563">
        <v>175</v>
      </c>
      <c r="U262" s="593">
        <f t="shared" si="8"/>
        <v>1.3293831662108782E-2</v>
      </c>
      <c r="V262" s="522"/>
      <c r="W262" s="524"/>
      <c r="X262" s="512"/>
    </row>
    <row r="263" spans="1:24" s="513" customFormat="1" x14ac:dyDescent="0.3">
      <c r="A263" s="521"/>
      <c r="B263" s="562" t="s">
        <v>162</v>
      </c>
      <c r="C263" s="592"/>
      <c r="D263" s="592"/>
      <c r="E263" s="592"/>
      <c r="F263" s="522"/>
      <c r="G263" s="593"/>
      <c r="H263" s="592"/>
      <c r="I263" s="592"/>
      <c r="J263" s="592"/>
      <c r="K263" s="592"/>
      <c r="L263" s="592"/>
      <c r="M263" s="592"/>
      <c r="N263" s="592"/>
      <c r="O263" s="592"/>
      <c r="P263" s="592"/>
      <c r="Q263" s="592"/>
      <c r="R263" s="562">
        <v>0</v>
      </c>
      <c r="S263" s="593">
        <f t="shared" si="7"/>
        <v>0</v>
      </c>
      <c r="T263" s="563">
        <v>0</v>
      </c>
      <c r="U263" s="593">
        <f t="shared" si="8"/>
        <v>0</v>
      </c>
      <c r="V263" s="522"/>
      <c r="W263" s="524"/>
      <c r="X263" s="512"/>
    </row>
    <row r="264" spans="1:24" s="513" customFormat="1" x14ac:dyDescent="0.3">
      <c r="A264" s="521"/>
      <c r="B264" s="562" t="s">
        <v>163</v>
      </c>
      <c r="C264" s="592"/>
      <c r="D264" s="592"/>
      <c r="E264" s="592"/>
      <c r="F264" s="522"/>
      <c r="G264" s="593"/>
      <c r="H264" s="592"/>
      <c r="I264" s="592"/>
      <c r="J264" s="592"/>
      <c r="K264" s="592"/>
      <c r="L264" s="592"/>
      <c r="M264" s="592"/>
      <c r="N264" s="592"/>
      <c r="O264" s="592"/>
      <c r="P264" s="592"/>
      <c r="Q264" s="592"/>
      <c r="R264" s="562">
        <v>0</v>
      </c>
      <c r="S264" s="593">
        <f t="shared" si="7"/>
        <v>0</v>
      </c>
      <c r="T264" s="563">
        <v>0</v>
      </c>
      <c r="U264" s="593">
        <f t="shared" si="8"/>
        <v>0</v>
      </c>
      <c r="V264" s="522"/>
      <c r="W264" s="524"/>
      <c r="X264" s="512"/>
    </row>
    <row r="265" spans="1:24" s="513" customFormat="1" x14ac:dyDescent="0.3">
      <c r="A265" s="521"/>
      <c r="B265" s="562" t="s">
        <v>164</v>
      </c>
      <c r="C265" s="592"/>
      <c r="D265" s="592"/>
      <c r="E265" s="592"/>
      <c r="F265" s="522"/>
      <c r="G265" s="593"/>
      <c r="H265" s="592"/>
      <c r="I265" s="592"/>
      <c r="J265" s="592"/>
      <c r="K265" s="592"/>
      <c r="L265" s="592"/>
      <c r="M265" s="592"/>
      <c r="N265" s="592"/>
      <c r="O265" s="592"/>
      <c r="P265" s="592"/>
      <c r="Q265" s="592"/>
      <c r="R265" s="562">
        <v>2</v>
      </c>
      <c r="S265" s="593">
        <f t="shared" si="7"/>
        <v>2.5316455696202531E-2</v>
      </c>
      <c r="T265" s="563">
        <v>103</v>
      </c>
      <c r="U265" s="593">
        <f t="shared" si="8"/>
        <v>7.8243694925554542E-3</v>
      </c>
      <c r="V265" s="522"/>
      <c r="W265" s="524"/>
      <c r="X265" s="512"/>
    </row>
    <row r="266" spans="1:24" s="513" customFormat="1" x14ac:dyDescent="0.3">
      <c r="A266" s="521"/>
      <c r="B266" s="562" t="s">
        <v>165</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4" s="513" customFormat="1" x14ac:dyDescent="0.3">
      <c r="A267" s="521"/>
      <c r="B267" s="562"/>
      <c r="C267" s="592"/>
      <c r="D267" s="592"/>
      <c r="E267" s="592"/>
      <c r="F267" s="522"/>
      <c r="G267" s="593"/>
      <c r="H267" s="592"/>
      <c r="I267" s="592"/>
      <c r="J267" s="592"/>
      <c r="K267" s="592"/>
      <c r="L267" s="592"/>
      <c r="M267" s="592"/>
      <c r="N267" s="592"/>
      <c r="O267" s="592"/>
      <c r="P267" s="592"/>
      <c r="Q267" s="592"/>
      <c r="R267" s="562"/>
      <c r="S267" s="593"/>
      <c r="T267" s="563"/>
      <c r="U267" s="593"/>
      <c r="V267" s="522"/>
      <c r="W267" s="524"/>
      <c r="X267" s="512"/>
    </row>
    <row r="268" spans="1:24" s="513" customFormat="1" x14ac:dyDescent="0.3">
      <c r="A268" s="521"/>
      <c r="B268" s="522" t="s">
        <v>119</v>
      </c>
      <c r="C268" s="522"/>
      <c r="D268" s="522"/>
      <c r="E268" s="522"/>
      <c r="F268" s="522"/>
      <c r="G268" s="522"/>
      <c r="H268" s="594"/>
      <c r="I268" s="594"/>
      <c r="J268" s="594"/>
      <c r="K268" s="594"/>
      <c r="L268" s="594"/>
      <c r="M268" s="594"/>
      <c r="N268" s="594"/>
      <c r="O268" s="594"/>
      <c r="P268" s="594"/>
      <c r="Q268" s="594"/>
      <c r="R268" s="562">
        <f>SUM(R259:R267)</f>
        <v>79</v>
      </c>
      <c r="S268" s="593">
        <f>SUM(S259:S267)</f>
        <v>0.99999999999999989</v>
      </c>
      <c r="T268" s="563">
        <f>SUM(T259:T267)</f>
        <v>13164</v>
      </c>
      <c r="U268" s="593">
        <f>SUM(U259:U267)</f>
        <v>1</v>
      </c>
      <c r="V268" s="522"/>
      <c r="W268" s="524"/>
      <c r="X268" s="512"/>
    </row>
    <row r="269" spans="1:24" x14ac:dyDescent="0.3">
      <c r="A269" s="407"/>
      <c r="B269" s="429"/>
      <c r="C269" s="429"/>
      <c r="D269" s="429"/>
      <c r="E269" s="429"/>
      <c r="F269" s="429"/>
      <c r="G269" s="429"/>
      <c r="H269" s="488"/>
      <c r="I269" s="488"/>
      <c r="J269" s="488"/>
      <c r="K269" s="488"/>
      <c r="L269" s="488"/>
      <c r="M269" s="488"/>
      <c r="N269" s="488"/>
      <c r="O269" s="488"/>
      <c r="P269" s="488"/>
      <c r="Q269" s="488"/>
      <c r="R269" s="435"/>
      <c r="S269" s="489"/>
      <c r="T269" s="490"/>
      <c r="U269" s="489"/>
      <c r="V269" s="429"/>
      <c r="W269" s="429"/>
      <c r="X269" s="405"/>
    </row>
    <row r="270" spans="1:24" x14ac:dyDescent="0.3">
      <c r="A270" s="418"/>
      <c r="B270" s="464" t="s">
        <v>169</v>
      </c>
      <c r="C270" s="467"/>
      <c r="D270" s="467"/>
      <c r="E270" s="467"/>
      <c r="F270" s="467"/>
      <c r="G270" s="467"/>
      <c r="H270" s="491"/>
      <c r="I270" s="491"/>
      <c r="J270" s="491"/>
      <c r="K270" s="491"/>
      <c r="L270" s="491"/>
      <c r="M270" s="491"/>
      <c r="N270" s="491"/>
      <c r="O270" s="491"/>
      <c r="P270" s="491"/>
      <c r="Q270" s="491"/>
      <c r="R270" s="466" t="s">
        <v>104</v>
      </c>
      <c r="S270" s="465" t="s">
        <v>105</v>
      </c>
      <c r="T270" s="466" t="s">
        <v>113</v>
      </c>
      <c r="U270" s="465" t="s">
        <v>105</v>
      </c>
      <c r="V270" s="467"/>
      <c r="W270" s="468"/>
      <c r="X270" s="405"/>
    </row>
    <row r="271" spans="1:24" s="513" customFormat="1" x14ac:dyDescent="0.3">
      <c r="A271" s="509"/>
      <c r="B271" s="567" t="s">
        <v>90</v>
      </c>
      <c r="C271" s="552"/>
      <c r="D271" s="552"/>
      <c r="E271" s="552"/>
      <c r="F271" s="552"/>
      <c r="G271" s="552"/>
      <c r="H271" s="597"/>
      <c r="I271" s="597"/>
      <c r="J271" s="597"/>
      <c r="K271" s="597"/>
      <c r="L271" s="597"/>
      <c r="M271" s="597"/>
      <c r="N271" s="597"/>
      <c r="O271" s="597"/>
      <c r="P271" s="597"/>
      <c r="Q271" s="597"/>
      <c r="R271" s="567">
        <v>0</v>
      </c>
      <c r="S271" s="595">
        <v>0</v>
      </c>
      <c r="T271" s="596">
        <v>0</v>
      </c>
      <c r="U271" s="595">
        <v>0</v>
      </c>
      <c r="V271" s="552"/>
      <c r="W271" s="552"/>
      <c r="X271" s="512"/>
    </row>
    <row r="272" spans="1:24" s="513" customFormat="1" x14ac:dyDescent="0.3">
      <c r="A272" s="521"/>
      <c r="B272" s="562" t="s">
        <v>91</v>
      </c>
      <c r="C272" s="522"/>
      <c r="D272" s="522"/>
      <c r="E272" s="522"/>
      <c r="F272" s="522"/>
      <c r="G272" s="522"/>
      <c r="H272" s="594"/>
      <c r="I272" s="594"/>
      <c r="J272" s="594"/>
      <c r="K272" s="594"/>
      <c r="L272" s="594"/>
      <c r="M272" s="594"/>
      <c r="N272" s="594"/>
      <c r="O272" s="594"/>
      <c r="P272" s="594"/>
      <c r="Q272" s="594"/>
      <c r="R272" s="562">
        <v>0</v>
      </c>
      <c r="S272" s="593">
        <v>0</v>
      </c>
      <c r="T272" s="563">
        <v>0</v>
      </c>
      <c r="U272" s="593">
        <v>0</v>
      </c>
      <c r="V272" s="522"/>
      <c r="W272" s="524"/>
      <c r="X272" s="512"/>
    </row>
    <row r="273" spans="1:24" s="513" customFormat="1" x14ac:dyDescent="0.3">
      <c r="A273" s="521"/>
      <c r="B273" s="562" t="s">
        <v>92</v>
      </c>
      <c r="C273" s="522"/>
      <c r="D273" s="522"/>
      <c r="E273" s="522"/>
      <c r="F273" s="522"/>
      <c r="G273" s="522"/>
      <c r="H273" s="594"/>
      <c r="I273" s="594"/>
      <c r="J273" s="594"/>
      <c r="K273" s="594"/>
      <c r="L273" s="594"/>
      <c r="M273" s="594"/>
      <c r="N273" s="594"/>
      <c r="O273" s="594"/>
      <c r="P273" s="594"/>
      <c r="Q273" s="594"/>
      <c r="R273" s="562">
        <v>0</v>
      </c>
      <c r="S273" s="593">
        <v>0</v>
      </c>
      <c r="T273" s="563">
        <v>0</v>
      </c>
      <c r="U273" s="593">
        <v>0</v>
      </c>
      <c r="V273" s="522"/>
      <c r="W273" s="524"/>
      <c r="X273" s="512"/>
    </row>
    <row r="274" spans="1:24" s="513" customFormat="1" x14ac:dyDescent="0.3">
      <c r="A274" s="521"/>
      <c r="B274" s="562" t="s">
        <v>161</v>
      </c>
      <c r="C274" s="522"/>
      <c r="D274" s="522"/>
      <c r="E274" s="522"/>
      <c r="F274" s="522"/>
      <c r="G274" s="522"/>
      <c r="H274" s="594"/>
      <c r="I274" s="594"/>
      <c r="J274" s="594"/>
      <c r="K274" s="594"/>
      <c r="L274" s="594"/>
      <c r="M274" s="594"/>
      <c r="N274" s="594"/>
      <c r="O274" s="594"/>
      <c r="P274" s="594"/>
      <c r="Q274" s="594"/>
      <c r="R274" s="562">
        <v>0</v>
      </c>
      <c r="S274" s="593">
        <v>0</v>
      </c>
      <c r="T274" s="563">
        <v>0</v>
      </c>
      <c r="U274" s="593">
        <v>0</v>
      </c>
      <c r="V274" s="522"/>
      <c r="W274" s="524"/>
      <c r="X274" s="512"/>
    </row>
    <row r="275" spans="1:24" s="513" customFormat="1" x14ac:dyDescent="0.3">
      <c r="A275" s="521"/>
      <c r="B275" s="562" t="s">
        <v>162</v>
      </c>
      <c r="C275" s="522"/>
      <c r="D275" s="522"/>
      <c r="E275" s="522"/>
      <c r="F275" s="522"/>
      <c r="G275" s="522"/>
      <c r="H275" s="594"/>
      <c r="I275" s="594"/>
      <c r="J275" s="594"/>
      <c r="K275" s="594"/>
      <c r="L275" s="594"/>
      <c r="M275" s="594"/>
      <c r="N275" s="594"/>
      <c r="O275" s="594"/>
      <c r="P275" s="594"/>
      <c r="Q275" s="594"/>
      <c r="R275" s="562">
        <v>0</v>
      </c>
      <c r="S275" s="593">
        <v>0</v>
      </c>
      <c r="T275" s="563">
        <v>0</v>
      </c>
      <c r="U275" s="593">
        <v>0</v>
      </c>
      <c r="V275" s="522"/>
      <c r="W275" s="524"/>
      <c r="X275" s="512"/>
    </row>
    <row r="276" spans="1:24" s="513" customFormat="1" x14ac:dyDescent="0.3">
      <c r="A276" s="521"/>
      <c r="B276" s="562" t="s">
        <v>163</v>
      </c>
      <c r="C276" s="522"/>
      <c r="D276" s="522"/>
      <c r="E276" s="522"/>
      <c r="F276" s="522"/>
      <c r="G276" s="522"/>
      <c r="H276" s="594"/>
      <c r="I276" s="594"/>
      <c r="J276" s="594"/>
      <c r="K276" s="594"/>
      <c r="L276" s="594"/>
      <c r="M276" s="594"/>
      <c r="N276" s="594"/>
      <c r="O276" s="594"/>
      <c r="P276" s="594"/>
      <c r="Q276" s="594"/>
      <c r="R276" s="562">
        <v>0</v>
      </c>
      <c r="S276" s="593">
        <v>0</v>
      </c>
      <c r="T276" s="563">
        <v>0</v>
      </c>
      <c r="U276" s="593">
        <v>0</v>
      </c>
      <c r="V276" s="522"/>
      <c r="W276" s="524"/>
      <c r="X276" s="512"/>
    </row>
    <row r="277" spans="1:24" s="513" customFormat="1" x14ac:dyDescent="0.3">
      <c r="A277" s="521"/>
      <c r="B277" s="562" t="s">
        <v>164</v>
      </c>
      <c r="C277" s="522"/>
      <c r="D277" s="522"/>
      <c r="E277" s="522"/>
      <c r="F277" s="522"/>
      <c r="G277" s="522"/>
      <c r="H277" s="594"/>
      <c r="I277" s="594"/>
      <c r="J277" s="594"/>
      <c r="K277" s="594"/>
      <c r="L277" s="594"/>
      <c r="M277" s="594"/>
      <c r="N277" s="594"/>
      <c r="O277" s="594"/>
      <c r="P277" s="594"/>
      <c r="Q277" s="594"/>
      <c r="R277" s="562">
        <v>0</v>
      </c>
      <c r="S277" s="593">
        <v>0</v>
      </c>
      <c r="T277" s="563">
        <v>0</v>
      </c>
      <c r="U277" s="593">
        <v>0</v>
      </c>
      <c r="V277" s="522"/>
      <c r="W277" s="524"/>
      <c r="X277" s="512"/>
    </row>
    <row r="278" spans="1:24" s="513" customFormat="1" x14ac:dyDescent="0.3">
      <c r="A278" s="521"/>
      <c r="B278" s="562" t="s">
        <v>165</v>
      </c>
      <c r="C278" s="522"/>
      <c r="D278" s="522"/>
      <c r="E278" s="522"/>
      <c r="F278" s="522"/>
      <c r="G278" s="522"/>
      <c r="H278" s="594"/>
      <c r="I278" s="594"/>
      <c r="J278" s="594"/>
      <c r="K278" s="594"/>
      <c r="L278" s="594"/>
      <c r="M278" s="594"/>
      <c r="N278" s="594"/>
      <c r="O278" s="594"/>
      <c r="P278" s="594"/>
      <c r="Q278" s="594"/>
      <c r="R278" s="562">
        <v>0</v>
      </c>
      <c r="S278" s="593">
        <v>0</v>
      </c>
      <c r="T278" s="563">
        <v>0</v>
      </c>
      <c r="U278" s="593">
        <v>0</v>
      </c>
      <c r="V278" s="522"/>
      <c r="W278" s="524"/>
      <c r="X278" s="512"/>
    </row>
    <row r="279" spans="1:24" s="513" customFormat="1" x14ac:dyDescent="0.3">
      <c r="A279" s="521"/>
      <c r="B279" s="562"/>
      <c r="C279" s="522"/>
      <c r="D279" s="522"/>
      <c r="E279" s="522"/>
      <c r="F279" s="522"/>
      <c r="G279" s="522"/>
      <c r="H279" s="594"/>
      <c r="I279" s="594"/>
      <c r="J279" s="594"/>
      <c r="K279" s="594"/>
      <c r="L279" s="594"/>
      <c r="M279" s="594"/>
      <c r="N279" s="594"/>
      <c r="O279" s="594"/>
      <c r="P279" s="594"/>
      <c r="Q279" s="594"/>
      <c r="R279" s="562"/>
      <c r="S279" s="593"/>
      <c r="T279" s="563"/>
      <c r="U279" s="593"/>
      <c r="V279" s="522"/>
      <c r="W279" s="524"/>
      <c r="X279" s="512"/>
    </row>
    <row r="280" spans="1:24" s="513" customFormat="1" x14ac:dyDescent="0.3">
      <c r="A280" s="521"/>
      <c r="B280" s="522" t="s">
        <v>119</v>
      </c>
      <c r="C280" s="522"/>
      <c r="D280" s="522"/>
      <c r="E280" s="522"/>
      <c r="F280" s="522"/>
      <c r="G280" s="522"/>
      <c r="H280" s="594"/>
      <c r="I280" s="594"/>
      <c r="J280" s="594"/>
      <c r="K280" s="594"/>
      <c r="L280" s="594"/>
      <c r="M280" s="594"/>
      <c r="N280" s="594"/>
      <c r="O280" s="594"/>
      <c r="P280" s="594"/>
      <c r="Q280" s="594"/>
      <c r="R280" s="562">
        <f>SUM(R271:R278)</f>
        <v>0</v>
      </c>
      <c r="S280" s="593">
        <f>SUM(S271:S279)</f>
        <v>0</v>
      </c>
      <c r="T280" s="563">
        <f>SUM(T271:T278)</f>
        <v>0</v>
      </c>
      <c r="U280" s="593">
        <f>SUM(U271:U279)</f>
        <v>0</v>
      </c>
      <c r="V280" s="522"/>
      <c r="W280" s="524"/>
      <c r="X280" s="512"/>
    </row>
    <row r="281" spans="1:24" s="513" customFormat="1" x14ac:dyDescent="0.3">
      <c r="A281" s="521"/>
      <c r="B281" s="522"/>
      <c r="C281" s="522"/>
      <c r="D281" s="522"/>
      <c r="E281" s="522"/>
      <c r="F281" s="522"/>
      <c r="G281" s="522"/>
      <c r="H281" s="594"/>
      <c r="I281" s="594"/>
      <c r="J281" s="594"/>
      <c r="K281" s="594"/>
      <c r="L281" s="594"/>
      <c r="M281" s="594"/>
      <c r="N281" s="594"/>
      <c r="O281" s="594"/>
      <c r="P281" s="594"/>
      <c r="Q281" s="594"/>
      <c r="R281" s="562"/>
      <c r="S281" s="593"/>
      <c r="T281" s="563"/>
      <c r="U281" s="593"/>
      <c r="V281" s="522"/>
      <c r="W281" s="524"/>
      <c r="X281" s="512"/>
    </row>
    <row r="282" spans="1:24" s="513" customFormat="1" x14ac:dyDescent="0.3">
      <c r="A282" s="521"/>
      <c r="B282" s="527" t="s">
        <v>170</v>
      </c>
      <c r="C282" s="522"/>
      <c r="D282" s="522"/>
      <c r="E282" s="522"/>
      <c r="F282" s="522"/>
      <c r="G282" s="522"/>
      <c r="H282" s="594"/>
      <c r="I282" s="594"/>
      <c r="J282" s="594"/>
      <c r="K282" s="594"/>
      <c r="L282" s="594"/>
      <c r="M282" s="594"/>
      <c r="N282" s="594"/>
      <c r="O282" s="594"/>
      <c r="P282" s="594"/>
      <c r="Q282" s="594"/>
      <c r="R282" s="598">
        <f>R280+R268+R256</f>
        <v>5259</v>
      </c>
      <c r="S282" s="593"/>
      <c r="T282" s="599">
        <f>+T280+T268+T256</f>
        <v>691470</v>
      </c>
      <c r="U282" s="593"/>
      <c r="V282" s="522"/>
      <c r="W282" s="524"/>
      <c r="X282" s="512"/>
    </row>
    <row r="283" spans="1:24" s="513" customFormat="1" x14ac:dyDescent="0.3">
      <c r="A283" s="509"/>
      <c r="B283" s="552"/>
      <c r="C283" s="552"/>
      <c r="D283" s="552"/>
      <c r="E283" s="552"/>
      <c r="F283" s="552"/>
      <c r="G283" s="552"/>
      <c r="H283" s="597"/>
      <c r="I283" s="597"/>
      <c r="J283" s="597"/>
      <c r="K283" s="597"/>
      <c r="L283" s="597"/>
      <c r="M283" s="597"/>
      <c r="N283" s="597"/>
      <c r="O283" s="597"/>
      <c r="P283" s="597"/>
      <c r="Q283" s="597"/>
      <c r="R283" s="597"/>
      <c r="S283" s="597"/>
      <c r="T283" s="596"/>
      <c r="U283" s="597"/>
      <c r="V283" s="552"/>
      <c r="W283" s="552"/>
      <c r="X283" s="512"/>
    </row>
    <row r="284" spans="1:24" s="513" customFormat="1" x14ac:dyDescent="0.3">
      <c r="A284" s="509"/>
      <c r="B284" s="552" t="s">
        <v>363</v>
      </c>
      <c r="C284" s="552"/>
      <c r="D284" s="552"/>
      <c r="E284" s="552"/>
      <c r="F284" s="552"/>
      <c r="G284" s="552"/>
      <c r="H284" s="597"/>
      <c r="I284" s="597"/>
      <c r="J284" s="597"/>
      <c r="K284" s="597"/>
      <c r="L284" s="597"/>
      <c r="M284" s="597"/>
      <c r="N284" s="597"/>
      <c r="O284" s="597"/>
      <c r="P284" s="597"/>
      <c r="Q284" s="597"/>
      <c r="R284" s="597"/>
      <c r="S284" s="597"/>
      <c r="T284" s="596"/>
      <c r="U284" s="597"/>
      <c r="V284" s="552"/>
      <c r="W284" s="552"/>
      <c r="X284" s="512"/>
    </row>
    <row r="285" spans="1:24" s="513" customFormat="1" x14ac:dyDescent="0.3">
      <c r="A285" s="509"/>
      <c r="B285" s="510" t="s">
        <v>359</v>
      </c>
      <c r="C285" s="510"/>
      <c r="D285" s="510"/>
      <c r="E285" s="510"/>
      <c r="F285" s="510"/>
      <c r="G285" s="510"/>
      <c r="H285" s="600"/>
      <c r="I285" s="600"/>
      <c r="J285" s="600"/>
      <c r="K285" s="600"/>
      <c r="L285" s="600"/>
      <c r="M285" s="600"/>
      <c r="N285" s="600"/>
      <c r="O285" s="600"/>
      <c r="P285" s="600"/>
      <c r="Q285" s="600"/>
      <c r="R285" s="600"/>
      <c r="S285" s="600"/>
      <c r="T285" s="601"/>
      <c r="U285" s="600"/>
      <c r="V285" s="510"/>
      <c r="W285" s="510"/>
      <c r="X285" s="512"/>
    </row>
    <row r="286" spans="1:24" s="513" customFormat="1" x14ac:dyDescent="0.3">
      <c r="A286" s="509"/>
      <c r="B286" s="510"/>
      <c r="C286" s="510"/>
      <c r="D286" s="510"/>
      <c r="E286" s="510"/>
      <c r="F286" s="510"/>
      <c r="G286" s="510"/>
      <c r="H286" s="600"/>
      <c r="I286" s="600"/>
      <c r="J286" s="600"/>
      <c r="K286" s="600"/>
      <c r="L286" s="600"/>
      <c r="M286" s="600"/>
      <c r="N286" s="600"/>
      <c r="O286" s="600"/>
      <c r="P286" s="600"/>
      <c r="Q286" s="600"/>
      <c r="R286" s="600"/>
      <c r="S286" s="600"/>
      <c r="T286" s="601"/>
      <c r="U286" s="600"/>
      <c r="V286" s="510"/>
      <c r="W286" s="510"/>
      <c r="X286" s="512"/>
    </row>
    <row r="287" spans="1:24" s="513" customFormat="1" x14ac:dyDescent="0.3">
      <c r="A287" s="509"/>
      <c r="B287" s="510"/>
      <c r="C287" s="510"/>
      <c r="D287" s="510"/>
      <c r="E287" s="510"/>
      <c r="F287" s="510"/>
      <c r="G287" s="510"/>
      <c r="H287" s="600"/>
      <c r="I287" s="600"/>
      <c r="J287" s="600"/>
      <c r="K287" s="600"/>
      <c r="L287" s="600"/>
      <c r="M287" s="600"/>
      <c r="N287" s="600"/>
      <c r="O287" s="600"/>
      <c r="P287" s="600"/>
      <c r="Q287" s="600"/>
      <c r="R287" s="600"/>
      <c r="S287" s="600"/>
      <c r="T287" s="601"/>
      <c r="U287" s="600"/>
      <c r="V287" s="510"/>
      <c r="W287" s="510"/>
      <c r="X287" s="512"/>
    </row>
    <row r="288" spans="1:24" s="513" customFormat="1" x14ac:dyDescent="0.3">
      <c r="A288" s="509"/>
      <c r="B288" s="508" t="s">
        <v>93</v>
      </c>
      <c r="C288" s="510"/>
      <c r="D288" s="510"/>
      <c r="E288" s="510"/>
      <c r="F288" s="516" t="s">
        <v>99</v>
      </c>
      <c r="G288" s="510"/>
      <c r="H288" s="508" t="s">
        <v>101</v>
      </c>
      <c r="I288" s="510"/>
      <c r="J288" s="510"/>
      <c r="K288" s="510"/>
      <c r="L288" s="510"/>
      <c r="M288" s="510"/>
      <c r="N288" s="510"/>
      <c r="O288" s="510"/>
      <c r="P288" s="510"/>
      <c r="Q288" s="510"/>
      <c r="R288" s="510"/>
      <c r="S288" s="510"/>
      <c r="T288" s="510"/>
      <c r="U288" s="510"/>
      <c r="V288" s="510"/>
      <c r="W288" s="510"/>
      <c r="X288" s="512"/>
    </row>
    <row r="289" spans="1:24" s="513" customFormat="1" x14ac:dyDescent="0.3">
      <c r="A289" s="509"/>
      <c r="B289" s="508" t="s">
        <v>327</v>
      </c>
      <c r="C289" s="508"/>
      <c r="D289" s="508"/>
      <c r="E289" s="508"/>
      <c r="F289" s="602" t="s">
        <v>278</v>
      </c>
      <c r="G289" s="508"/>
      <c r="H289" s="402" t="s">
        <v>350</v>
      </c>
      <c r="I289" s="510"/>
      <c r="J289" s="510"/>
      <c r="K289" s="510"/>
      <c r="L289" s="510"/>
      <c r="M289" s="510"/>
      <c r="N289" s="510"/>
      <c r="O289" s="510"/>
      <c r="P289" s="510"/>
      <c r="Q289" s="510"/>
      <c r="R289" s="510"/>
      <c r="S289" s="510"/>
      <c r="T289" s="510"/>
      <c r="U289" s="510"/>
      <c r="V289" s="510"/>
      <c r="W289" s="510"/>
      <c r="X289" s="512"/>
    </row>
    <row r="290" spans="1:24" s="513" customFormat="1" x14ac:dyDescent="0.3">
      <c r="A290" s="509"/>
      <c r="B290" s="508" t="s">
        <v>328</v>
      </c>
      <c r="C290" s="508"/>
      <c r="D290" s="508"/>
      <c r="E290" s="508"/>
      <c r="F290" s="602" t="s">
        <v>152</v>
      </c>
      <c r="G290" s="508"/>
      <c r="H290" s="402" t="s">
        <v>351</v>
      </c>
      <c r="I290" s="510"/>
      <c r="J290" s="510"/>
      <c r="K290" s="510"/>
      <c r="L290" s="510"/>
      <c r="M290" s="510"/>
      <c r="N290" s="510"/>
      <c r="O290" s="510"/>
      <c r="P290" s="510"/>
      <c r="Q290" s="510"/>
      <c r="R290" s="510"/>
      <c r="S290" s="510"/>
      <c r="T290" s="510"/>
      <c r="U290" s="510"/>
      <c r="V290" s="510"/>
      <c r="W290" s="510"/>
      <c r="X290" s="512"/>
    </row>
    <row r="291" spans="1:24" s="513" customFormat="1" x14ac:dyDescent="0.3">
      <c r="A291" s="509"/>
      <c r="B291" s="508"/>
      <c r="C291" s="508"/>
      <c r="D291" s="508"/>
      <c r="E291" s="508"/>
      <c r="F291" s="508"/>
      <c r="G291" s="508"/>
      <c r="H291" s="510"/>
      <c r="I291" s="510"/>
      <c r="J291" s="510"/>
      <c r="K291" s="510"/>
      <c r="L291" s="510"/>
      <c r="M291" s="510"/>
      <c r="N291" s="510"/>
      <c r="O291" s="510"/>
      <c r="P291" s="510"/>
      <c r="Q291" s="510"/>
      <c r="R291" s="510"/>
      <c r="S291" s="510"/>
      <c r="T291" s="510"/>
      <c r="U291" s="510"/>
      <c r="V291" s="510"/>
      <c r="W291" s="510"/>
      <c r="X291" s="512"/>
    </row>
    <row r="292" spans="1:24" s="513" customFormat="1" ht="18.600000000000001" thickBot="1" x14ac:dyDescent="0.4">
      <c r="A292" s="509"/>
      <c r="B292" s="603" t="str">
        <f>B196</f>
        <v>PM12 INVESTOR REPORT QUARTER ENDING APRIL 2019</v>
      </c>
      <c r="C292" s="508"/>
      <c r="D292" s="508"/>
      <c r="E292" s="508"/>
      <c r="F292" s="508"/>
      <c r="G292" s="508"/>
      <c r="H292" s="510"/>
      <c r="I292" s="510"/>
      <c r="J292" s="510"/>
      <c r="K292" s="510"/>
      <c r="L292" s="510"/>
      <c r="M292" s="510"/>
      <c r="N292" s="510"/>
      <c r="O292" s="510"/>
      <c r="P292" s="510"/>
      <c r="Q292" s="510"/>
      <c r="R292" s="510"/>
      <c r="S292" s="510"/>
      <c r="T292" s="510"/>
      <c r="U292" s="510"/>
      <c r="V292" s="510"/>
      <c r="W292" s="510"/>
      <c r="X292" s="512"/>
    </row>
    <row r="293" spans="1:24" x14ac:dyDescent="0.3">
      <c r="A293" s="492"/>
      <c r="B293" s="492"/>
      <c r="C293" s="492"/>
      <c r="D293" s="492"/>
      <c r="E293" s="492"/>
      <c r="F293" s="492"/>
      <c r="G293" s="492"/>
      <c r="H293" s="492"/>
      <c r="I293" s="492"/>
      <c r="J293" s="492"/>
      <c r="K293" s="492"/>
      <c r="L293" s="492"/>
      <c r="M293" s="492"/>
      <c r="N293" s="492"/>
      <c r="O293" s="492"/>
      <c r="P293" s="492"/>
      <c r="Q293" s="492"/>
      <c r="R293" s="492"/>
      <c r="S293" s="492"/>
      <c r="T293" s="492"/>
      <c r="U293" s="492"/>
      <c r="V293" s="492"/>
      <c r="W293" s="492"/>
    </row>
  </sheetData>
  <hyperlinks>
    <hyperlink ref="I9" r:id="rId1" xr:uid="{00000000-0004-0000-3200-000000000000}"/>
    <hyperlink ref="P232" r:id="rId2" xr:uid="{00000000-0004-0000-32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1E324-432F-4AEC-ADE7-E62A95CED8E7}">
  <sheetPr>
    <tabColor rgb="FF2D2926"/>
  </sheetPr>
  <dimension ref="A1:Y295"/>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0.67769999999999997</v>
      </c>
      <c r="T16" s="516" t="s">
        <v>145</v>
      </c>
      <c r="U16" s="515">
        <v>0.32229999999999998</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43692</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219</v>
      </c>
      <c r="E26" s="526"/>
      <c r="F26" s="526" t="s">
        <v>146</v>
      </c>
      <c r="G26" s="526"/>
      <c r="H26" s="526" t="s">
        <v>146</v>
      </c>
      <c r="I26" s="526"/>
      <c r="J26" s="526" t="s">
        <v>146</v>
      </c>
      <c r="K26" s="526"/>
      <c r="L26" s="613" t="s">
        <v>189</v>
      </c>
      <c r="M26" s="613"/>
      <c r="N26" s="613" t="s">
        <v>189</v>
      </c>
      <c r="O26" s="526"/>
      <c r="P26" s="526" t="s">
        <v>147</v>
      </c>
      <c r="Q26" s="526"/>
      <c r="R26" s="526" t="s">
        <v>147</v>
      </c>
      <c r="S26" s="526"/>
      <c r="T26" s="523"/>
      <c r="U26" s="522"/>
      <c r="V26" s="522"/>
      <c r="W26" s="524"/>
      <c r="X26" s="512"/>
    </row>
    <row r="27" spans="1:25" s="513" customFormat="1" x14ac:dyDescent="0.3">
      <c r="A27" s="521"/>
      <c r="B27" s="527" t="s">
        <v>197</v>
      </c>
      <c r="C27" s="523"/>
      <c r="D27" s="526" t="s">
        <v>314</v>
      </c>
      <c r="E27" s="526"/>
      <c r="F27" s="526" t="s">
        <v>148</v>
      </c>
      <c r="G27" s="526"/>
      <c r="H27" s="526" t="s">
        <v>148</v>
      </c>
      <c r="I27" s="526"/>
      <c r="J27" s="526" t="s">
        <v>148</v>
      </c>
      <c r="K27" s="526"/>
      <c r="L27" s="526" t="s">
        <v>149</v>
      </c>
      <c r="M27" s="526"/>
      <c r="N27" s="526" t="s">
        <v>149</v>
      </c>
      <c r="O27" s="526"/>
      <c r="P27" s="526" t="s">
        <v>337</v>
      </c>
      <c r="Q27" s="526"/>
      <c r="R27" s="526" t="s">
        <v>337</v>
      </c>
      <c r="S27" s="523"/>
      <c r="T27" s="528"/>
      <c r="U27" s="522"/>
      <c r="V27" s="522"/>
      <c r="W27" s="524"/>
      <c r="X27" s="512"/>
    </row>
    <row r="28" spans="1:25" s="513" customFormat="1" x14ac:dyDescent="0.3">
      <c r="A28" s="521"/>
      <c r="B28" s="527" t="s">
        <v>198</v>
      </c>
      <c r="C28" s="523"/>
      <c r="D28" s="526" t="s">
        <v>312</v>
      </c>
      <c r="E28" s="526"/>
      <c r="F28" s="526" t="s">
        <v>148</v>
      </c>
      <c r="G28" s="526"/>
      <c r="H28" s="526" t="s">
        <v>148</v>
      </c>
      <c r="I28" s="526"/>
      <c r="J28" s="526" t="s">
        <v>148</v>
      </c>
      <c r="K28" s="526"/>
      <c r="L28" s="526" t="s">
        <v>148</v>
      </c>
      <c r="M28" s="526"/>
      <c r="N28" s="526" t="s">
        <v>148</v>
      </c>
      <c r="O28" s="526"/>
      <c r="P28" s="526" t="s">
        <v>149</v>
      </c>
      <c r="Q28" s="526"/>
      <c r="R28" s="526" t="s">
        <v>149</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317409.30416520004</v>
      </c>
      <c r="E32" s="529"/>
      <c r="F32" s="530">
        <f>F31*F38</f>
        <v>56456.880999999994</v>
      </c>
      <c r="G32" s="530"/>
      <c r="H32" s="534">
        <f>H31*H38</f>
        <v>95392.660999999993</v>
      </c>
      <c r="I32" s="534"/>
      <c r="J32" s="533">
        <f>J31*J38</f>
        <v>121089.59160000001</v>
      </c>
      <c r="K32" s="530"/>
      <c r="L32" s="530">
        <f>L31*L38</f>
        <v>23020.525000000001</v>
      </c>
      <c r="M32" s="530"/>
      <c r="N32" s="534">
        <f>N31*N38</f>
        <v>116023.446</v>
      </c>
      <c r="O32" s="530"/>
      <c r="P32" s="530">
        <f>P31*P38</f>
        <v>15653.957</v>
      </c>
      <c r="Q32" s="530"/>
      <c r="R32" s="534">
        <f>R31*R38</f>
        <v>97607.025999999998</v>
      </c>
      <c r="S32" s="530"/>
      <c r="T32" s="530"/>
      <c r="U32" s="529"/>
      <c r="V32" s="530"/>
      <c r="W32" s="531"/>
      <c r="X32" s="512"/>
    </row>
    <row r="33" spans="1:24" s="513" customFormat="1" x14ac:dyDescent="0.3">
      <c r="A33" s="521"/>
      <c r="B33" s="527" t="s">
        <v>139</v>
      </c>
      <c r="C33" s="529"/>
      <c r="D33" s="619">
        <f>D34*D37</f>
        <v>311493.11135279998</v>
      </c>
      <c r="E33" s="532"/>
      <c r="F33" s="535">
        <f>F37*F31</f>
        <v>55404.587</v>
      </c>
      <c r="G33" s="535"/>
      <c r="H33" s="537">
        <f>H31*H37</f>
        <v>93614.646999999997</v>
      </c>
      <c r="I33" s="537"/>
      <c r="J33" s="536">
        <f>J37*J31</f>
        <v>118832.6024</v>
      </c>
      <c r="K33" s="535"/>
      <c r="L33" s="535">
        <f>L37*L31</f>
        <v>22591.445</v>
      </c>
      <c r="M33" s="535"/>
      <c r="N33" s="537">
        <f>N37*N31</f>
        <v>113860.88279999999</v>
      </c>
      <c r="O33" s="535"/>
      <c r="P33" s="535">
        <f>P37*P31</f>
        <v>15362.1826</v>
      </c>
      <c r="Q33" s="535"/>
      <c r="R33" s="537">
        <f>R37*R31</f>
        <v>95787.726799999989</v>
      </c>
      <c r="S33" s="530"/>
      <c r="T33" s="530"/>
      <c r="U33" s="529"/>
      <c r="V33" s="530"/>
      <c r="W33" s="531"/>
      <c r="X33" s="512"/>
    </row>
    <row r="34" spans="1:24"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4" s="513" customFormat="1" x14ac:dyDescent="0.3">
      <c r="A35" s="525"/>
      <c r="B35" s="522" t="s">
        <v>294</v>
      </c>
      <c r="C35" s="532"/>
      <c r="D35" s="530">
        <f>D34*D38</f>
        <v>317409.30416520004</v>
      </c>
      <c r="E35" s="529"/>
      <c r="F35" s="530">
        <f>F34*F38</f>
        <v>56456.880999999994</v>
      </c>
      <c r="G35" s="530"/>
      <c r="H35" s="530">
        <f>H34*H38</f>
        <v>65788.230034799999</v>
      </c>
      <c r="I35" s="530"/>
      <c r="J35" s="530">
        <f>J34*J38</f>
        <v>65809.662223200008</v>
      </c>
      <c r="K35" s="530"/>
      <c r="L35" s="530">
        <f>L34*L38</f>
        <v>23020.525000000001</v>
      </c>
      <c r="M35" s="530"/>
      <c r="N35" s="530">
        <f>N34*N38</f>
        <v>80016.582437000005</v>
      </c>
      <c r="O35" s="530"/>
      <c r="P35" s="530">
        <f>P34*P38</f>
        <v>15653.957</v>
      </c>
      <c r="Q35" s="530"/>
      <c r="R35" s="530">
        <f>R34*R38</f>
        <v>67314.777562999996</v>
      </c>
      <c r="S35" s="530"/>
      <c r="T35" s="530"/>
      <c r="U35" s="529"/>
      <c r="V35" s="530">
        <f>SUM(C35:R35)</f>
        <v>691469.91942320007</v>
      </c>
      <c r="W35" s="531"/>
      <c r="X35" s="512"/>
    </row>
    <row r="36" spans="1:24" s="513" customFormat="1" x14ac:dyDescent="0.3">
      <c r="A36" s="525"/>
      <c r="B36" s="527" t="s">
        <v>295</v>
      </c>
      <c r="C36" s="532"/>
      <c r="D36" s="535">
        <f>D34*D37</f>
        <v>311493.11135279998</v>
      </c>
      <c r="E36" s="532"/>
      <c r="F36" s="535">
        <f>F34*F37</f>
        <v>55404.587</v>
      </c>
      <c r="G36" s="535"/>
      <c r="H36" s="535">
        <f>H34*H37</f>
        <v>64562.009979599999</v>
      </c>
      <c r="I36" s="535"/>
      <c r="J36" s="535">
        <f>J34*J37</f>
        <v>64583.035764799999</v>
      </c>
      <c r="K36" s="535"/>
      <c r="L36" s="535">
        <f>L34*L37</f>
        <v>22591.445</v>
      </c>
      <c r="M36" s="535"/>
      <c r="N36" s="535">
        <f>N34*N37</f>
        <v>78525.151846599998</v>
      </c>
      <c r="O36" s="535"/>
      <c r="P36" s="535">
        <f>P34*P37</f>
        <v>15362.1826</v>
      </c>
      <c r="Q36" s="535"/>
      <c r="R36" s="535">
        <f>R34*R37</f>
        <v>66060.096153399994</v>
      </c>
      <c r="S36" s="538"/>
      <c r="T36" s="538"/>
      <c r="U36" s="529"/>
      <c r="V36" s="535">
        <f>SUM(C36:R36)-1</f>
        <v>678580.61969720002</v>
      </c>
      <c r="W36" s="531"/>
      <c r="X36" s="512"/>
    </row>
    <row r="37" spans="1:24" x14ac:dyDescent="0.3">
      <c r="A37" s="420"/>
      <c r="B37" s="493" t="s">
        <v>135</v>
      </c>
      <c r="C37" s="494"/>
      <c r="D37" s="495">
        <v>0.3820984</v>
      </c>
      <c r="E37" s="496"/>
      <c r="F37" s="495">
        <v>0.38210060000000001</v>
      </c>
      <c r="G37" s="495"/>
      <c r="H37" s="495">
        <v>0.38210060000000001</v>
      </c>
      <c r="I37" s="495"/>
      <c r="J37" s="495">
        <v>0.3820984</v>
      </c>
      <c r="K37" s="495"/>
      <c r="L37" s="495">
        <v>0.90365779999999996</v>
      </c>
      <c r="M37" s="495"/>
      <c r="N37" s="495">
        <v>0.90365779999999996</v>
      </c>
      <c r="O37" s="495"/>
      <c r="P37" s="495">
        <v>0.90365779999999996</v>
      </c>
      <c r="Q37" s="495"/>
      <c r="R37" s="495">
        <v>0.90365779999999996</v>
      </c>
      <c r="S37" s="425"/>
      <c r="T37" s="425"/>
      <c r="U37" s="424"/>
      <c r="V37" s="424"/>
      <c r="W37" s="426"/>
      <c r="X37" s="405"/>
    </row>
    <row r="38" spans="1:24" x14ac:dyDescent="0.3">
      <c r="A38" s="420"/>
      <c r="B38" s="493" t="s">
        <v>136</v>
      </c>
      <c r="C38" s="494"/>
      <c r="D38" s="495">
        <v>0.38935560000000002</v>
      </c>
      <c r="E38" s="496"/>
      <c r="F38" s="495">
        <v>0.38935779999999998</v>
      </c>
      <c r="G38" s="495"/>
      <c r="H38" s="495">
        <v>0.38935779999999998</v>
      </c>
      <c r="I38" s="495"/>
      <c r="J38" s="495">
        <v>0.38935560000000002</v>
      </c>
      <c r="K38" s="495"/>
      <c r="L38" s="495">
        <v>0.920821</v>
      </c>
      <c r="M38" s="495"/>
      <c r="N38" s="495">
        <v>0.920821</v>
      </c>
      <c r="O38" s="495"/>
      <c r="P38" s="495">
        <v>0.920821</v>
      </c>
      <c r="Q38" s="495"/>
      <c r="R38" s="495">
        <v>0.920821</v>
      </c>
      <c r="S38" s="427"/>
      <c r="T38" s="428"/>
      <c r="U38" s="424"/>
      <c r="V38" s="427"/>
      <c r="W38" s="426"/>
      <c r="X38" s="405"/>
    </row>
    <row r="39" spans="1:24"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4" s="513" customFormat="1" x14ac:dyDescent="0.3">
      <c r="A40" s="521"/>
      <c r="B40" s="522" t="s">
        <v>12</v>
      </c>
      <c r="C40" s="522"/>
      <c r="D40" s="540">
        <v>1.0463800000000001E-2</v>
      </c>
      <c r="E40" s="522"/>
      <c r="F40" s="540">
        <v>1.0463800000000001E-2</v>
      </c>
      <c r="G40" s="539"/>
      <c r="H40" s="540">
        <v>0</v>
      </c>
      <c r="I40" s="540"/>
      <c r="J40" s="540">
        <v>2.7380000000000002E-2</v>
      </c>
      <c r="K40" s="539"/>
      <c r="L40" s="540">
        <v>1.28638E-2</v>
      </c>
      <c r="M40" s="539"/>
      <c r="N40" s="540">
        <v>1.6900000000000001E-3</v>
      </c>
      <c r="O40" s="539"/>
      <c r="P40" s="540">
        <v>1.7263799999999999E-2</v>
      </c>
      <c r="Q40" s="539"/>
      <c r="R40" s="540">
        <v>6.0899999999999999E-3</v>
      </c>
      <c r="S40" s="539"/>
      <c r="T40" s="540"/>
      <c r="U40" s="522"/>
      <c r="V40" s="528"/>
      <c r="W40" s="524"/>
      <c r="X40" s="512"/>
    </row>
    <row r="41" spans="1:24" s="513" customFormat="1" x14ac:dyDescent="0.3">
      <c r="A41" s="521"/>
      <c r="B41" s="522" t="s">
        <v>13</v>
      </c>
      <c r="C41" s="522"/>
      <c r="D41" s="540">
        <v>2.7126299999999999E-2</v>
      </c>
      <c r="E41" s="522"/>
      <c r="F41" s="540">
        <v>1.1098800000000001E-2</v>
      </c>
      <c r="G41" s="539"/>
      <c r="H41" s="540">
        <v>0</v>
      </c>
      <c r="I41" s="540"/>
      <c r="J41" s="540">
        <v>2.9037500000000001E-2</v>
      </c>
      <c r="K41" s="539"/>
      <c r="L41" s="540">
        <v>1.34988E-2</v>
      </c>
      <c r="M41" s="539"/>
      <c r="N41" s="540">
        <v>1.72E-3</v>
      </c>
      <c r="O41" s="539"/>
      <c r="P41" s="540">
        <v>1.7898799999999999E-2</v>
      </c>
      <c r="Q41" s="539"/>
      <c r="R41" s="540">
        <v>6.1199999999999996E-3</v>
      </c>
      <c r="S41" s="539"/>
      <c r="T41" s="540"/>
      <c r="U41" s="522"/>
      <c r="V41" s="539" t="s">
        <v>199</v>
      </c>
      <c r="W41" s="524"/>
      <c r="X41" s="512"/>
    </row>
    <row r="42" spans="1:24" s="513" customFormat="1" x14ac:dyDescent="0.3">
      <c r="A42" s="521"/>
      <c r="B42" s="522" t="s">
        <v>296</v>
      </c>
      <c r="C42" s="522"/>
      <c r="D42" s="528" t="s">
        <v>237</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4" s="513" customFormat="1" x14ac:dyDescent="0.3">
      <c r="A43" s="521"/>
      <c r="B43" s="522" t="s">
        <v>297</v>
      </c>
      <c r="C43" s="541"/>
      <c r="D43" s="540">
        <f>+D40</f>
        <v>1.0463800000000001E-2</v>
      </c>
      <c r="E43" s="540"/>
      <c r="F43" s="540">
        <f>+F40</f>
        <v>1.0463800000000001E-2</v>
      </c>
      <c r="G43" s="540"/>
      <c r="H43" s="540">
        <v>1.0385800000000001E-2</v>
      </c>
      <c r="I43" s="540"/>
      <c r="J43" s="540">
        <v>1.06278E-2</v>
      </c>
      <c r="K43" s="540"/>
      <c r="L43" s="540">
        <f>+L40</f>
        <v>1.28638E-2</v>
      </c>
      <c r="M43" s="540"/>
      <c r="N43" s="540">
        <v>1.3065800000000001E-2</v>
      </c>
      <c r="O43" s="540"/>
      <c r="P43" s="540">
        <f>+P40</f>
        <v>1.7263799999999999E-2</v>
      </c>
      <c r="Q43" s="539"/>
      <c r="R43" s="540">
        <v>1.7735799999999999E-2</v>
      </c>
      <c r="S43" s="528"/>
      <c r="T43" s="528"/>
      <c r="U43" s="522"/>
      <c r="V43" s="539">
        <f>SUMPRODUCT(D43:R43,D35:R35)/V35</f>
        <v>1.1714864805425974E-2</v>
      </c>
      <c r="W43" s="524"/>
      <c r="X43" s="512"/>
    </row>
    <row r="44" spans="1:24" s="513" customFormat="1" x14ac:dyDescent="0.3">
      <c r="A44" s="521"/>
      <c r="B44" s="522" t="s">
        <v>298</v>
      </c>
      <c r="C44" s="541"/>
      <c r="D44" s="540">
        <v>1.13131E-2</v>
      </c>
      <c r="E44" s="540"/>
      <c r="F44" s="540">
        <f>+F41</f>
        <v>1.1098800000000001E-2</v>
      </c>
      <c r="G44" s="540"/>
      <c r="H44" s="540">
        <v>1.1020800000000001E-2</v>
      </c>
      <c r="I44" s="540"/>
      <c r="J44" s="540">
        <v>1.12628E-2</v>
      </c>
      <c r="K44" s="540"/>
      <c r="L44" s="540">
        <f>+L41</f>
        <v>1.34988E-2</v>
      </c>
      <c r="M44" s="540"/>
      <c r="N44" s="540">
        <v>1.3700800000000001E-2</v>
      </c>
      <c r="O44" s="540"/>
      <c r="P44" s="540">
        <f>+P41</f>
        <v>1.7898799999999999E-2</v>
      </c>
      <c r="Q44" s="539"/>
      <c r="R44" s="540">
        <v>1.83708E-2</v>
      </c>
      <c r="S44" s="528"/>
      <c r="T44" s="528"/>
      <c r="U44" s="522"/>
      <c r="V44" s="522"/>
      <c r="W44" s="524"/>
      <c r="X44" s="512"/>
    </row>
    <row r="45" spans="1:24"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4"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4"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4" s="513" customFormat="1" x14ac:dyDescent="0.3">
      <c r="A48" s="521"/>
      <c r="B48" s="522" t="s">
        <v>299</v>
      </c>
      <c r="C48" s="522"/>
      <c r="D48" s="528" t="s">
        <v>237</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0.36799021409379062</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43692</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89</v>
      </c>
      <c r="S57" s="522"/>
      <c r="T57" s="549">
        <v>43511</v>
      </c>
      <c r="U57" s="550"/>
      <c r="V57" s="549">
        <v>43599</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43600</v>
      </c>
      <c r="U58" s="550"/>
      <c r="V58" s="549">
        <v>43691</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43678</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364</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691470</v>
      </c>
      <c r="O68" s="562"/>
      <c r="P68" s="562">
        <f>12888+1</f>
        <v>12889</v>
      </c>
      <c r="Q68" s="562"/>
      <c r="R68" s="562">
        <v>0</v>
      </c>
      <c r="S68" s="562"/>
      <c r="T68" s="562">
        <v>0</v>
      </c>
      <c r="U68" s="562"/>
      <c r="V68" s="563">
        <f>+N68-P68+R68-T68</f>
        <v>678581</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691470</v>
      </c>
      <c r="O71" s="562"/>
      <c r="P71" s="562">
        <f>SUM(P68:P70)</f>
        <v>12889</v>
      </c>
      <c r="Q71" s="562"/>
      <c r="R71" s="562">
        <f>SUM(R68:R70)</f>
        <v>0</v>
      </c>
      <c r="S71" s="562"/>
      <c r="T71" s="562">
        <f>SUM(T68:T70)</f>
        <v>0</v>
      </c>
      <c r="U71" s="562"/>
      <c r="V71" s="562">
        <f>SUM(V68:V70)</f>
        <v>678581</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691470</v>
      </c>
      <c r="O84" s="562"/>
      <c r="P84" s="562"/>
      <c r="Q84" s="562"/>
      <c r="R84" s="562"/>
      <c r="S84" s="562"/>
      <c r="T84" s="562"/>
      <c r="U84" s="562"/>
      <c r="V84" s="562">
        <f>SUM(V71:V83)</f>
        <v>678581</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+T202</f>
        <v>43677</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12889-47</f>
        <v>12842</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4699+1772-2013-269+180+5</f>
        <v>4374</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18+42</f>
        <v>60</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74</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285</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12842</v>
      </c>
      <c r="U96" s="522"/>
      <c r="V96" s="562">
        <f>SUM(V88:V95)</f>
        <v>4793</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30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12842</v>
      </c>
      <c r="U100" s="522"/>
      <c r="V100" s="562">
        <f>V96+V98+V97+V99</f>
        <v>4823</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-264-23-9</f>
        <v>-296</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f>-1334+149</f>
        <v>-1185</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-149</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-264</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-75</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-301</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-68</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-8</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47</v>
      </c>
      <c r="U114" s="522"/>
      <c r="V114" s="563">
        <v>-47</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-265</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-345</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-285</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-18</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-1512</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-T186</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-S186</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-5916</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-1052</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-1226</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-1227</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-429</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-1492</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-292</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-1255</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-12889</v>
      </c>
      <c r="U137" s="562"/>
      <c r="V137" s="562">
        <f>SUM(V102:V134)</f>
        <v>-4823</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JULY 2019</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5"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row>
    <row r="146" spans="1:25"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28504</v>
      </c>
      <c r="W146" s="524"/>
      <c r="X146" s="512"/>
    </row>
    <row r="147" spans="1:25"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5"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5"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5"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5"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5"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5"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5" s="513" customFormat="1" x14ac:dyDescent="0.3">
      <c r="A154" s="521"/>
      <c r="B154" s="522" t="s">
        <v>47</v>
      </c>
      <c r="C154" s="522"/>
      <c r="D154" s="522"/>
      <c r="E154" s="522"/>
      <c r="F154" s="522"/>
      <c r="G154" s="522"/>
      <c r="H154" s="522"/>
      <c r="I154" s="522"/>
      <c r="J154" s="522"/>
      <c r="K154" s="522"/>
      <c r="L154" s="522"/>
      <c r="M154" s="522"/>
      <c r="N154" s="522"/>
      <c r="O154" s="522"/>
      <c r="P154" s="522"/>
      <c r="Q154" s="522"/>
      <c r="R154" s="522"/>
      <c r="S154" s="522"/>
      <c r="T154" s="522"/>
      <c r="U154" s="522"/>
      <c r="V154" s="563">
        <f>SUM(V146:V153)</f>
        <v>28504</v>
      </c>
      <c r="W154" s="524"/>
      <c r="X154" s="512"/>
    </row>
    <row r="155" spans="1:25" x14ac:dyDescent="0.3">
      <c r="A155" s="420"/>
      <c r="B155" s="424"/>
      <c r="C155" s="424"/>
      <c r="D155" s="424"/>
      <c r="E155" s="424"/>
      <c r="F155" s="424"/>
      <c r="G155" s="424"/>
      <c r="H155" s="424"/>
      <c r="I155" s="424"/>
      <c r="J155" s="424"/>
      <c r="K155" s="424"/>
      <c r="L155" s="424"/>
      <c r="M155" s="424"/>
      <c r="N155" s="424"/>
      <c r="O155" s="424"/>
      <c r="P155" s="424"/>
      <c r="Q155" s="424"/>
      <c r="R155" s="424"/>
      <c r="S155" s="424"/>
      <c r="T155" s="424"/>
      <c r="U155" s="424"/>
      <c r="V155" s="440"/>
      <c r="W155" s="426"/>
      <c r="X155" s="405"/>
    </row>
    <row r="156" spans="1:25" x14ac:dyDescent="0.3">
      <c r="A156" s="420"/>
      <c r="B156" s="501" t="s">
        <v>360</v>
      </c>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row>
    <row r="157" spans="1:25" s="513" customFormat="1" x14ac:dyDescent="0.3">
      <c r="A157" s="521"/>
      <c r="B157" s="522" t="s">
        <v>160</v>
      </c>
      <c r="C157" s="522"/>
      <c r="D157" s="522"/>
      <c r="E157" s="522"/>
      <c r="F157" s="522"/>
      <c r="G157" s="522"/>
      <c r="H157" s="522"/>
      <c r="I157" s="522"/>
      <c r="J157" s="522"/>
      <c r="K157" s="522"/>
      <c r="L157" s="522"/>
      <c r="M157" s="522"/>
      <c r="N157" s="522"/>
      <c r="O157" s="522"/>
      <c r="P157" s="522"/>
      <c r="Q157" s="522"/>
      <c r="R157" s="522"/>
      <c r="S157" s="522"/>
      <c r="T157" s="522"/>
      <c r="U157" s="522"/>
      <c r="V157" s="563">
        <v>0</v>
      </c>
      <c r="W157" s="524"/>
      <c r="X157" s="512"/>
    </row>
    <row r="158" spans="1:25" s="513" customFormat="1" x14ac:dyDescent="0.3">
      <c r="A158" s="521"/>
      <c r="B158" s="522" t="s">
        <v>178</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5" s="513" customFormat="1" x14ac:dyDescent="0.3">
      <c r="A159" s="521"/>
      <c r="B159" s="522" t="s">
        <v>270</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5" x14ac:dyDescent="0.3">
      <c r="A160" s="420"/>
      <c r="B160" s="424"/>
      <c r="C160" s="424"/>
      <c r="D160" s="424"/>
      <c r="E160" s="424"/>
      <c r="F160" s="424"/>
      <c r="G160" s="424"/>
      <c r="H160" s="424"/>
      <c r="I160" s="424"/>
      <c r="J160" s="424"/>
      <c r="K160" s="424"/>
      <c r="L160" s="424"/>
      <c r="M160" s="424"/>
      <c r="N160" s="424"/>
      <c r="O160" s="424"/>
      <c r="P160" s="424"/>
      <c r="Q160" s="424"/>
      <c r="R160" s="424"/>
      <c r="S160" s="424"/>
      <c r="T160" s="424"/>
      <c r="U160" s="424"/>
      <c r="V160" s="440"/>
      <c r="W160" s="426"/>
      <c r="X160" s="405"/>
    </row>
    <row r="161" spans="1:24" x14ac:dyDescent="0.3">
      <c r="A161" s="407"/>
      <c r="B161" s="429"/>
      <c r="C161" s="429"/>
      <c r="D161" s="429"/>
      <c r="E161" s="429"/>
      <c r="F161" s="429"/>
      <c r="G161" s="429"/>
      <c r="H161" s="429"/>
      <c r="I161" s="429"/>
      <c r="J161" s="429"/>
      <c r="K161" s="429"/>
      <c r="L161" s="429"/>
      <c r="M161" s="429"/>
      <c r="N161" s="429"/>
      <c r="O161" s="429"/>
      <c r="P161" s="429"/>
      <c r="Q161" s="429"/>
      <c r="R161" s="429"/>
      <c r="S161" s="429"/>
      <c r="T161" s="429"/>
      <c r="U161" s="429"/>
      <c r="V161" s="449"/>
      <c r="W161" s="429"/>
      <c r="X161" s="405"/>
    </row>
    <row r="162" spans="1:24" x14ac:dyDescent="0.3">
      <c r="A162" s="407"/>
      <c r="B162" s="502" t="s">
        <v>24</v>
      </c>
      <c r="C162" s="409"/>
      <c r="D162" s="409"/>
      <c r="E162" s="409"/>
      <c r="F162" s="409"/>
      <c r="G162" s="409"/>
      <c r="H162" s="409"/>
      <c r="I162" s="409"/>
      <c r="J162" s="409"/>
      <c r="K162" s="409"/>
      <c r="L162" s="409"/>
      <c r="M162" s="409"/>
      <c r="N162" s="409"/>
      <c r="O162" s="409"/>
      <c r="P162" s="409"/>
      <c r="Q162" s="409"/>
      <c r="R162" s="409"/>
      <c r="S162" s="409"/>
      <c r="T162" s="409"/>
      <c r="U162" s="409"/>
      <c r="V162" s="433"/>
      <c r="W162" s="409"/>
      <c r="X162" s="405"/>
    </row>
    <row r="163" spans="1:24" s="513" customFormat="1" x14ac:dyDescent="0.3">
      <c r="A163" s="521"/>
      <c r="B163" s="522" t="s">
        <v>48</v>
      </c>
      <c r="C163" s="522"/>
      <c r="D163" s="522"/>
      <c r="E163" s="522"/>
      <c r="F163" s="522"/>
      <c r="G163" s="522"/>
      <c r="H163" s="522"/>
      <c r="I163" s="522"/>
      <c r="J163" s="522"/>
      <c r="K163" s="522"/>
      <c r="L163" s="522"/>
      <c r="M163" s="522"/>
      <c r="N163" s="522"/>
      <c r="O163" s="522"/>
      <c r="P163" s="522"/>
      <c r="Q163" s="522"/>
      <c r="R163" s="522"/>
      <c r="S163" s="522"/>
      <c r="T163" s="522"/>
      <c r="U163" s="522"/>
      <c r="V163" s="571" t="s">
        <v>123</v>
      </c>
      <c r="W163" s="524"/>
      <c r="X163" s="512"/>
    </row>
    <row r="164" spans="1:24" s="513" customFormat="1" x14ac:dyDescent="0.3">
      <c r="A164" s="521"/>
      <c r="B164" s="522" t="s">
        <v>49</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50</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51</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x14ac:dyDescent="0.3">
      <c r="A167" s="407"/>
      <c r="B167" s="429"/>
      <c r="C167" s="429"/>
      <c r="D167" s="429"/>
      <c r="E167" s="429"/>
      <c r="F167" s="429"/>
      <c r="G167" s="429"/>
      <c r="H167" s="429"/>
      <c r="I167" s="429"/>
      <c r="J167" s="429"/>
      <c r="K167" s="429"/>
      <c r="L167" s="429"/>
      <c r="M167" s="429"/>
      <c r="N167" s="429"/>
      <c r="O167" s="429"/>
      <c r="P167" s="429"/>
      <c r="Q167" s="429"/>
      <c r="R167" s="429"/>
      <c r="S167" s="429"/>
      <c r="T167" s="429"/>
      <c r="U167" s="429"/>
      <c r="V167" s="449"/>
      <c r="W167" s="429"/>
      <c r="X167" s="405"/>
    </row>
    <row r="168" spans="1:24" x14ac:dyDescent="0.3">
      <c r="A168" s="407"/>
      <c r="B168" s="502" t="s">
        <v>52</v>
      </c>
      <c r="C168" s="409"/>
      <c r="D168" s="409"/>
      <c r="E168" s="409"/>
      <c r="F168" s="409"/>
      <c r="G168" s="409"/>
      <c r="H168" s="409"/>
      <c r="I168" s="409"/>
      <c r="J168" s="409"/>
      <c r="K168" s="409"/>
      <c r="L168" s="409"/>
      <c r="M168" s="409"/>
      <c r="N168" s="409"/>
      <c r="O168" s="409"/>
      <c r="P168" s="409"/>
      <c r="Q168" s="409"/>
      <c r="R168" s="409"/>
      <c r="S168" s="409"/>
      <c r="T168" s="409"/>
      <c r="U168" s="409"/>
      <c r="V168" s="450"/>
      <c r="W168" s="409"/>
      <c r="X168" s="405"/>
    </row>
    <row r="169" spans="1:24" s="513" customFormat="1" x14ac:dyDescent="0.3">
      <c r="A169" s="521"/>
      <c r="B169" s="522" t="s">
        <v>53</v>
      </c>
      <c r="C169" s="522"/>
      <c r="D169" s="522"/>
      <c r="E169" s="522"/>
      <c r="F169" s="522"/>
      <c r="G169" s="522"/>
      <c r="H169" s="522"/>
      <c r="I169" s="522"/>
      <c r="J169" s="522"/>
      <c r="K169" s="522"/>
      <c r="L169" s="522"/>
      <c r="M169" s="522"/>
      <c r="N169" s="522"/>
      <c r="O169" s="522"/>
      <c r="P169" s="522"/>
      <c r="Q169" s="522"/>
      <c r="R169" s="522"/>
      <c r="S169" s="522"/>
      <c r="T169" s="522"/>
      <c r="U169" s="522"/>
      <c r="V169" s="563">
        <v>0</v>
      </c>
      <c r="W169" s="524"/>
      <c r="X169" s="512"/>
    </row>
    <row r="170" spans="1:24" s="513" customFormat="1" x14ac:dyDescent="0.3">
      <c r="A170" s="521"/>
      <c r="B170" s="522" t="s">
        <v>54</v>
      </c>
      <c r="C170" s="522"/>
      <c r="D170" s="522"/>
      <c r="E170" s="522"/>
      <c r="F170" s="522"/>
      <c r="G170" s="522"/>
      <c r="H170" s="522"/>
      <c r="I170" s="522"/>
      <c r="J170" s="522"/>
      <c r="K170" s="522"/>
      <c r="L170" s="522"/>
      <c r="M170" s="522"/>
      <c r="N170" s="522"/>
      <c r="O170" s="522"/>
      <c r="P170" s="522"/>
      <c r="Q170" s="522"/>
      <c r="R170" s="522"/>
      <c r="S170" s="522"/>
      <c r="T170" s="522"/>
      <c r="U170" s="522"/>
      <c r="V170" s="563">
        <f>-V114</f>
        <v>47</v>
      </c>
      <c r="W170" s="524"/>
      <c r="X170" s="512"/>
    </row>
    <row r="171" spans="1:24" s="513" customFormat="1" x14ac:dyDescent="0.3">
      <c r="A171" s="521"/>
      <c r="B171" s="522" t="s">
        <v>55</v>
      </c>
      <c r="C171" s="522"/>
      <c r="D171" s="522"/>
      <c r="E171" s="522"/>
      <c r="F171" s="522"/>
      <c r="G171" s="522"/>
      <c r="H171" s="522"/>
      <c r="I171" s="522"/>
      <c r="J171" s="522"/>
      <c r="K171" s="522"/>
      <c r="L171" s="522"/>
      <c r="M171" s="522"/>
      <c r="N171" s="522"/>
      <c r="O171" s="522"/>
      <c r="P171" s="522"/>
      <c r="Q171" s="522"/>
      <c r="R171" s="522"/>
      <c r="S171" s="522"/>
      <c r="T171" s="522"/>
      <c r="U171" s="522"/>
      <c r="V171" s="563">
        <f>V170+V169</f>
        <v>47</v>
      </c>
      <c r="W171" s="524"/>
      <c r="X171" s="512"/>
    </row>
    <row r="172" spans="1:24" s="513" customFormat="1" x14ac:dyDescent="0.3">
      <c r="A172" s="521"/>
      <c r="B172" s="572" t="s">
        <v>310</v>
      </c>
      <c r="C172" s="522"/>
      <c r="D172" s="522"/>
      <c r="E172" s="522"/>
      <c r="F172" s="522"/>
      <c r="G172" s="522"/>
      <c r="H172" s="522"/>
      <c r="I172" s="522"/>
      <c r="J172" s="522"/>
      <c r="K172" s="522"/>
      <c r="L172" s="522"/>
      <c r="M172" s="522"/>
      <c r="N172" s="522"/>
      <c r="O172" s="522"/>
      <c r="P172" s="522"/>
      <c r="Q172" s="522"/>
      <c r="R172" s="522"/>
      <c r="S172" s="522"/>
      <c r="T172" s="522"/>
      <c r="U172" s="522"/>
      <c r="V172" s="563">
        <f>V114</f>
        <v>-47</v>
      </c>
      <c r="W172" s="524"/>
      <c r="X172" s="512"/>
    </row>
    <row r="173" spans="1:24" s="513" customFormat="1" x14ac:dyDescent="0.3">
      <c r="A173" s="521"/>
      <c r="B173" s="522" t="s">
        <v>56</v>
      </c>
      <c r="C173" s="522"/>
      <c r="D173" s="522"/>
      <c r="E173" s="522"/>
      <c r="F173" s="522"/>
      <c r="G173" s="522"/>
      <c r="H173" s="522"/>
      <c r="I173" s="522"/>
      <c r="J173" s="522"/>
      <c r="K173" s="522"/>
      <c r="L173" s="522"/>
      <c r="M173" s="522"/>
      <c r="N173" s="522"/>
      <c r="O173" s="522"/>
      <c r="P173" s="522"/>
      <c r="Q173" s="522"/>
      <c r="R173" s="522"/>
      <c r="S173" s="522"/>
      <c r="T173" s="522"/>
      <c r="U173" s="522"/>
      <c r="V173" s="563">
        <f>V171+V172</f>
        <v>0</v>
      </c>
      <c r="W173" s="524"/>
      <c r="X173" s="512"/>
    </row>
    <row r="174" spans="1:24" s="513" customFormat="1" x14ac:dyDescent="0.3">
      <c r="A174" s="521"/>
      <c r="B174" s="522" t="s">
        <v>282</v>
      </c>
      <c r="C174" s="522"/>
      <c r="D174" s="522"/>
      <c r="E174" s="522"/>
      <c r="F174" s="522"/>
      <c r="G174" s="522"/>
      <c r="H174" s="522"/>
      <c r="I174" s="522"/>
      <c r="J174" s="522"/>
      <c r="K174" s="522"/>
      <c r="L174" s="522"/>
      <c r="M174" s="522"/>
      <c r="N174" s="522"/>
      <c r="O174" s="522"/>
      <c r="P174" s="522"/>
      <c r="Q174" s="522"/>
      <c r="R174" s="522"/>
      <c r="S174" s="522"/>
      <c r="T174" s="522"/>
      <c r="U174" s="522"/>
      <c r="V174" s="563">
        <v>0</v>
      </c>
      <c r="W174" s="524"/>
      <c r="X174" s="512"/>
    </row>
    <row r="175" spans="1:24" ht="16.2" thickBot="1" x14ac:dyDescent="0.35">
      <c r="A175" s="407"/>
      <c r="B175" s="429"/>
      <c r="C175" s="429"/>
      <c r="D175" s="429"/>
      <c r="E175" s="429"/>
      <c r="F175" s="429"/>
      <c r="G175" s="429"/>
      <c r="H175" s="429"/>
      <c r="I175" s="429"/>
      <c r="J175" s="429"/>
      <c r="K175" s="429"/>
      <c r="L175" s="429"/>
      <c r="M175" s="429"/>
      <c r="N175" s="429"/>
      <c r="O175" s="429"/>
      <c r="P175" s="429"/>
      <c r="Q175" s="429"/>
      <c r="R175" s="429"/>
      <c r="S175" s="429"/>
      <c r="T175" s="429"/>
      <c r="U175" s="429"/>
      <c r="V175" s="449"/>
      <c r="W175" s="429"/>
      <c r="X175" s="405"/>
    </row>
    <row r="176" spans="1:24" x14ac:dyDescent="0.3">
      <c r="A176" s="403"/>
      <c r="B176" s="404"/>
      <c r="C176" s="404"/>
      <c r="D176" s="404"/>
      <c r="E176" s="404"/>
      <c r="F176" s="404"/>
      <c r="G176" s="404"/>
      <c r="H176" s="404"/>
      <c r="I176" s="404"/>
      <c r="J176" s="404"/>
      <c r="K176" s="404"/>
      <c r="L176" s="404"/>
      <c r="M176" s="404"/>
      <c r="N176" s="404"/>
      <c r="O176" s="404"/>
      <c r="P176" s="404"/>
      <c r="Q176" s="404"/>
      <c r="R176" s="404"/>
      <c r="S176" s="404"/>
      <c r="T176" s="404"/>
      <c r="U176" s="404"/>
      <c r="V176" s="451"/>
      <c r="W176" s="404"/>
      <c r="X176" s="405"/>
    </row>
    <row r="177" spans="1:24" x14ac:dyDescent="0.3">
      <c r="A177" s="407"/>
      <c r="B177" s="502" t="s">
        <v>57</v>
      </c>
      <c r="C177" s="409"/>
      <c r="D177" s="409"/>
      <c r="E177" s="409"/>
      <c r="F177" s="409"/>
      <c r="G177" s="409"/>
      <c r="H177" s="409"/>
      <c r="I177" s="409"/>
      <c r="J177" s="409"/>
      <c r="K177" s="409"/>
      <c r="L177" s="409"/>
      <c r="M177" s="409"/>
      <c r="N177" s="409"/>
      <c r="O177" s="409"/>
      <c r="P177" s="409"/>
      <c r="Q177" s="409"/>
      <c r="R177" s="409"/>
      <c r="S177" s="409"/>
      <c r="T177" s="409"/>
      <c r="U177" s="409"/>
      <c r="V177" s="433"/>
      <c r="W177" s="409"/>
      <c r="X177" s="405"/>
    </row>
    <row r="178" spans="1:24" x14ac:dyDescent="0.3">
      <c r="A178" s="407"/>
      <c r="B178" s="448"/>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s="513" customFormat="1" x14ac:dyDescent="0.3">
      <c r="A179" s="521"/>
      <c r="B179" s="522" t="s">
        <v>58</v>
      </c>
      <c r="C179" s="522"/>
      <c r="D179" s="522"/>
      <c r="E179" s="522"/>
      <c r="F179" s="522"/>
      <c r="G179" s="522"/>
      <c r="H179" s="522"/>
      <c r="I179" s="522"/>
      <c r="J179" s="522"/>
      <c r="K179" s="522"/>
      <c r="L179" s="522"/>
      <c r="M179" s="522"/>
      <c r="N179" s="522"/>
      <c r="O179" s="522"/>
      <c r="P179" s="522"/>
      <c r="Q179" s="522"/>
      <c r="R179" s="522"/>
      <c r="S179" s="522"/>
      <c r="T179" s="522"/>
      <c r="U179" s="522"/>
      <c r="V179" s="563">
        <f>V71</f>
        <v>678581</v>
      </c>
      <c r="W179" s="524"/>
      <c r="X179" s="512"/>
    </row>
    <row r="180" spans="1:24" s="513" customFormat="1" x14ac:dyDescent="0.3">
      <c r="A180" s="521"/>
      <c r="B180" s="522" t="s">
        <v>59</v>
      </c>
      <c r="C180" s="522"/>
      <c r="D180" s="522"/>
      <c r="E180" s="522"/>
      <c r="F180" s="522"/>
      <c r="G180" s="522"/>
      <c r="H180" s="522"/>
      <c r="I180" s="522"/>
      <c r="J180" s="522"/>
      <c r="K180" s="522"/>
      <c r="L180" s="522"/>
      <c r="M180" s="522"/>
      <c r="N180" s="522"/>
      <c r="O180" s="522"/>
      <c r="P180" s="522"/>
      <c r="Q180" s="522"/>
      <c r="R180" s="522"/>
      <c r="S180" s="522"/>
      <c r="T180" s="522"/>
      <c r="U180" s="522"/>
      <c r="V180" s="563">
        <f>V84</f>
        <v>678581</v>
      </c>
      <c r="W180" s="524"/>
      <c r="X180" s="512"/>
    </row>
    <row r="181" spans="1:24" ht="16.2" thickBot="1" x14ac:dyDescent="0.35">
      <c r="A181" s="407"/>
      <c r="B181" s="429"/>
      <c r="C181" s="429"/>
      <c r="D181" s="429"/>
      <c r="E181" s="429"/>
      <c r="F181" s="429"/>
      <c r="G181" s="429"/>
      <c r="H181" s="429"/>
      <c r="I181" s="429"/>
      <c r="J181" s="429"/>
      <c r="K181" s="429"/>
      <c r="L181" s="429"/>
      <c r="M181" s="429"/>
      <c r="N181" s="429"/>
      <c r="O181" s="429"/>
      <c r="P181" s="429"/>
      <c r="Q181" s="429"/>
      <c r="R181" s="429"/>
      <c r="S181" s="429"/>
      <c r="T181" s="429"/>
      <c r="U181" s="429"/>
      <c r="V181" s="449"/>
      <c r="W181" s="429"/>
      <c r="X181" s="405"/>
    </row>
    <row r="182" spans="1:24" x14ac:dyDescent="0.3">
      <c r="A182" s="403"/>
      <c r="B182" s="404"/>
      <c r="C182" s="404"/>
      <c r="D182" s="404"/>
      <c r="E182" s="404"/>
      <c r="F182" s="404"/>
      <c r="G182" s="404"/>
      <c r="H182" s="404"/>
      <c r="I182" s="404"/>
      <c r="J182" s="404"/>
      <c r="K182" s="404"/>
      <c r="L182" s="404"/>
      <c r="M182" s="404"/>
      <c r="N182" s="404"/>
      <c r="O182" s="404"/>
      <c r="P182" s="404"/>
      <c r="Q182" s="404"/>
      <c r="R182" s="404"/>
      <c r="S182" s="404"/>
      <c r="T182" s="404"/>
      <c r="U182" s="404"/>
      <c r="V182" s="451"/>
      <c r="W182" s="404"/>
      <c r="X182" s="405"/>
    </row>
    <row r="183" spans="1:24" x14ac:dyDescent="0.3">
      <c r="A183" s="407"/>
      <c r="B183" s="502" t="s">
        <v>60</v>
      </c>
      <c r="C183" s="434"/>
      <c r="D183" s="434"/>
      <c r="E183" s="434"/>
      <c r="F183" s="434"/>
      <c r="G183" s="434"/>
      <c r="H183" s="452"/>
      <c r="I183" s="452"/>
      <c r="J183" s="452"/>
      <c r="K183" s="452"/>
      <c r="L183" s="452"/>
      <c r="M183" s="452"/>
      <c r="N183" s="452"/>
      <c r="O183" s="452"/>
      <c r="P183" s="452"/>
      <c r="Q183" s="452"/>
      <c r="R183" s="452"/>
      <c r="S183" s="503" t="s">
        <v>103</v>
      </c>
      <c r="T183" s="503" t="s">
        <v>182</v>
      </c>
      <c r="U183" s="411"/>
      <c r="V183" s="504" t="s">
        <v>119</v>
      </c>
      <c r="W183" s="453"/>
      <c r="X183" s="405"/>
    </row>
    <row r="184" spans="1:24" s="513" customFormat="1" x14ac:dyDescent="0.3">
      <c r="A184" s="521"/>
      <c r="B184" s="522" t="s">
        <v>61</v>
      </c>
      <c r="C184" s="522"/>
      <c r="D184" s="522"/>
      <c r="E184" s="522"/>
      <c r="F184" s="522"/>
      <c r="G184" s="522"/>
      <c r="H184" s="522"/>
      <c r="I184" s="522"/>
      <c r="J184" s="522"/>
      <c r="K184" s="522"/>
      <c r="L184" s="522"/>
      <c r="M184" s="522"/>
      <c r="N184" s="522"/>
      <c r="O184" s="522"/>
      <c r="P184" s="522"/>
      <c r="Q184" s="522"/>
      <c r="R184" s="522"/>
      <c r="S184" s="563">
        <f>+V34*0.16</f>
        <v>240032.80000000002</v>
      </c>
      <c r="T184" s="542"/>
      <c r="U184" s="522"/>
      <c r="V184" s="563"/>
      <c r="W184" s="524"/>
      <c r="X184" s="512"/>
    </row>
    <row r="185" spans="1:24" s="513" customFormat="1" x14ac:dyDescent="0.3">
      <c r="A185" s="521"/>
      <c r="B185" s="522" t="s">
        <v>62</v>
      </c>
      <c r="C185" s="522"/>
      <c r="D185" s="522"/>
      <c r="E185" s="522"/>
      <c r="F185" s="522"/>
      <c r="G185" s="522"/>
      <c r="H185" s="522"/>
      <c r="I185" s="522"/>
      <c r="J185" s="522"/>
      <c r="K185" s="522"/>
      <c r="L185" s="522"/>
      <c r="M185" s="522"/>
      <c r="N185" s="522"/>
      <c r="O185" s="522"/>
      <c r="P185" s="522"/>
      <c r="Q185" s="522"/>
      <c r="R185" s="522"/>
      <c r="S185" s="563">
        <f>+'April 19'!S182</f>
        <v>57078</v>
      </c>
      <c r="T185" s="563">
        <f>+'April 19'!T182</f>
        <v>6370</v>
      </c>
      <c r="U185" s="522"/>
      <c r="V185" s="563">
        <f>S185+T185</f>
        <v>63448</v>
      </c>
      <c r="W185" s="524"/>
      <c r="X185" s="512"/>
    </row>
    <row r="186" spans="1:24" s="513" customFormat="1" x14ac:dyDescent="0.3">
      <c r="A186" s="521"/>
      <c r="B186" s="522" t="s">
        <v>63</v>
      </c>
      <c r="C186" s="522"/>
      <c r="D186" s="522"/>
      <c r="E186" s="522"/>
      <c r="F186" s="522"/>
      <c r="G186" s="522"/>
      <c r="H186" s="522"/>
      <c r="I186" s="522"/>
      <c r="J186" s="522"/>
      <c r="K186" s="522"/>
      <c r="L186" s="522"/>
      <c r="M186" s="522"/>
      <c r="N186" s="522"/>
      <c r="O186" s="522"/>
      <c r="P186" s="522"/>
      <c r="Q186" s="522"/>
      <c r="R186" s="522"/>
      <c r="S186" s="562">
        <v>0</v>
      </c>
      <c r="T186" s="562">
        <v>0</v>
      </c>
      <c r="U186" s="522"/>
      <c r="V186" s="563">
        <f>S186+T186</f>
        <v>0</v>
      </c>
      <c r="W186" s="524"/>
      <c r="X186" s="512"/>
    </row>
    <row r="187" spans="1:24" s="513" customFormat="1" x14ac:dyDescent="0.3">
      <c r="A187" s="521"/>
      <c r="B187" s="522" t="s">
        <v>64</v>
      </c>
      <c r="C187" s="522"/>
      <c r="D187" s="522"/>
      <c r="E187" s="522"/>
      <c r="F187" s="522"/>
      <c r="G187" s="522"/>
      <c r="H187" s="522"/>
      <c r="I187" s="522"/>
      <c r="J187" s="522"/>
      <c r="K187" s="522"/>
      <c r="L187" s="522"/>
      <c r="M187" s="522"/>
      <c r="N187" s="522"/>
      <c r="O187" s="522"/>
      <c r="P187" s="522"/>
      <c r="Q187" s="522"/>
      <c r="R187" s="522"/>
      <c r="S187" s="563">
        <f>S185+S186</f>
        <v>57078</v>
      </c>
      <c r="T187" s="563">
        <f>T186+T185</f>
        <v>6370</v>
      </c>
      <c r="U187" s="522"/>
      <c r="V187" s="563">
        <f>S187+T187</f>
        <v>63448</v>
      </c>
      <c r="W187" s="524"/>
      <c r="X187" s="512"/>
    </row>
    <row r="188" spans="1:24" s="513" customFormat="1" x14ac:dyDescent="0.3">
      <c r="A188" s="521"/>
      <c r="B188" s="522" t="s">
        <v>65</v>
      </c>
      <c r="C188" s="522"/>
      <c r="D188" s="522"/>
      <c r="E188" s="522"/>
      <c r="F188" s="522"/>
      <c r="G188" s="522"/>
      <c r="H188" s="522"/>
      <c r="I188" s="522"/>
      <c r="J188" s="522"/>
      <c r="K188" s="522"/>
      <c r="L188" s="522"/>
      <c r="M188" s="522"/>
      <c r="N188" s="522"/>
      <c r="O188" s="522"/>
      <c r="P188" s="522"/>
      <c r="Q188" s="522"/>
      <c r="R188" s="522"/>
      <c r="S188" s="563">
        <f>S184-S187-T187</f>
        <v>176584.80000000002</v>
      </c>
      <c r="T188" s="542"/>
      <c r="U188" s="522"/>
      <c r="V188" s="563"/>
      <c r="W188" s="524"/>
      <c r="X188" s="512"/>
    </row>
    <row r="189" spans="1:24" ht="16.2" thickBot="1" x14ac:dyDescent="0.35">
      <c r="A189" s="407"/>
      <c r="B189" s="429"/>
      <c r="C189" s="429"/>
      <c r="D189" s="429"/>
      <c r="E189" s="429"/>
      <c r="F189" s="429"/>
      <c r="G189" s="429"/>
      <c r="H189" s="429"/>
      <c r="I189" s="429"/>
      <c r="J189" s="429"/>
      <c r="K189" s="429"/>
      <c r="L189" s="429"/>
      <c r="M189" s="429"/>
      <c r="N189" s="429"/>
      <c r="O189" s="429"/>
      <c r="P189" s="429"/>
      <c r="Q189" s="429"/>
      <c r="R189" s="429"/>
      <c r="S189" s="429"/>
      <c r="T189" s="429"/>
      <c r="U189" s="429"/>
      <c r="V189" s="449"/>
      <c r="W189" s="429"/>
      <c r="X189" s="405"/>
    </row>
    <row r="190" spans="1:24" x14ac:dyDescent="0.3">
      <c r="A190" s="403"/>
      <c r="B190" s="404"/>
      <c r="C190" s="404"/>
      <c r="D190" s="404"/>
      <c r="E190" s="404"/>
      <c r="F190" s="404"/>
      <c r="G190" s="404"/>
      <c r="H190" s="404"/>
      <c r="I190" s="404"/>
      <c r="J190" s="404"/>
      <c r="K190" s="404"/>
      <c r="L190" s="404"/>
      <c r="M190" s="404"/>
      <c r="N190" s="404"/>
      <c r="O190" s="404"/>
      <c r="P190" s="404"/>
      <c r="Q190" s="404"/>
      <c r="R190" s="404"/>
      <c r="S190" s="404"/>
      <c r="T190" s="404"/>
      <c r="U190" s="404"/>
      <c r="V190" s="451"/>
      <c r="W190" s="404"/>
      <c r="X190" s="405"/>
    </row>
    <row r="191" spans="1:24" x14ac:dyDescent="0.3">
      <c r="A191" s="407"/>
      <c r="B191" s="502" t="s">
        <v>66</v>
      </c>
      <c r="C191" s="409"/>
      <c r="D191" s="409"/>
      <c r="E191" s="409"/>
      <c r="F191" s="409"/>
      <c r="G191" s="409"/>
      <c r="H191" s="409"/>
      <c r="I191" s="409"/>
      <c r="J191" s="409"/>
      <c r="K191" s="409"/>
      <c r="L191" s="409"/>
      <c r="M191" s="409"/>
      <c r="N191" s="409"/>
      <c r="O191" s="409"/>
      <c r="P191" s="409"/>
      <c r="Q191" s="409"/>
      <c r="R191" s="409"/>
      <c r="S191" s="409"/>
      <c r="T191" s="409"/>
      <c r="U191" s="409"/>
      <c r="V191" s="454"/>
      <c r="W191" s="409"/>
      <c r="X191" s="405"/>
    </row>
    <row r="192" spans="1:24" s="513" customFormat="1" x14ac:dyDescent="0.3">
      <c r="A192" s="521"/>
      <c r="B192" s="522" t="s">
        <v>67</v>
      </c>
      <c r="C192" s="522"/>
      <c r="D192" s="522"/>
      <c r="E192" s="522"/>
      <c r="F192" s="522"/>
      <c r="G192" s="522"/>
      <c r="H192" s="522"/>
      <c r="I192" s="522"/>
      <c r="J192" s="522"/>
      <c r="K192" s="522"/>
      <c r="L192" s="522"/>
      <c r="M192" s="522"/>
      <c r="N192" s="522"/>
      <c r="O192" s="522"/>
      <c r="P192" s="522"/>
      <c r="Q192" s="522"/>
      <c r="R192" s="522"/>
      <c r="S192" s="522"/>
      <c r="T192" s="522"/>
      <c r="U192" s="522"/>
      <c r="V192" s="571">
        <f>(V100+V102+V103+V104+V105)/-(V106+V107)</f>
        <v>3.3920539730134931</v>
      </c>
      <c r="W192" s="524" t="s">
        <v>120</v>
      </c>
      <c r="X192" s="512"/>
    </row>
    <row r="193" spans="1:24" s="513" customFormat="1" x14ac:dyDescent="0.3">
      <c r="A193" s="521"/>
      <c r="B193" s="522" t="s">
        <v>68</v>
      </c>
      <c r="C193" s="522"/>
      <c r="D193" s="522"/>
      <c r="E193" s="522"/>
      <c r="F193" s="522"/>
      <c r="G193" s="522"/>
      <c r="H193" s="522"/>
      <c r="I193" s="522"/>
      <c r="J193" s="522"/>
      <c r="K193" s="522"/>
      <c r="L193" s="522"/>
      <c r="M193" s="522"/>
      <c r="N193" s="522"/>
      <c r="O193" s="522"/>
      <c r="P193" s="522"/>
      <c r="Q193" s="522"/>
      <c r="R193" s="522"/>
      <c r="S193" s="522"/>
      <c r="T193" s="522"/>
      <c r="U193" s="522"/>
      <c r="V193" s="573">
        <v>1.97</v>
      </c>
      <c r="W193" s="524" t="s">
        <v>120</v>
      </c>
      <c r="X193" s="512"/>
    </row>
    <row r="194" spans="1:24" s="513" customFormat="1" x14ac:dyDescent="0.3">
      <c r="A194" s="521"/>
      <c r="B194" s="522" t="s">
        <v>69</v>
      </c>
      <c r="C194" s="522"/>
      <c r="D194" s="522"/>
      <c r="E194" s="522"/>
      <c r="F194" s="522"/>
      <c r="G194" s="522"/>
      <c r="H194" s="522"/>
      <c r="I194" s="522"/>
      <c r="J194" s="522"/>
      <c r="K194" s="522"/>
      <c r="L194" s="522"/>
      <c r="M194" s="522"/>
      <c r="N194" s="522"/>
      <c r="O194" s="522"/>
      <c r="P194" s="522"/>
      <c r="Q194" s="522"/>
      <c r="R194" s="522"/>
      <c r="S194" s="522"/>
      <c r="T194" s="522"/>
      <c r="U194" s="522"/>
      <c r="V194" s="571">
        <f>(V100+V102+V103+V104+V105+V106+V107)/-(V108+V109)</f>
        <v>9.4129793510324475</v>
      </c>
      <c r="W194" s="524" t="s">
        <v>120</v>
      </c>
      <c r="X194" s="512"/>
    </row>
    <row r="195" spans="1:24" s="513" customFormat="1" x14ac:dyDescent="0.3">
      <c r="A195" s="521"/>
      <c r="B195" s="522" t="s">
        <v>70</v>
      </c>
      <c r="C195" s="522"/>
      <c r="D195" s="522"/>
      <c r="E195" s="522"/>
      <c r="F195" s="522"/>
      <c r="G195" s="522"/>
      <c r="H195" s="522"/>
      <c r="I195" s="522"/>
      <c r="J195" s="522"/>
      <c r="K195" s="522"/>
      <c r="L195" s="522"/>
      <c r="M195" s="522"/>
      <c r="N195" s="522"/>
      <c r="O195" s="522"/>
      <c r="P195" s="522"/>
      <c r="Q195" s="522"/>
      <c r="R195" s="522"/>
      <c r="S195" s="522"/>
      <c r="T195" s="522"/>
      <c r="U195" s="522"/>
      <c r="V195" s="573">
        <v>7.66</v>
      </c>
      <c r="W195" s="524" t="s">
        <v>120</v>
      </c>
      <c r="X195" s="512"/>
    </row>
    <row r="196" spans="1:24" s="513" customFormat="1" x14ac:dyDescent="0.3">
      <c r="A196" s="521"/>
      <c r="B196" s="522" t="s">
        <v>204</v>
      </c>
      <c r="C196" s="522"/>
      <c r="D196" s="522"/>
      <c r="E196" s="522"/>
      <c r="F196" s="522"/>
      <c r="G196" s="522"/>
      <c r="H196" s="522"/>
      <c r="I196" s="522"/>
      <c r="J196" s="522"/>
      <c r="K196" s="522"/>
      <c r="L196" s="522"/>
      <c r="M196" s="522"/>
      <c r="N196" s="522"/>
      <c r="O196" s="522"/>
      <c r="P196" s="522"/>
      <c r="Q196" s="522"/>
      <c r="R196" s="522"/>
      <c r="S196" s="522"/>
      <c r="T196" s="522"/>
      <c r="U196" s="522"/>
      <c r="V196" s="571">
        <f>(V100+V102+V103+V104+V105+V106+V107+V108+V109)/-(V110+V111)</f>
        <v>7.7289972899728996</v>
      </c>
      <c r="W196" s="524" t="s">
        <v>120</v>
      </c>
      <c r="X196" s="512"/>
    </row>
    <row r="197" spans="1:24" s="513" customFormat="1" x14ac:dyDescent="0.3">
      <c r="A197" s="521"/>
      <c r="B197" s="522" t="s">
        <v>205</v>
      </c>
      <c r="C197" s="522"/>
      <c r="D197" s="522"/>
      <c r="E197" s="522"/>
      <c r="F197" s="522"/>
      <c r="G197" s="522"/>
      <c r="H197" s="522"/>
      <c r="I197" s="522"/>
      <c r="J197" s="522"/>
      <c r="K197" s="522"/>
      <c r="L197" s="522"/>
      <c r="M197" s="522"/>
      <c r="N197" s="522"/>
      <c r="O197" s="522"/>
      <c r="P197" s="522"/>
      <c r="Q197" s="522"/>
      <c r="R197" s="522"/>
      <c r="S197" s="522"/>
      <c r="T197" s="522"/>
      <c r="U197" s="522"/>
      <c r="V197" s="573">
        <v>6.99</v>
      </c>
      <c r="W197" s="524" t="s">
        <v>120</v>
      </c>
      <c r="X197" s="512"/>
    </row>
    <row r="198" spans="1:24" s="513" customFormat="1" x14ac:dyDescent="0.3">
      <c r="A198" s="521"/>
      <c r="B198" s="522"/>
      <c r="C198" s="522"/>
      <c r="D198" s="522"/>
      <c r="E198" s="522"/>
      <c r="F198" s="522"/>
      <c r="G198" s="522"/>
      <c r="H198" s="522"/>
      <c r="I198" s="522"/>
      <c r="J198" s="522"/>
      <c r="K198" s="522"/>
      <c r="L198" s="522"/>
      <c r="M198" s="522"/>
      <c r="N198" s="522"/>
      <c r="O198" s="522"/>
      <c r="P198" s="522"/>
      <c r="Q198" s="522"/>
      <c r="R198" s="522"/>
      <c r="S198" s="522"/>
      <c r="T198" s="522"/>
      <c r="U198" s="522"/>
      <c r="V198" s="522"/>
      <c r="W198" s="524"/>
      <c r="X198" s="512"/>
    </row>
    <row r="199" spans="1:24" s="513" customFormat="1" x14ac:dyDescent="0.3">
      <c r="A199" s="509"/>
      <c r="B199" s="552"/>
      <c r="C199" s="552"/>
      <c r="D199" s="552"/>
      <c r="E199" s="552"/>
      <c r="F199" s="552"/>
      <c r="G199" s="552"/>
      <c r="H199" s="552"/>
      <c r="I199" s="552"/>
      <c r="J199" s="552"/>
      <c r="K199" s="552"/>
      <c r="L199" s="552"/>
      <c r="M199" s="552"/>
      <c r="N199" s="552"/>
      <c r="O199" s="552"/>
      <c r="P199" s="552"/>
      <c r="Q199" s="552"/>
      <c r="R199" s="552"/>
      <c r="S199" s="552"/>
      <c r="T199" s="552"/>
      <c r="U199" s="552"/>
      <c r="V199" s="552"/>
      <c r="W199" s="552"/>
      <c r="X199" s="512"/>
    </row>
    <row r="200" spans="1:24" s="513" customFormat="1" x14ac:dyDescent="0.3">
      <c r="A200" s="509"/>
      <c r="B200" s="510"/>
      <c r="C200" s="510"/>
      <c r="D200" s="510"/>
      <c r="E200" s="510"/>
      <c r="F200" s="510"/>
      <c r="G200" s="510"/>
      <c r="H200" s="510"/>
      <c r="I200" s="510"/>
      <c r="J200" s="510"/>
      <c r="K200" s="510"/>
      <c r="L200" s="510"/>
      <c r="M200" s="510"/>
      <c r="N200" s="510"/>
      <c r="O200" s="510"/>
      <c r="P200" s="510"/>
      <c r="Q200" s="510"/>
      <c r="R200" s="510"/>
      <c r="S200" s="510"/>
      <c r="T200" s="510"/>
      <c r="U200" s="510"/>
      <c r="V200" s="510"/>
      <c r="W200" s="510"/>
      <c r="X200" s="512"/>
    </row>
    <row r="201" spans="1:24" s="513" customFormat="1" ht="18.600000000000001" thickBot="1" x14ac:dyDescent="0.4">
      <c r="A201" s="557"/>
      <c r="B201" s="558" t="str">
        <f>B141</f>
        <v>PM12 INVESTOR REPORT QUARTER ENDING JULY 2019</v>
      </c>
      <c r="C201" s="559"/>
      <c r="D201" s="559"/>
      <c r="E201" s="559"/>
      <c r="F201" s="559"/>
      <c r="G201" s="559"/>
      <c r="H201" s="559"/>
      <c r="I201" s="559"/>
      <c r="J201" s="559"/>
      <c r="K201" s="559"/>
      <c r="L201" s="559"/>
      <c r="M201" s="559"/>
      <c r="N201" s="559"/>
      <c r="O201" s="559"/>
      <c r="P201" s="559"/>
      <c r="Q201" s="559"/>
      <c r="R201" s="559"/>
      <c r="S201" s="559"/>
      <c r="T201" s="559"/>
      <c r="U201" s="559"/>
      <c r="V201" s="559"/>
      <c r="W201" s="561"/>
      <c r="X201" s="512"/>
    </row>
    <row r="202" spans="1:24" x14ac:dyDescent="0.3">
      <c r="A202" s="444"/>
      <c r="B202" s="445" t="s">
        <v>71</v>
      </c>
      <c r="C202" s="455"/>
      <c r="D202" s="455"/>
      <c r="E202" s="455"/>
      <c r="F202" s="455"/>
      <c r="G202" s="456"/>
      <c r="H202" s="456"/>
      <c r="I202" s="456"/>
      <c r="J202" s="456"/>
      <c r="K202" s="456"/>
      <c r="L202" s="456"/>
      <c r="M202" s="456"/>
      <c r="N202" s="456"/>
      <c r="O202" s="456"/>
      <c r="P202" s="456"/>
      <c r="Q202" s="456"/>
      <c r="R202" s="456"/>
      <c r="S202" s="456"/>
      <c r="T202" s="456">
        <v>43677</v>
      </c>
      <c r="U202" s="446"/>
      <c r="V202" s="446"/>
      <c r="W202" s="446"/>
      <c r="X202" s="405"/>
    </row>
    <row r="203" spans="1:24" x14ac:dyDescent="0.3">
      <c r="A203" s="457"/>
      <c r="B203" s="458"/>
      <c r="C203" s="459"/>
      <c r="D203" s="459"/>
      <c r="E203" s="459"/>
      <c r="F203" s="459"/>
      <c r="G203" s="460"/>
      <c r="H203" s="460"/>
      <c r="I203" s="460"/>
      <c r="J203" s="460"/>
      <c r="K203" s="460"/>
      <c r="L203" s="460"/>
      <c r="M203" s="460"/>
      <c r="N203" s="460"/>
      <c r="O203" s="460"/>
      <c r="P203" s="460"/>
      <c r="Q203" s="460"/>
      <c r="R203" s="460"/>
      <c r="S203" s="460"/>
      <c r="T203" s="460"/>
      <c r="U203" s="409"/>
      <c r="V203" s="409"/>
      <c r="W203" s="409"/>
      <c r="X203" s="405"/>
    </row>
    <row r="204" spans="1:24" s="513" customFormat="1" x14ac:dyDescent="0.3">
      <c r="A204" s="521"/>
      <c r="B204" s="522" t="s">
        <v>72</v>
      </c>
      <c r="C204" s="574"/>
      <c r="D204" s="574"/>
      <c r="E204" s="574"/>
      <c r="F204" s="574"/>
      <c r="G204" s="546"/>
      <c r="H204" s="546"/>
      <c r="I204" s="546"/>
      <c r="J204" s="546"/>
      <c r="K204" s="546"/>
      <c r="L204" s="546"/>
      <c r="M204" s="546"/>
      <c r="N204" s="546"/>
      <c r="O204" s="546"/>
      <c r="P204" s="546"/>
      <c r="Q204" s="546"/>
      <c r="R204" s="546"/>
      <c r="S204" s="546"/>
      <c r="T204" s="539">
        <v>5.2060000000000002E-2</v>
      </c>
      <c r="U204" s="522"/>
      <c r="V204" s="522"/>
      <c r="W204" s="524"/>
      <c r="X204" s="512"/>
    </row>
    <row r="205" spans="1:24" s="513" customFormat="1" x14ac:dyDescent="0.3">
      <c r="A205" s="521"/>
      <c r="B205" s="522" t="s">
        <v>156</v>
      </c>
      <c r="C205" s="574"/>
      <c r="D205" s="574"/>
      <c r="E205" s="574"/>
      <c r="F205" s="574"/>
      <c r="G205" s="546"/>
      <c r="H205" s="546"/>
      <c r="I205" s="546"/>
      <c r="J205" s="546"/>
      <c r="K205" s="546"/>
      <c r="L205" s="546"/>
      <c r="M205" s="546"/>
      <c r="N205" s="546"/>
      <c r="O205" s="546"/>
      <c r="P205" s="546"/>
      <c r="Q205" s="546"/>
      <c r="R205" s="546"/>
      <c r="S205" s="546"/>
      <c r="T205" s="539">
        <f>'Oct 06'!T197</f>
        <v>4.8538814772447772E-2</v>
      </c>
      <c r="U205" s="522"/>
      <c r="V205" s="522"/>
      <c r="W205" s="524"/>
      <c r="X205" s="512"/>
    </row>
    <row r="206" spans="1:24" s="513" customFormat="1" x14ac:dyDescent="0.3">
      <c r="A206" s="521"/>
      <c r="B206" s="522" t="s">
        <v>73</v>
      </c>
      <c r="C206" s="574"/>
      <c r="D206" s="574"/>
      <c r="E206" s="574"/>
      <c r="F206" s="574"/>
      <c r="G206" s="546"/>
      <c r="H206" s="546"/>
      <c r="I206" s="546"/>
      <c r="J206" s="546"/>
      <c r="K206" s="546"/>
      <c r="L206" s="546"/>
      <c r="M206" s="546"/>
      <c r="N206" s="546"/>
      <c r="O206" s="546"/>
      <c r="P206" s="546"/>
      <c r="Q206" s="546"/>
      <c r="R206" s="546"/>
      <c r="S206" s="546"/>
      <c r="T206" s="539">
        <f>T204-T205</f>
        <v>3.5211852275522301E-3</v>
      </c>
      <c r="U206" s="522"/>
      <c r="V206" s="522"/>
      <c r="W206" s="524"/>
      <c r="X206" s="512"/>
    </row>
    <row r="207" spans="1:24" s="513" customFormat="1" x14ac:dyDescent="0.3">
      <c r="A207" s="521"/>
      <c r="B207" s="522" t="s">
        <v>74</v>
      </c>
      <c r="C207" s="574"/>
      <c r="D207" s="574"/>
      <c r="E207" s="574"/>
      <c r="F207" s="574"/>
      <c r="G207" s="546"/>
      <c r="H207" s="546"/>
      <c r="I207" s="546"/>
      <c r="J207" s="546"/>
      <c r="K207" s="546"/>
      <c r="L207" s="546"/>
      <c r="M207" s="546"/>
      <c r="N207" s="546"/>
      <c r="O207" s="546"/>
      <c r="P207" s="546"/>
      <c r="Q207" s="546"/>
      <c r="R207" s="546"/>
      <c r="S207" s="546"/>
      <c r="T207" s="539">
        <v>2.5190000000000001E-2</v>
      </c>
      <c r="U207" s="522"/>
      <c r="V207" s="522"/>
      <c r="W207" s="524"/>
      <c r="X207" s="512"/>
    </row>
    <row r="208" spans="1:24" s="513" customFormat="1" x14ac:dyDescent="0.3">
      <c r="A208" s="521"/>
      <c r="B208" s="522" t="s">
        <v>225</v>
      </c>
      <c r="C208" s="574"/>
      <c r="D208" s="574"/>
      <c r="E208" s="574"/>
      <c r="F208" s="574"/>
      <c r="G208" s="546"/>
      <c r="H208" s="546"/>
      <c r="I208" s="546"/>
      <c r="J208" s="546"/>
      <c r="K208" s="546"/>
      <c r="L208" s="546"/>
      <c r="M208" s="546"/>
      <c r="N208" s="546"/>
      <c r="O208" s="546"/>
      <c r="P208" s="546"/>
      <c r="Q208" s="546"/>
      <c r="R208" s="546"/>
      <c r="S208" s="546"/>
      <c r="T208" s="539">
        <f>V43</f>
        <v>1.1714864805425974E-2</v>
      </c>
      <c r="U208" s="522"/>
      <c r="V208" s="522"/>
      <c r="W208" s="524"/>
      <c r="X208" s="512"/>
    </row>
    <row r="209" spans="1:24" s="513" customFormat="1" x14ac:dyDescent="0.3">
      <c r="A209" s="521"/>
      <c r="B209" s="522" t="s">
        <v>75</v>
      </c>
      <c r="C209" s="574"/>
      <c r="D209" s="574"/>
      <c r="E209" s="574"/>
      <c r="F209" s="574"/>
      <c r="G209" s="546"/>
      <c r="H209" s="546"/>
      <c r="I209" s="546"/>
      <c r="J209" s="546"/>
      <c r="K209" s="546"/>
      <c r="L209" s="546"/>
      <c r="M209" s="546"/>
      <c r="N209" s="546"/>
      <c r="O209" s="546"/>
      <c r="P209" s="546"/>
      <c r="Q209" s="546"/>
      <c r="R209" s="546"/>
      <c r="S209" s="546"/>
      <c r="T209" s="539">
        <f>T207-T208</f>
        <v>1.3475135194574026E-2</v>
      </c>
      <c r="U209" s="522"/>
      <c r="V209" s="522"/>
      <c r="W209" s="524"/>
      <c r="X209" s="512"/>
    </row>
    <row r="210" spans="1:24" s="513" customFormat="1" x14ac:dyDescent="0.3">
      <c r="A210" s="521"/>
      <c r="B210" s="522" t="s">
        <v>271</v>
      </c>
      <c r="C210" s="574"/>
      <c r="D210" s="574"/>
      <c r="E210" s="574"/>
      <c r="F210" s="574"/>
      <c r="G210" s="546"/>
      <c r="H210" s="546"/>
      <c r="I210" s="546"/>
      <c r="J210" s="546"/>
      <c r="K210" s="546"/>
      <c r="L210" s="546"/>
      <c r="M210" s="546"/>
      <c r="N210" s="546"/>
      <c r="O210" s="546"/>
      <c r="P210" s="546"/>
      <c r="Q210" s="546"/>
      <c r="R210" s="546"/>
      <c r="S210" s="546"/>
      <c r="T210" s="539">
        <f>+V100/N71</f>
        <v>6.9749952998683961E-3</v>
      </c>
      <c r="U210" s="522"/>
      <c r="V210" s="522"/>
      <c r="W210" s="524"/>
      <c r="X210" s="512"/>
    </row>
    <row r="211" spans="1:24" s="513" customFormat="1" x14ac:dyDescent="0.3">
      <c r="A211" s="521"/>
      <c r="B211" s="522" t="s">
        <v>214</v>
      </c>
      <c r="C211" s="574"/>
      <c r="D211" s="574"/>
      <c r="E211" s="574"/>
      <c r="F211" s="574"/>
      <c r="G211" s="546"/>
      <c r="H211" s="546"/>
      <c r="I211" s="546"/>
      <c r="J211" s="546"/>
      <c r="K211" s="546"/>
      <c r="L211" s="546"/>
      <c r="M211" s="546"/>
      <c r="N211" s="546"/>
      <c r="O211" s="546"/>
      <c r="P211" s="546"/>
      <c r="Q211" s="546"/>
      <c r="R211" s="546"/>
      <c r="S211" s="546"/>
      <c r="T211" s="575">
        <v>50710</v>
      </c>
      <c r="U211" s="522"/>
      <c r="V211" s="522"/>
      <c r="W211" s="524"/>
      <c r="X211" s="512"/>
    </row>
    <row r="212" spans="1:24" s="513" customFormat="1" x14ac:dyDescent="0.3">
      <c r="A212" s="521"/>
      <c r="B212" s="522" t="s">
        <v>215</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216</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76</v>
      </c>
      <c r="C214" s="574"/>
      <c r="D214" s="574"/>
      <c r="E214" s="574"/>
      <c r="F214" s="574"/>
      <c r="G214" s="546"/>
      <c r="H214" s="546"/>
      <c r="I214" s="546"/>
      <c r="J214" s="546"/>
      <c r="K214" s="546"/>
      <c r="L214" s="546"/>
      <c r="M214" s="546"/>
      <c r="N214" s="546"/>
      <c r="O214" s="546"/>
      <c r="P214" s="546"/>
      <c r="Q214" s="546"/>
      <c r="R214" s="546"/>
      <c r="S214" s="546"/>
      <c r="T214" s="544">
        <v>21.06</v>
      </c>
      <c r="U214" s="522" t="s">
        <v>115</v>
      </c>
      <c r="V214" s="522"/>
      <c r="W214" s="524"/>
      <c r="X214" s="512"/>
    </row>
    <row r="215" spans="1:24" s="513" customFormat="1" x14ac:dyDescent="0.3">
      <c r="A215" s="521"/>
      <c r="B215" s="522" t="s">
        <v>77</v>
      </c>
      <c r="C215" s="574"/>
      <c r="D215" s="574"/>
      <c r="E215" s="574"/>
      <c r="F215" s="574"/>
      <c r="G215" s="546"/>
      <c r="H215" s="546"/>
      <c r="I215" s="546"/>
      <c r="J215" s="546"/>
      <c r="K215" s="546"/>
      <c r="L215" s="546"/>
      <c r="M215" s="546"/>
      <c r="N215" s="546"/>
      <c r="O215" s="546"/>
      <c r="P215" s="546"/>
      <c r="Q215" s="546"/>
      <c r="R215" s="546"/>
      <c r="S215" s="546"/>
      <c r="T215" s="544">
        <v>8.8800000000000008</v>
      </c>
      <c r="U215" s="522" t="s">
        <v>115</v>
      </c>
      <c r="V215" s="522"/>
      <c r="W215" s="524"/>
      <c r="X215" s="512"/>
    </row>
    <row r="216" spans="1:24" s="513" customFormat="1" x14ac:dyDescent="0.3">
      <c r="A216" s="521"/>
      <c r="B216" s="522" t="s">
        <v>78</v>
      </c>
      <c r="C216" s="574"/>
      <c r="D216" s="574"/>
      <c r="E216" s="574"/>
      <c r="F216" s="574"/>
      <c r="G216" s="546"/>
      <c r="H216" s="546"/>
      <c r="I216" s="546"/>
      <c r="J216" s="546"/>
      <c r="K216" s="546"/>
      <c r="L216" s="546"/>
      <c r="M216" s="546"/>
      <c r="N216" s="546"/>
      <c r="O216" s="546"/>
      <c r="P216" s="546"/>
      <c r="Q216" s="546"/>
      <c r="R216" s="546"/>
      <c r="S216" s="546"/>
      <c r="T216" s="539">
        <f>P68/N68</f>
        <v>1.8639998843044528E-2</v>
      </c>
      <c r="U216" s="522"/>
      <c r="V216" s="522"/>
      <c r="W216" s="524"/>
      <c r="X216" s="512"/>
    </row>
    <row r="217" spans="1:24" s="513" customFormat="1" x14ac:dyDescent="0.3">
      <c r="A217" s="521"/>
      <c r="B217" s="522" t="s">
        <v>79</v>
      </c>
      <c r="C217" s="574"/>
      <c r="D217" s="574"/>
      <c r="E217" s="574"/>
      <c r="F217" s="574"/>
      <c r="G217" s="546"/>
      <c r="H217" s="546"/>
      <c r="I217" s="546"/>
      <c r="J217" s="546"/>
      <c r="K217" s="546"/>
      <c r="L217" s="546"/>
      <c r="M217" s="546"/>
      <c r="N217" s="546"/>
      <c r="O217" s="546"/>
      <c r="P217" s="546"/>
      <c r="Q217" s="546"/>
      <c r="R217" s="546"/>
      <c r="S217" s="546"/>
      <c r="T217" s="539">
        <v>6.2799999999999995E-2</v>
      </c>
      <c r="U217" s="522"/>
      <c r="V217" s="522"/>
      <c r="W217" s="524"/>
      <c r="X217" s="512"/>
    </row>
    <row r="218" spans="1:24" x14ac:dyDescent="0.3">
      <c r="A218" s="457"/>
      <c r="B218" s="461"/>
      <c r="C218" s="461"/>
      <c r="D218" s="461"/>
      <c r="E218" s="461"/>
      <c r="F218" s="461"/>
      <c r="G218" s="429"/>
      <c r="H218" s="429"/>
      <c r="I218" s="429"/>
      <c r="J218" s="429"/>
      <c r="K218" s="429"/>
      <c r="L218" s="429"/>
      <c r="M218" s="429"/>
      <c r="N218" s="429"/>
      <c r="O218" s="429"/>
      <c r="P218" s="429"/>
      <c r="Q218" s="429"/>
      <c r="R218" s="429"/>
      <c r="S218" s="429"/>
      <c r="T218" s="449"/>
      <c r="U218" s="429"/>
      <c r="V218" s="462"/>
      <c r="W218" s="429"/>
      <c r="X218" s="405"/>
    </row>
    <row r="219" spans="1:24" x14ac:dyDescent="0.3">
      <c r="A219" s="463"/>
      <c r="B219" s="464" t="s">
        <v>80</v>
      </c>
      <c r="C219" s="465"/>
      <c r="D219" s="465"/>
      <c r="E219" s="465"/>
      <c r="F219" s="466"/>
      <c r="G219" s="465"/>
      <c r="H219" s="465"/>
      <c r="I219" s="465"/>
      <c r="J219" s="465"/>
      <c r="K219" s="465"/>
      <c r="L219" s="465"/>
      <c r="M219" s="465"/>
      <c r="N219" s="465"/>
      <c r="O219" s="465"/>
      <c r="P219" s="465"/>
      <c r="Q219" s="465"/>
      <c r="R219" s="465"/>
      <c r="S219" s="465" t="s">
        <v>104</v>
      </c>
      <c r="T219" s="466" t="s">
        <v>111</v>
      </c>
      <c r="U219" s="467"/>
      <c r="V219" s="467"/>
      <c r="W219" s="468"/>
      <c r="X219" s="405"/>
    </row>
    <row r="220" spans="1:24" x14ac:dyDescent="0.3">
      <c r="A220" s="469"/>
      <c r="B220" s="552" t="s">
        <v>81</v>
      </c>
      <c r="C220" s="567"/>
      <c r="D220" s="567"/>
      <c r="E220" s="567"/>
      <c r="F220" s="552"/>
      <c r="G220" s="552"/>
      <c r="H220" s="576"/>
      <c r="I220" s="576"/>
      <c r="J220" s="576"/>
      <c r="K220" s="576"/>
      <c r="L220" s="576"/>
      <c r="M220" s="576"/>
      <c r="N220" s="576"/>
      <c r="O220" s="576"/>
      <c r="P220" s="576"/>
      <c r="Q220" s="576"/>
      <c r="R220" s="576"/>
      <c r="S220" s="576">
        <v>1</v>
      </c>
      <c r="T220" s="577">
        <v>63</v>
      </c>
      <c r="U220" s="429"/>
      <c r="V220" s="462"/>
      <c r="W220" s="470"/>
      <c r="X220" s="405"/>
    </row>
    <row r="221" spans="1:24" x14ac:dyDescent="0.3">
      <c r="A221" s="471"/>
      <c r="B221" s="522" t="s">
        <v>150</v>
      </c>
      <c r="C221" s="562"/>
      <c r="D221" s="562"/>
      <c r="E221" s="562"/>
      <c r="F221" s="522"/>
      <c r="G221" s="522"/>
      <c r="H221" s="528"/>
      <c r="I221" s="528"/>
      <c r="J221" s="528"/>
      <c r="K221" s="528"/>
      <c r="L221" s="528"/>
      <c r="M221" s="528"/>
      <c r="N221" s="528"/>
      <c r="O221" s="528"/>
      <c r="P221" s="528"/>
      <c r="Q221" s="528"/>
      <c r="R221" s="528"/>
      <c r="S221" s="578">
        <f>+R273</f>
        <v>80</v>
      </c>
      <c r="T221" s="579">
        <f>+T273</f>
        <v>13377</v>
      </c>
      <c r="U221" s="424"/>
      <c r="V221" s="474"/>
      <c r="W221" s="475"/>
      <c r="X221" s="405"/>
    </row>
    <row r="222" spans="1:24" x14ac:dyDescent="0.3">
      <c r="A222" s="471"/>
      <c r="B222" s="522" t="s">
        <v>82</v>
      </c>
      <c r="C222" s="562"/>
      <c r="D222" s="562"/>
      <c r="E222" s="562"/>
      <c r="F222" s="522"/>
      <c r="G222" s="522"/>
      <c r="H222" s="528"/>
      <c r="I222" s="528"/>
      <c r="J222" s="528"/>
      <c r="K222" s="528"/>
      <c r="L222" s="528"/>
      <c r="M222" s="528"/>
      <c r="N222" s="528"/>
      <c r="O222" s="528"/>
      <c r="P222" s="528"/>
      <c r="Q222" s="528"/>
      <c r="R222" s="528"/>
      <c r="S222" s="578">
        <f>+R285</f>
        <v>1</v>
      </c>
      <c r="T222" s="579">
        <f>+T285</f>
        <v>48</v>
      </c>
      <c r="U222" s="424"/>
      <c r="V222" s="474"/>
      <c r="W222" s="475"/>
      <c r="X222" s="405"/>
    </row>
    <row r="223" spans="1:24" x14ac:dyDescent="0.3">
      <c r="A223" s="471"/>
      <c r="B223" s="493" t="s">
        <v>83</v>
      </c>
      <c r="C223" s="472"/>
      <c r="D223" s="472"/>
      <c r="E223" s="472"/>
      <c r="F223" s="424"/>
      <c r="G223" s="424"/>
      <c r="H223" s="424"/>
      <c r="I223" s="424"/>
      <c r="J223" s="424"/>
      <c r="K223" s="424"/>
      <c r="L223" s="424"/>
      <c r="M223" s="424"/>
      <c r="N223" s="424"/>
      <c r="O223" s="424"/>
      <c r="P223" s="424"/>
      <c r="Q223" s="424"/>
      <c r="R223" s="424"/>
      <c r="S223" s="421"/>
      <c r="T223" s="579">
        <v>0</v>
      </c>
      <c r="U223" s="424"/>
      <c r="V223" s="474"/>
      <c r="W223" s="475"/>
      <c r="X223" s="405"/>
    </row>
    <row r="224" spans="1:24" x14ac:dyDescent="0.3">
      <c r="A224" s="471"/>
      <c r="B224" s="493" t="s">
        <v>84</v>
      </c>
      <c r="C224" s="472"/>
      <c r="D224" s="472"/>
      <c r="E224" s="472"/>
      <c r="F224" s="424"/>
      <c r="G224" s="424"/>
      <c r="H224" s="424"/>
      <c r="I224" s="424"/>
      <c r="J224" s="424"/>
      <c r="K224" s="424"/>
      <c r="L224" s="424"/>
      <c r="M224" s="424"/>
      <c r="N224" s="424"/>
      <c r="O224" s="424"/>
      <c r="P224" s="424"/>
      <c r="Q224" s="424"/>
      <c r="R224" s="424"/>
      <c r="S224" s="421"/>
      <c r="T224" s="580" t="s">
        <v>112</v>
      </c>
      <c r="U224" s="424"/>
      <c r="V224" s="474"/>
      <c r="W224" s="475"/>
      <c r="X224" s="405"/>
    </row>
    <row r="225" spans="1:24" x14ac:dyDescent="0.3">
      <c r="A225" s="476"/>
      <c r="B225" s="493" t="s">
        <v>85</v>
      </c>
      <c r="C225" s="477"/>
      <c r="D225" s="477"/>
      <c r="E225" s="477"/>
      <c r="F225" s="477"/>
      <c r="G225" s="424"/>
      <c r="H225" s="424"/>
      <c r="I225" s="424"/>
      <c r="J225" s="424"/>
      <c r="K225" s="424"/>
      <c r="L225" s="424"/>
      <c r="M225" s="424"/>
      <c r="N225" s="424"/>
      <c r="O225" s="424"/>
      <c r="P225" s="424"/>
      <c r="Q225" s="424"/>
      <c r="R225" s="424"/>
      <c r="S225" s="421"/>
      <c r="T225" s="473"/>
      <c r="U225" s="424"/>
      <c r="V225" s="474"/>
      <c r="W225" s="478"/>
      <c r="X225" s="405"/>
    </row>
    <row r="226" spans="1:24" s="513" customFormat="1" x14ac:dyDescent="0.3">
      <c r="A226" s="581"/>
      <c r="B226" s="522" t="s">
        <v>86</v>
      </c>
      <c r="C226" s="522"/>
      <c r="D226" s="522"/>
      <c r="E226" s="522"/>
      <c r="F226" s="522"/>
      <c r="G226" s="522"/>
      <c r="H226" s="522"/>
      <c r="I226" s="522"/>
      <c r="J226" s="522"/>
      <c r="K226" s="522"/>
      <c r="L226" s="522"/>
      <c r="M226" s="522"/>
      <c r="N226" s="522"/>
      <c r="O226" s="522"/>
      <c r="P226" s="522"/>
      <c r="Q226" s="522"/>
      <c r="R226" s="522"/>
      <c r="S226" s="528"/>
      <c r="T226" s="579">
        <f>+V170</f>
        <v>47</v>
      </c>
      <c r="U226" s="522"/>
      <c r="V226" s="582"/>
      <c r="W226" s="583"/>
      <c r="X226" s="512"/>
    </row>
    <row r="227" spans="1:24" s="513" customFormat="1" x14ac:dyDescent="0.3">
      <c r="A227" s="584"/>
      <c r="B227" s="522" t="s">
        <v>87</v>
      </c>
      <c r="C227" s="562"/>
      <c r="D227" s="562"/>
      <c r="E227" s="562"/>
      <c r="F227" s="562"/>
      <c r="G227" s="522"/>
      <c r="H227" s="522"/>
      <c r="I227" s="522"/>
      <c r="J227" s="522"/>
      <c r="K227" s="522"/>
      <c r="L227" s="522"/>
      <c r="M227" s="522"/>
      <c r="N227" s="522"/>
      <c r="O227" s="522"/>
      <c r="P227" s="522"/>
      <c r="Q227" s="522"/>
      <c r="R227" s="522"/>
      <c r="S227" s="528"/>
      <c r="T227" s="579">
        <f>'April 19'!T222+'July 19'!T226</f>
        <v>7709</v>
      </c>
      <c r="U227" s="522"/>
      <c r="V227" s="582"/>
      <c r="W227" s="583"/>
      <c r="X227" s="512"/>
    </row>
    <row r="228" spans="1:24" x14ac:dyDescent="0.3">
      <c r="A228" s="476"/>
      <c r="B228" s="493" t="s">
        <v>292</v>
      </c>
      <c r="C228" s="477"/>
      <c r="D228" s="477"/>
      <c r="E228" s="477"/>
      <c r="F228" s="477"/>
      <c r="G228" s="424"/>
      <c r="H228" s="424"/>
      <c r="I228" s="424"/>
      <c r="J228" s="424"/>
      <c r="K228" s="424"/>
      <c r="L228" s="424"/>
      <c r="M228" s="424"/>
      <c r="N228" s="424"/>
      <c r="O228" s="424"/>
      <c r="P228" s="424"/>
      <c r="Q228" s="424"/>
      <c r="R228" s="424"/>
      <c r="S228" s="423"/>
      <c r="T228" s="473"/>
      <c r="U228" s="424"/>
      <c r="V228" s="474"/>
      <c r="W228" s="478"/>
      <c r="X228" s="405"/>
    </row>
    <row r="229" spans="1:24" s="513" customFormat="1" x14ac:dyDescent="0.3">
      <c r="A229" s="581"/>
      <c r="B229" s="522" t="s">
        <v>290</v>
      </c>
      <c r="C229" s="522"/>
      <c r="D229" s="522"/>
      <c r="E229" s="522"/>
      <c r="F229" s="522"/>
      <c r="G229" s="522"/>
      <c r="H229" s="522"/>
      <c r="I229" s="522"/>
      <c r="J229" s="522"/>
      <c r="K229" s="522"/>
      <c r="L229" s="522"/>
      <c r="M229" s="522"/>
      <c r="N229" s="522"/>
      <c r="O229" s="522"/>
      <c r="P229" s="522"/>
      <c r="Q229" s="522"/>
      <c r="R229" s="522"/>
      <c r="S229" s="528">
        <v>0</v>
      </c>
      <c r="T229" s="579">
        <v>0</v>
      </c>
      <c r="U229" s="522"/>
      <c r="V229" s="582"/>
      <c r="W229" s="583"/>
      <c r="X229" s="512"/>
    </row>
    <row r="230" spans="1:24" s="513" customFormat="1" x14ac:dyDescent="0.3">
      <c r="A230" s="584"/>
      <c r="B230" s="522" t="s">
        <v>88</v>
      </c>
      <c r="C230" s="542"/>
      <c r="D230" s="542"/>
      <c r="E230" s="542"/>
      <c r="F230" s="585"/>
      <c r="G230" s="522"/>
      <c r="H230" s="522"/>
      <c r="I230" s="522"/>
      <c r="J230" s="522"/>
      <c r="K230" s="522"/>
      <c r="L230" s="522"/>
      <c r="M230" s="522"/>
      <c r="N230" s="522"/>
      <c r="O230" s="522"/>
      <c r="P230" s="522"/>
      <c r="Q230" s="522"/>
      <c r="R230" s="522"/>
      <c r="S230" s="522"/>
      <c r="T230" s="580">
        <v>0</v>
      </c>
      <c r="U230" s="522"/>
      <c r="V230" s="582"/>
      <c r="W230" s="583"/>
      <c r="X230" s="512"/>
    </row>
    <row r="231" spans="1:24" s="513" customFormat="1" x14ac:dyDescent="0.3">
      <c r="A231" s="584"/>
      <c r="B231" s="522" t="s">
        <v>89</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x14ac:dyDescent="0.3">
      <c r="A232" s="471"/>
      <c r="B232" s="493" t="s">
        <v>223</v>
      </c>
      <c r="C232" s="479"/>
      <c r="D232" s="479"/>
      <c r="E232" s="479"/>
      <c r="F232" s="480"/>
      <c r="G232" s="424"/>
      <c r="H232" s="424"/>
      <c r="I232" s="424"/>
      <c r="J232" s="424"/>
      <c r="K232" s="424"/>
      <c r="L232" s="424"/>
      <c r="M232" s="424"/>
      <c r="N232" s="424"/>
      <c r="O232" s="424"/>
      <c r="P232" s="424"/>
      <c r="Q232" s="424"/>
      <c r="R232" s="424"/>
      <c r="S232" s="421"/>
      <c r="T232" s="481"/>
      <c r="U232" s="424"/>
      <c r="V232" s="474"/>
      <c r="W232" s="478"/>
      <c r="X232" s="405"/>
    </row>
    <row r="233" spans="1:24" s="513" customFormat="1" x14ac:dyDescent="0.3">
      <c r="A233" s="584"/>
      <c r="B233" s="522" t="s">
        <v>290</v>
      </c>
      <c r="C233" s="542"/>
      <c r="D233" s="542"/>
      <c r="E233" s="542"/>
      <c r="F233" s="585"/>
      <c r="G233" s="522"/>
      <c r="H233" s="522"/>
      <c r="I233" s="522"/>
      <c r="J233" s="522"/>
      <c r="K233" s="522"/>
      <c r="L233" s="522"/>
      <c r="M233" s="522"/>
      <c r="N233" s="522"/>
      <c r="O233" s="522"/>
      <c r="P233" s="522"/>
      <c r="Q233" s="522"/>
      <c r="R233" s="522"/>
      <c r="S233" s="528">
        <v>2</v>
      </c>
      <c r="T233" s="579">
        <v>152</v>
      </c>
      <c r="U233" s="522"/>
      <c r="V233" s="582"/>
      <c r="W233" s="583"/>
      <c r="X233" s="512"/>
    </row>
    <row r="234" spans="1:24" s="513" customFormat="1" x14ac:dyDescent="0.3">
      <c r="A234" s="584"/>
      <c r="B234" s="522" t="s">
        <v>224</v>
      </c>
      <c r="C234" s="542"/>
      <c r="D234" s="542"/>
      <c r="E234" s="542"/>
      <c r="F234" s="585"/>
      <c r="G234" s="522"/>
      <c r="H234" s="522"/>
      <c r="I234" s="522"/>
      <c r="J234" s="522"/>
      <c r="K234" s="522"/>
      <c r="L234" s="522"/>
      <c r="M234" s="522"/>
      <c r="N234" s="522"/>
      <c r="O234" s="522"/>
      <c r="P234" s="522"/>
      <c r="Q234" s="522"/>
      <c r="R234" s="522"/>
      <c r="S234" s="522"/>
      <c r="T234" s="580">
        <v>5.62</v>
      </c>
      <c r="U234" s="522"/>
      <c r="V234" s="582"/>
      <c r="W234" s="583"/>
      <c r="X234" s="512"/>
    </row>
    <row r="235" spans="1:24" x14ac:dyDescent="0.3">
      <c r="A235" s="471"/>
      <c r="B235" s="477"/>
      <c r="C235" s="479"/>
      <c r="D235" s="479"/>
      <c r="E235" s="479"/>
      <c r="F235" s="480"/>
      <c r="G235" s="424"/>
      <c r="H235" s="424"/>
      <c r="I235" s="424"/>
      <c r="J235" s="424"/>
      <c r="K235" s="424"/>
      <c r="L235" s="424"/>
      <c r="M235" s="424"/>
      <c r="N235" s="424"/>
      <c r="O235" s="424"/>
      <c r="P235" s="424"/>
      <c r="Q235" s="424"/>
      <c r="R235" s="424"/>
      <c r="S235" s="421"/>
      <c r="T235" s="481"/>
      <c r="U235" s="424"/>
      <c r="V235" s="474"/>
      <c r="W235" s="478"/>
      <c r="X235" s="405"/>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4"/>
      <c r="T236" s="482"/>
      <c r="U236" s="424"/>
      <c r="V236" s="474"/>
      <c r="W236" s="478"/>
      <c r="X236" s="405"/>
    </row>
    <row r="237" spans="1:24" ht="18" x14ac:dyDescent="0.35">
      <c r="A237" s="471"/>
      <c r="B237" s="505" t="s">
        <v>174</v>
      </c>
      <c r="C237" s="479"/>
      <c r="D237" s="479"/>
      <c r="E237" s="479"/>
      <c r="F237" s="480"/>
      <c r="G237" s="424"/>
      <c r="H237" s="424"/>
      <c r="I237" s="424"/>
      <c r="J237" s="424"/>
      <c r="K237" s="424"/>
      <c r="L237" s="424"/>
      <c r="M237" s="424"/>
      <c r="N237" s="424"/>
      <c r="O237" s="424"/>
      <c r="P237" s="606" t="s">
        <v>349</v>
      </c>
      <c r="Q237" s="424"/>
      <c r="R237" s="424"/>
      <c r="S237" s="424"/>
      <c r="T237" s="482"/>
      <c r="U237" s="424"/>
      <c r="V237" s="474"/>
      <c r="W237" s="478"/>
      <c r="X237" s="405"/>
    </row>
    <row r="238" spans="1:24" x14ac:dyDescent="0.3">
      <c r="A238" s="469"/>
      <c r="B238" s="461"/>
      <c r="C238" s="483"/>
      <c r="D238" s="483"/>
      <c r="E238" s="483"/>
      <c r="F238" s="484"/>
      <c r="G238" s="429"/>
      <c r="H238" s="429"/>
      <c r="I238" s="429"/>
      <c r="J238" s="429"/>
      <c r="K238" s="429"/>
      <c r="L238" s="429"/>
      <c r="M238" s="429"/>
      <c r="N238" s="429"/>
      <c r="O238" s="429"/>
      <c r="P238" s="429"/>
      <c r="Q238" s="429"/>
      <c r="R238" s="429"/>
      <c r="S238" s="429"/>
      <c r="T238" s="485"/>
      <c r="U238" s="429"/>
      <c r="V238" s="462"/>
      <c r="W238" s="486"/>
      <c r="X238" s="405"/>
    </row>
    <row r="239" spans="1:24" x14ac:dyDescent="0.3">
      <c r="A239" s="418"/>
      <c r="B239" s="464" t="s">
        <v>361</v>
      </c>
      <c r="C239" s="465"/>
      <c r="D239" s="465"/>
      <c r="E239" s="465"/>
      <c r="F239" s="466"/>
      <c r="G239" s="465"/>
      <c r="H239" s="465"/>
      <c r="I239" s="465"/>
      <c r="J239" s="465"/>
      <c r="K239" s="465"/>
      <c r="L239" s="465"/>
      <c r="M239" s="465"/>
      <c r="N239" s="465"/>
      <c r="O239" s="465"/>
      <c r="P239" s="465"/>
      <c r="Q239" s="465"/>
      <c r="R239" s="466" t="s">
        <v>104</v>
      </c>
      <c r="S239" s="465" t="s">
        <v>105</v>
      </c>
      <c r="T239" s="466" t="s">
        <v>113</v>
      </c>
      <c r="U239" s="465" t="s">
        <v>105</v>
      </c>
      <c r="V239" s="467"/>
      <c r="W239" s="487"/>
      <c r="X239" s="405"/>
    </row>
    <row r="240" spans="1:24" s="513" customFormat="1" x14ac:dyDescent="0.3">
      <c r="A240" s="509"/>
      <c r="B240" s="567" t="s">
        <v>90</v>
      </c>
      <c r="C240" s="586"/>
      <c r="D240" s="586"/>
      <c r="E240" s="586"/>
      <c r="F240" s="552"/>
      <c r="G240" s="586"/>
      <c r="H240" s="586"/>
      <c r="I240" s="586"/>
      <c r="J240" s="586"/>
      <c r="K240" s="586"/>
      <c r="L240" s="586"/>
      <c r="M240" s="586"/>
      <c r="N240" s="586"/>
      <c r="O240" s="586"/>
      <c r="P240" s="586"/>
      <c r="Q240" s="586"/>
      <c r="R240" s="587">
        <f t="shared" ref="R240:R247" si="1">+R252+R264+R276</f>
        <v>5136</v>
      </c>
      <c r="S240" s="588">
        <f t="shared" ref="S240:S247" si="2">R240/$R$249</f>
        <v>0.99457784663051896</v>
      </c>
      <c r="T240" s="589">
        <f t="shared" ref="T240:T247" si="3">+T252+T264+T276</f>
        <v>673149</v>
      </c>
      <c r="U240" s="588">
        <f t="shared" ref="U240:U247" si="4">T240/$T$249</f>
        <v>0.99199506028020235</v>
      </c>
      <c r="V240" s="590"/>
      <c r="W240" s="591"/>
      <c r="X240" s="512"/>
    </row>
    <row r="241" spans="1:25" s="513" customFormat="1" x14ac:dyDescent="0.3">
      <c r="A241" s="521"/>
      <c r="B241" s="562" t="s">
        <v>91</v>
      </c>
      <c r="C241" s="592"/>
      <c r="D241" s="592"/>
      <c r="E241" s="592"/>
      <c r="F241" s="522"/>
      <c r="G241" s="593"/>
      <c r="H241" s="592"/>
      <c r="I241" s="592"/>
      <c r="J241" s="592"/>
      <c r="K241" s="592"/>
      <c r="L241" s="592"/>
      <c r="M241" s="592"/>
      <c r="N241" s="592"/>
      <c r="O241" s="592"/>
      <c r="P241" s="592"/>
      <c r="Q241" s="592"/>
      <c r="R241" s="562">
        <f t="shared" si="1"/>
        <v>9</v>
      </c>
      <c r="S241" s="593">
        <f t="shared" si="2"/>
        <v>1.7428350116189002E-3</v>
      </c>
      <c r="T241" s="563">
        <f t="shared" si="3"/>
        <v>1583</v>
      </c>
      <c r="U241" s="593">
        <f t="shared" si="4"/>
        <v>2.3328092003754896E-3</v>
      </c>
      <c r="V241" s="582"/>
      <c r="W241" s="583"/>
      <c r="X241" s="512"/>
      <c r="Y241" s="570"/>
    </row>
    <row r="242" spans="1:25" s="513" customFormat="1" x14ac:dyDescent="0.3">
      <c r="A242" s="521"/>
      <c r="B242" s="562" t="s">
        <v>92</v>
      </c>
      <c r="C242" s="592"/>
      <c r="D242" s="592"/>
      <c r="E242" s="592"/>
      <c r="F242" s="522"/>
      <c r="G242" s="593"/>
      <c r="H242" s="592"/>
      <c r="I242" s="592"/>
      <c r="J242" s="592"/>
      <c r="K242" s="592"/>
      <c r="L242" s="592"/>
      <c r="M242" s="592"/>
      <c r="N242" s="592"/>
      <c r="O242" s="592"/>
      <c r="P242" s="592"/>
      <c r="Q242" s="592"/>
      <c r="R242" s="562">
        <f t="shared" si="1"/>
        <v>3</v>
      </c>
      <c r="S242" s="593">
        <f t="shared" si="2"/>
        <v>5.8094500387296665E-4</v>
      </c>
      <c r="T242" s="563">
        <f t="shared" si="3"/>
        <v>842</v>
      </c>
      <c r="U242" s="593">
        <f t="shared" si="4"/>
        <v>1.2408246031055982E-3</v>
      </c>
      <c r="V242" s="582"/>
      <c r="W242" s="583"/>
      <c r="X242" s="512"/>
    </row>
    <row r="243" spans="1:25" s="513" customFormat="1" x14ac:dyDescent="0.3">
      <c r="A243" s="521"/>
      <c r="B243" s="562" t="s">
        <v>161</v>
      </c>
      <c r="C243" s="592"/>
      <c r="D243" s="592"/>
      <c r="E243" s="592"/>
      <c r="F243" s="522"/>
      <c r="G243" s="593"/>
      <c r="H243" s="592"/>
      <c r="I243" s="592"/>
      <c r="J243" s="592"/>
      <c r="K243" s="592"/>
      <c r="L243" s="592"/>
      <c r="M243" s="592"/>
      <c r="N243" s="592"/>
      <c r="O243" s="592"/>
      <c r="P243" s="592"/>
      <c r="Q243" s="592"/>
      <c r="R243" s="562">
        <f t="shared" si="1"/>
        <v>7</v>
      </c>
      <c r="S243" s="593">
        <f t="shared" si="2"/>
        <v>1.3555383423702555E-3</v>
      </c>
      <c r="T243" s="563">
        <f t="shared" si="3"/>
        <v>2138</v>
      </c>
      <c r="U243" s="593">
        <f t="shared" si="4"/>
        <v>3.1506924007598208E-3</v>
      </c>
      <c r="V243" s="582"/>
      <c r="W243" s="583"/>
      <c r="X243" s="512"/>
      <c r="Y243" s="570"/>
    </row>
    <row r="244" spans="1:25" s="513" customFormat="1" x14ac:dyDescent="0.3">
      <c r="A244" s="521"/>
      <c r="B244" s="562" t="s">
        <v>162</v>
      </c>
      <c r="C244" s="592"/>
      <c r="D244" s="592"/>
      <c r="E244" s="592"/>
      <c r="F244" s="522"/>
      <c r="G244" s="593"/>
      <c r="H244" s="592"/>
      <c r="I244" s="592"/>
      <c r="J244" s="592"/>
      <c r="K244" s="592"/>
      <c r="L244" s="592"/>
      <c r="M244" s="592"/>
      <c r="N244" s="592"/>
      <c r="O244" s="592"/>
      <c r="P244" s="592"/>
      <c r="Q244" s="592"/>
      <c r="R244" s="562">
        <f t="shared" si="1"/>
        <v>5</v>
      </c>
      <c r="S244" s="593">
        <f t="shared" si="2"/>
        <v>9.6824167312161119E-4</v>
      </c>
      <c r="T244" s="563">
        <f t="shared" si="3"/>
        <v>490</v>
      </c>
      <c r="U244" s="593">
        <f t="shared" si="4"/>
        <v>7.2209507781679713E-4</v>
      </c>
      <c r="V244" s="582"/>
      <c r="W244" s="583"/>
      <c r="X244" s="512"/>
    </row>
    <row r="245" spans="1:25" s="513" customFormat="1" x14ac:dyDescent="0.3">
      <c r="A245" s="521"/>
      <c r="B245" s="562" t="s">
        <v>163</v>
      </c>
      <c r="C245" s="592"/>
      <c r="D245" s="592"/>
      <c r="E245" s="592"/>
      <c r="F245" s="522"/>
      <c r="G245" s="593"/>
      <c r="H245" s="592"/>
      <c r="I245" s="592"/>
      <c r="J245" s="592"/>
      <c r="K245" s="592"/>
      <c r="L245" s="592"/>
      <c r="M245" s="592"/>
      <c r="N245" s="592"/>
      <c r="O245" s="592"/>
      <c r="P245" s="592"/>
      <c r="Q245" s="592"/>
      <c r="R245" s="562">
        <f t="shared" si="1"/>
        <v>1</v>
      </c>
      <c r="S245" s="593">
        <f t="shared" si="2"/>
        <v>1.9364833462432224E-4</v>
      </c>
      <c r="T245" s="563">
        <f t="shared" si="3"/>
        <v>93</v>
      </c>
      <c r="U245" s="593">
        <f t="shared" si="4"/>
        <v>1.3705069844277987E-4</v>
      </c>
      <c r="V245" s="582"/>
      <c r="W245" s="583"/>
      <c r="X245" s="512"/>
      <c r="Y245" s="570"/>
    </row>
    <row r="246" spans="1:25" s="513" customFormat="1" x14ac:dyDescent="0.3">
      <c r="A246" s="521"/>
      <c r="B246" s="562" t="s">
        <v>164</v>
      </c>
      <c r="C246" s="592"/>
      <c r="D246" s="592"/>
      <c r="E246" s="592"/>
      <c r="F246" s="522"/>
      <c r="G246" s="593"/>
      <c r="H246" s="592"/>
      <c r="I246" s="592"/>
      <c r="J246" s="592"/>
      <c r="K246" s="592"/>
      <c r="L246" s="592"/>
      <c r="M246" s="592"/>
      <c r="N246" s="592"/>
      <c r="O246" s="592"/>
      <c r="P246" s="592"/>
      <c r="Q246" s="592"/>
      <c r="R246" s="562">
        <f t="shared" si="1"/>
        <v>2</v>
      </c>
      <c r="S246" s="593">
        <f t="shared" si="2"/>
        <v>3.8729666924864449E-4</v>
      </c>
      <c r="T246" s="563">
        <f t="shared" si="3"/>
        <v>222</v>
      </c>
      <c r="U246" s="593">
        <f t="shared" si="4"/>
        <v>3.2715328015373257E-4</v>
      </c>
      <c r="V246" s="582"/>
      <c r="W246" s="583"/>
      <c r="X246" s="512"/>
    </row>
    <row r="247" spans="1:25" s="513" customFormat="1" x14ac:dyDescent="0.3">
      <c r="A247" s="521"/>
      <c r="B247" s="562" t="s">
        <v>165</v>
      </c>
      <c r="C247" s="592"/>
      <c r="D247" s="592"/>
      <c r="E247" s="592"/>
      <c r="F247" s="522"/>
      <c r="G247" s="593"/>
      <c r="H247" s="592"/>
      <c r="I247" s="592"/>
      <c r="J247" s="592"/>
      <c r="K247" s="592"/>
      <c r="L247" s="592"/>
      <c r="M247" s="592"/>
      <c r="N247" s="592"/>
      <c r="O247" s="592"/>
      <c r="P247" s="592"/>
      <c r="Q247" s="592"/>
      <c r="R247" s="562">
        <f t="shared" si="1"/>
        <v>1</v>
      </c>
      <c r="S247" s="593">
        <f t="shared" si="2"/>
        <v>1.9364833462432224E-4</v>
      </c>
      <c r="T247" s="563">
        <f t="shared" si="3"/>
        <v>64</v>
      </c>
      <c r="U247" s="593">
        <f t="shared" si="4"/>
        <v>9.43144591434184E-5</v>
      </c>
      <c r="V247" s="582"/>
      <c r="W247" s="583"/>
      <c r="X247" s="512"/>
      <c r="Y247" s="570"/>
    </row>
    <row r="248" spans="1:25" s="513" customFormat="1" x14ac:dyDescent="0.3">
      <c r="A248" s="521"/>
      <c r="B248" s="562"/>
      <c r="C248" s="592"/>
      <c r="D248" s="592"/>
      <c r="E248" s="592"/>
      <c r="F248" s="522"/>
      <c r="G248" s="593"/>
      <c r="H248" s="592"/>
      <c r="I248" s="592"/>
      <c r="J248" s="592"/>
      <c r="K248" s="592"/>
      <c r="L248" s="592"/>
      <c r="M248" s="592"/>
      <c r="N248" s="592"/>
      <c r="O248" s="592"/>
      <c r="P248" s="592"/>
      <c r="Q248" s="592"/>
      <c r="R248" s="562"/>
      <c r="S248" s="593"/>
      <c r="T248" s="563"/>
      <c r="U248" s="593"/>
      <c r="V248" s="582"/>
      <c r="W248" s="583"/>
      <c r="X248" s="512"/>
    </row>
    <row r="249" spans="1:25" s="513" customFormat="1" x14ac:dyDescent="0.3">
      <c r="A249" s="521"/>
      <c r="B249" s="522" t="s">
        <v>119</v>
      </c>
      <c r="C249" s="522"/>
      <c r="D249" s="522"/>
      <c r="E249" s="522"/>
      <c r="F249" s="522"/>
      <c r="G249" s="522"/>
      <c r="H249" s="594"/>
      <c r="I249" s="594"/>
      <c r="J249" s="594"/>
      <c r="K249" s="594"/>
      <c r="L249" s="594"/>
      <c r="M249" s="594"/>
      <c r="N249" s="594"/>
      <c r="O249" s="594"/>
      <c r="P249" s="594"/>
      <c r="Q249" s="594"/>
      <c r="R249" s="562">
        <f>SUM(R240:R248)</f>
        <v>5164</v>
      </c>
      <c r="S249" s="593">
        <f>SUM(S240:S248)</f>
        <v>0.99999999999999989</v>
      </c>
      <c r="T249" s="563">
        <f>SUM(T240:T248)</f>
        <v>678581</v>
      </c>
      <c r="U249" s="593">
        <f>SUM(U240:U248)</f>
        <v>1</v>
      </c>
      <c r="V249" s="522"/>
      <c r="W249" s="524"/>
      <c r="X249" s="512"/>
    </row>
    <row r="250" spans="1:25" x14ac:dyDescent="0.3">
      <c r="A250" s="469"/>
      <c r="B250" s="461"/>
      <c r="C250" s="483"/>
      <c r="D250" s="483"/>
      <c r="E250" s="483"/>
      <c r="F250" s="484"/>
      <c r="G250" s="429"/>
      <c r="H250" s="429"/>
      <c r="I250" s="429"/>
      <c r="J250" s="429"/>
      <c r="K250" s="429"/>
      <c r="L250" s="429"/>
      <c r="M250" s="429"/>
      <c r="N250" s="429"/>
      <c r="O250" s="429"/>
      <c r="P250" s="429"/>
      <c r="Q250" s="429"/>
      <c r="R250" s="429"/>
      <c r="S250" s="429"/>
      <c r="T250" s="485"/>
      <c r="U250" s="429"/>
      <c r="V250" s="462"/>
      <c r="W250" s="486"/>
      <c r="X250" s="405"/>
    </row>
    <row r="251" spans="1:25" x14ac:dyDescent="0.3">
      <c r="A251" s="418"/>
      <c r="B251" s="464" t="s">
        <v>362</v>
      </c>
      <c r="C251" s="465"/>
      <c r="D251" s="465"/>
      <c r="E251" s="465"/>
      <c r="F251" s="466"/>
      <c r="G251" s="465"/>
      <c r="H251" s="465"/>
      <c r="I251" s="465"/>
      <c r="J251" s="465"/>
      <c r="K251" s="465"/>
      <c r="L251" s="465"/>
      <c r="M251" s="465"/>
      <c r="N251" s="465"/>
      <c r="O251" s="465"/>
      <c r="P251" s="465"/>
      <c r="Q251" s="465"/>
      <c r="R251" s="466" t="s">
        <v>104</v>
      </c>
      <c r="S251" s="465" t="s">
        <v>105</v>
      </c>
      <c r="T251" s="466" t="s">
        <v>113</v>
      </c>
      <c r="U251" s="465" t="s">
        <v>105</v>
      </c>
      <c r="V251" s="467"/>
      <c r="W251" s="487"/>
      <c r="X251" s="405"/>
    </row>
    <row r="252" spans="1:25" s="513" customFormat="1" x14ac:dyDescent="0.3">
      <c r="A252" s="509"/>
      <c r="B252" s="567" t="s">
        <v>90</v>
      </c>
      <c r="C252" s="586"/>
      <c r="D252" s="586"/>
      <c r="E252" s="586"/>
      <c r="F252" s="552"/>
      <c r="G252" s="586"/>
      <c r="H252" s="586"/>
      <c r="I252" s="586"/>
      <c r="J252" s="586"/>
      <c r="K252" s="586"/>
      <c r="L252" s="586"/>
      <c r="M252" s="586"/>
      <c r="N252" s="586"/>
      <c r="O252" s="586"/>
      <c r="P252" s="586"/>
      <c r="Q252" s="586"/>
      <c r="R252" s="567">
        <v>5065</v>
      </c>
      <c r="S252" s="595">
        <f t="shared" ref="S252:S259" si="5">R252/$R$261</f>
        <v>0.99645878418256939</v>
      </c>
      <c r="T252" s="596">
        <v>661073</v>
      </c>
      <c r="U252" s="595">
        <f t="shared" ref="U252:U259" si="6">T252/$T$261</f>
        <v>0.99386159036376431</v>
      </c>
      <c r="V252" s="590"/>
      <c r="W252" s="591"/>
      <c r="X252" s="512"/>
    </row>
    <row r="253" spans="1:25" s="513" customFormat="1" x14ac:dyDescent="0.3">
      <c r="A253" s="521"/>
      <c r="B253" s="562" t="s">
        <v>91</v>
      </c>
      <c r="C253" s="592"/>
      <c r="D253" s="592"/>
      <c r="E253" s="592"/>
      <c r="F253" s="522"/>
      <c r="G253" s="593"/>
      <c r="H253" s="592"/>
      <c r="I253" s="592"/>
      <c r="J253" s="592"/>
      <c r="K253" s="592"/>
      <c r="L253" s="592"/>
      <c r="M253" s="592"/>
      <c r="N253" s="592"/>
      <c r="O253" s="592"/>
      <c r="P253" s="592"/>
      <c r="Q253" s="592"/>
      <c r="R253" s="562">
        <v>9</v>
      </c>
      <c r="S253" s="593">
        <f t="shared" si="5"/>
        <v>1.7706079087153256E-3</v>
      </c>
      <c r="T253" s="563">
        <v>1583</v>
      </c>
      <c r="U253" s="593">
        <f t="shared" si="6"/>
        <v>2.3798928371690248E-3</v>
      </c>
      <c r="V253" s="582"/>
      <c r="W253" s="583"/>
      <c r="X253" s="512"/>
      <c r="Y253" s="570"/>
    </row>
    <row r="254" spans="1:25" s="513" customFormat="1" x14ac:dyDescent="0.3">
      <c r="A254" s="521"/>
      <c r="B254" s="562" t="s">
        <v>92</v>
      </c>
      <c r="C254" s="592"/>
      <c r="D254" s="592"/>
      <c r="E254" s="592"/>
      <c r="F254" s="522"/>
      <c r="G254" s="593"/>
      <c r="H254" s="592"/>
      <c r="I254" s="592"/>
      <c r="J254" s="592"/>
      <c r="K254" s="592"/>
      <c r="L254" s="592"/>
      <c r="M254" s="592"/>
      <c r="N254" s="592"/>
      <c r="O254" s="592"/>
      <c r="P254" s="592"/>
      <c r="Q254" s="592"/>
      <c r="R254" s="562">
        <v>2</v>
      </c>
      <c r="S254" s="593">
        <f t="shared" si="5"/>
        <v>3.9346842415896122E-4</v>
      </c>
      <c r="T254" s="563">
        <v>362</v>
      </c>
      <c r="U254" s="593">
        <f t="shared" si="6"/>
        <v>5.4423323250485595E-4</v>
      </c>
      <c r="V254" s="582"/>
      <c r="W254" s="583"/>
      <c r="X254" s="512"/>
    </row>
    <row r="255" spans="1:25" s="513" customFormat="1" x14ac:dyDescent="0.3">
      <c r="A255" s="521"/>
      <c r="B255" s="562" t="s">
        <v>161</v>
      </c>
      <c r="C255" s="592"/>
      <c r="D255" s="592"/>
      <c r="E255" s="592"/>
      <c r="F255" s="522"/>
      <c r="G255" s="593"/>
      <c r="H255" s="592"/>
      <c r="I255" s="592"/>
      <c r="J255" s="592"/>
      <c r="K255" s="592"/>
      <c r="L255" s="592"/>
      <c r="M255" s="592"/>
      <c r="N255" s="592"/>
      <c r="O255" s="592"/>
      <c r="P255" s="592"/>
      <c r="Q255" s="592"/>
      <c r="R255" s="562">
        <v>7</v>
      </c>
      <c r="S255" s="593">
        <f t="shared" si="5"/>
        <v>1.3771394845563643E-3</v>
      </c>
      <c r="T255" s="563">
        <v>2138</v>
      </c>
      <c r="U255" s="593">
        <f t="shared" si="6"/>
        <v>3.2142835665618292E-3</v>
      </c>
      <c r="V255" s="582"/>
      <c r="W255" s="583"/>
      <c r="X255" s="512"/>
      <c r="Y255" s="570"/>
    </row>
    <row r="256" spans="1:25" s="513" customFormat="1" x14ac:dyDescent="0.3">
      <c r="A256" s="521"/>
      <c r="B256" s="562" t="s">
        <v>162</v>
      </c>
      <c r="C256" s="592"/>
      <c r="D256" s="592"/>
      <c r="E256" s="592"/>
      <c r="F256" s="522"/>
      <c r="G256" s="593"/>
      <c r="H256" s="592"/>
      <c r="I256" s="592"/>
      <c r="J256" s="592"/>
      <c r="K256" s="592"/>
      <c r="L256" s="592"/>
      <c r="M256" s="592"/>
      <c r="N256" s="592"/>
      <c r="O256" s="592"/>
      <c r="P256" s="592"/>
      <c r="Q256" s="592"/>
      <c r="R256" s="562">
        <v>0</v>
      </c>
      <c r="S256" s="593">
        <f t="shared" si="5"/>
        <v>0</v>
      </c>
      <c r="T256" s="563">
        <v>0</v>
      </c>
      <c r="U256" s="593">
        <f t="shared" si="6"/>
        <v>0</v>
      </c>
      <c r="V256" s="582"/>
      <c r="W256" s="583"/>
      <c r="X256" s="512"/>
    </row>
    <row r="257" spans="1:25" s="513" customFormat="1" x14ac:dyDescent="0.3">
      <c r="A257" s="521"/>
      <c r="B257" s="562" t="s">
        <v>163</v>
      </c>
      <c r="C257" s="592"/>
      <c r="D257" s="592"/>
      <c r="E257" s="592"/>
      <c r="F257" s="522"/>
      <c r="G257" s="593"/>
      <c r="H257" s="592"/>
      <c r="I257" s="592"/>
      <c r="J257" s="592"/>
      <c r="K257" s="592"/>
      <c r="L257" s="592"/>
      <c r="M257" s="592"/>
      <c r="N257" s="592"/>
      <c r="O257" s="592"/>
      <c r="P257" s="592"/>
      <c r="Q257" s="592"/>
      <c r="R257" s="562">
        <v>0</v>
      </c>
      <c r="S257" s="593">
        <f t="shared" si="5"/>
        <v>0</v>
      </c>
      <c r="T257" s="563">
        <v>0</v>
      </c>
      <c r="U257" s="593">
        <f t="shared" si="6"/>
        <v>0</v>
      </c>
      <c r="V257" s="582"/>
      <c r="W257" s="583"/>
      <c r="X257" s="512"/>
      <c r="Y257" s="570"/>
    </row>
    <row r="258" spans="1:25" s="513" customFormat="1" x14ac:dyDescent="0.3">
      <c r="A258" s="521"/>
      <c r="B258" s="562" t="s">
        <v>164</v>
      </c>
      <c r="C258" s="592"/>
      <c r="D258" s="592"/>
      <c r="E258" s="592"/>
      <c r="F258" s="522"/>
      <c r="G258" s="593"/>
      <c r="H258" s="592"/>
      <c r="I258" s="592"/>
      <c r="J258" s="592"/>
      <c r="K258" s="592"/>
      <c r="L258" s="592"/>
      <c r="M258" s="592"/>
      <c r="N258" s="592"/>
      <c r="O258" s="592"/>
      <c r="P258" s="592"/>
      <c r="Q258" s="592"/>
      <c r="R258" s="562">
        <v>0</v>
      </c>
      <c r="S258" s="593">
        <f t="shared" si="5"/>
        <v>0</v>
      </c>
      <c r="T258" s="563">
        <v>0</v>
      </c>
      <c r="U258" s="593">
        <f t="shared" si="6"/>
        <v>0</v>
      </c>
      <c r="V258" s="582"/>
      <c r="W258" s="583"/>
      <c r="X258" s="512"/>
    </row>
    <row r="259" spans="1:25" s="513" customFormat="1" x14ac:dyDescent="0.3">
      <c r="A259" s="521"/>
      <c r="B259" s="562" t="s">
        <v>165</v>
      </c>
      <c r="C259" s="592"/>
      <c r="D259" s="592"/>
      <c r="E259" s="592"/>
      <c r="F259" s="522"/>
      <c r="G259" s="593"/>
      <c r="H259" s="592"/>
      <c r="I259" s="592"/>
      <c r="J259" s="592"/>
      <c r="K259" s="592"/>
      <c r="L259" s="592"/>
      <c r="M259" s="592"/>
      <c r="N259" s="592"/>
      <c r="O259" s="592"/>
      <c r="P259" s="592"/>
      <c r="Q259" s="592"/>
      <c r="R259" s="562">
        <v>0</v>
      </c>
      <c r="S259" s="593">
        <f t="shared" si="5"/>
        <v>0</v>
      </c>
      <c r="T259" s="563">
        <v>0</v>
      </c>
      <c r="U259" s="593">
        <f t="shared" si="6"/>
        <v>0</v>
      </c>
      <c r="V259" s="582"/>
      <c r="W259" s="583"/>
      <c r="X259" s="512"/>
      <c r="Y259" s="570"/>
    </row>
    <row r="260" spans="1:25" s="513" customFormat="1" x14ac:dyDescent="0.3">
      <c r="A260" s="521"/>
      <c r="B260" s="562"/>
      <c r="C260" s="592"/>
      <c r="D260" s="592"/>
      <c r="E260" s="592"/>
      <c r="F260" s="522"/>
      <c r="G260" s="593"/>
      <c r="H260" s="592"/>
      <c r="I260" s="592"/>
      <c r="J260" s="592"/>
      <c r="K260" s="592"/>
      <c r="L260" s="592"/>
      <c r="M260" s="592"/>
      <c r="N260" s="592"/>
      <c r="O260" s="592"/>
      <c r="P260" s="592"/>
      <c r="Q260" s="592"/>
      <c r="R260" s="562"/>
      <c r="S260" s="593"/>
      <c r="T260" s="563"/>
      <c r="U260" s="593"/>
      <c r="V260" s="582"/>
      <c r="W260" s="583"/>
      <c r="X260" s="512"/>
    </row>
    <row r="261" spans="1:25" s="513" customFormat="1" x14ac:dyDescent="0.3">
      <c r="A261" s="521"/>
      <c r="B261" s="522" t="s">
        <v>119</v>
      </c>
      <c r="C261" s="522"/>
      <c r="D261" s="522"/>
      <c r="E261" s="522"/>
      <c r="F261" s="522"/>
      <c r="G261" s="522"/>
      <c r="H261" s="594"/>
      <c r="I261" s="594"/>
      <c r="J261" s="594"/>
      <c r="K261" s="594"/>
      <c r="L261" s="594"/>
      <c r="M261" s="594"/>
      <c r="N261" s="594"/>
      <c r="O261" s="594"/>
      <c r="P261" s="594"/>
      <c r="Q261" s="594"/>
      <c r="R261" s="562">
        <f>SUM(R252:R260)</f>
        <v>5083</v>
      </c>
      <c r="S261" s="593">
        <f>SUM(S252:S260)</f>
        <v>1</v>
      </c>
      <c r="T261" s="563">
        <f>SUM(T252:T260)</f>
        <v>665156</v>
      </c>
      <c r="U261" s="593">
        <f>SUM(U252:U260)</f>
        <v>1</v>
      </c>
      <c r="V261" s="522"/>
      <c r="W261" s="524"/>
      <c r="X261" s="512"/>
    </row>
    <row r="262" spans="1:25" x14ac:dyDescent="0.3">
      <c r="A262" s="407"/>
      <c r="B262" s="429"/>
      <c r="C262" s="429"/>
      <c r="D262" s="429"/>
      <c r="E262" s="429"/>
      <c r="F262" s="429"/>
      <c r="G262" s="429"/>
      <c r="H262" s="488"/>
      <c r="I262" s="488"/>
      <c r="J262" s="488"/>
      <c r="K262" s="488"/>
      <c r="L262" s="488"/>
      <c r="M262" s="488"/>
      <c r="N262" s="488"/>
      <c r="O262" s="488"/>
      <c r="P262" s="488"/>
      <c r="Q262" s="488"/>
      <c r="R262" s="435"/>
      <c r="S262" s="489"/>
      <c r="T262" s="490"/>
      <c r="U262" s="489"/>
      <c r="V262" s="429"/>
      <c r="W262" s="429"/>
      <c r="X262" s="405"/>
    </row>
    <row r="263" spans="1:25" x14ac:dyDescent="0.3">
      <c r="A263" s="418"/>
      <c r="B263" s="464" t="s">
        <v>283</v>
      </c>
      <c r="C263" s="465"/>
      <c r="D263" s="465"/>
      <c r="E263" s="465"/>
      <c r="F263" s="466"/>
      <c r="G263" s="465"/>
      <c r="H263" s="465"/>
      <c r="I263" s="465"/>
      <c r="J263" s="465"/>
      <c r="K263" s="465"/>
      <c r="L263" s="465"/>
      <c r="M263" s="465"/>
      <c r="N263" s="465"/>
      <c r="O263" s="465"/>
      <c r="P263" s="465"/>
      <c r="Q263" s="465"/>
      <c r="R263" s="466" t="s">
        <v>104</v>
      </c>
      <c r="S263" s="465" t="s">
        <v>105</v>
      </c>
      <c r="T263" s="466" t="s">
        <v>113</v>
      </c>
      <c r="U263" s="465" t="s">
        <v>105</v>
      </c>
      <c r="V263" s="467"/>
      <c r="W263" s="468"/>
      <c r="X263" s="405"/>
    </row>
    <row r="264" spans="1:25" s="513" customFormat="1" x14ac:dyDescent="0.3">
      <c r="A264" s="509"/>
      <c r="B264" s="567" t="s">
        <v>90</v>
      </c>
      <c r="C264" s="586"/>
      <c r="D264" s="586"/>
      <c r="E264" s="586"/>
      <c r="F264" s="552"/>
      <c r="G264" s="586"/>
      <c r="H264" s="586"/>
      <c r="I264" s="586"/>
      <c r="J264" s="586"/>
      <c r="K264" s="586"/>
      <c r="L264" s="586"/>
      <c r="M264" s="586"/>
      <c r="N264" s="586"/>
      <c r="O264" s="586"/>
      <c r="P264" s="586"/>
      <c r="Q264" s="586"/>
      <c r="R264" s="567">
        <v>71</v>
      </c>
      <c r="S264" s="595">
        <f t="shared" ref="S264:S271" si="7">R264/$R$273</f>
        <v>0.88749999999999996</v>
      </c>
      <c r="T264" s="596">
        <v>12076</v>
      </c>
      <c r="U264" s="595">
        <f t="shared" ref="U264:U271" si="8">T264/$T$273</f>
        <v>0.90274351498841299</v>
      </c>
      <c r="V264" s="552"/>
      <c r="W264" s="552"/>
      <c r="X264" s="512"/>
    </row>
    <row r="265" spans="1:25" s="513" customFormat="1" x14ac:dyDescent="0.3">
      <c r="A265" s="521"/>
      <c r="B265" s="562" t="s">
        <v>91</v>
      </c>
      <c r="C265" s="592"/>
      <c r="D265" s="592"/>
      <c r="E265" s="592"/>
      <c r="F265" s="522"/>
      <c r="G265" s="593"/>
      <c r="H265" s="592"/>
      <c r="I265" s="592"/>
      <c r="J265" s="592"/>
      <c r="K265" s="592"/>
      <c r="L265" s="592"/>
      <c r="M265" s="592"/>
      <c r="N265" s="592"/>
      <c r="O265" s="592"/>
      <c r="P265" s="592"/>
      <c r="Q265" s="592"/>
      <c r="R265" s="562">
        <v>0</v>
      </c>
      <c r="S265" s="593">
        <f t="shared" si="7"/>
        <v>0</v>
      </c>
      <c r="T265" s="563">
        <v>0</v>
      </c>
      <c r="U265" s="593">
        <f t="shared" si="8"/>
        <v>0</v>
      </c>
      <c r="V265" s="522"/>
      <c r="W265" s="524"/>
      <c r="X265" s="512"/>
    </row>
    <row r="266" spans="1:25" s="513" customFormat="1" x14ac:dyDescent="0.3">
      <c r="A266" s="521"/>
      <c r="B266" s="562" t="s">
        <v>92</v>
      </c>
      <c r="C266" s="592"/>
      <c r="D266" s="592"/>
      <c r="E266" s="592"/>
      <c r="F266" s="522"/>
      <c r="G266" s="593"/>
      <c r="H266" s="592"/>
      <c r="I266" s="592"/>
      <c r="J266" s="592"/>
      <c r="K266" s="592"/>
      <c r="L266" s="592"/>
      <c r="M266" s="592"/>
      <c r="N266" s="592"/>
      <c r="O266" s="592"/>
      <c r="P266" s="592"/>
      <c r="Q266" s="592"/>
      <c r="R266" s="562">
        <v>1</v>
      </c>
      <c r="S266" s="593">
        <f t="shared" si="7"/>
        <v>1.2500000000000001E-2</v>
      </c>
      <c r="T266" s="563">
        <v>480</v>
      </c>
      <c r="U266" s="593">
        <f t="shared" si="8"/>
        <v>3.5882484862076701E-2</v>
      </c>
      <c r="V266" s="522"/>
      <c r="W266" s="524"/>
      <c r="X266" s="512"/>
    </row>
    <row r="267" spans="1:25" s="513" customFormat="1" x14ac:dyDescent="0.3">
      <c r="A267" s="521"/>
      <c r="B267" s="562" t="s">
        <v>161</v>
      </c>
      <c r="C267" s="592"/>
      <c r="D267" s="592"/>
      <c r="E267" s="592"/>
      <c r="F267" s="522"/>
      <c r="G267" s="593"/>
      <c r="H267" s="592"/>
      <c r="I267" s="592"/>
      <c r="J267" s="592"/>
      <c r="K267" s="592"/>
      <c r="L267" s="592"/>
      <c r="M267" s="592"/>
      <c r="N267" s="592"/>
      <c r="O267" s="592"/>
      <c r="P267" s="592"/>
      <c r="Q267" s="592"/>
      <c r="R267" s="562">
        <v>0</v>
      </c>
      <c r="S267" s="593">
        <f t="shared" si="7"/>
        <v>0</v>
      </c>
      <c r="T267" s="563">
        <v>0</v>
      </c>
      <c r="U267" s="593">
        <f t="shared" si="8"/>
        <v>0</v>
      </c>
      <c r="V267" s="522"/>
      <c r="W267" s="524"/>
      <c r="X267" s="512"/>
    </row>
    <row r="268" spans="1:25" s="513" customFormat="1" x14ac:dyDescent="0.3">
      <c r="A268" s="521"/>
      <c r="B268" s="562" t="s">
        <v>162</v>
      </c>
      <c r="C268" s="592"/>
      <c r="D268" s="592"/>
      <c r="E268" s="592"/>
      <c r="F268" s="522"/>
      <c r="G268" s="593"/>
      <c r="H268" s="592"/>
      <c r="I268" s="592"/>
      <c r="J268" s="592"/>
      <c r="K268" s="592"/>
      <c r="L268" s="592"/>
      <c r="M268" s="592"/>
      <c r="N268" s="592"/>
      <c r="O268" s="592"/>
      <c r="P268" s="592"/>
      <c r="Q268" s="592"/>
      <c r="R268" s="562">
        <v>5</v>
      </c>
      <c r="S268" s="593">
        <f t="shared" si="7"/>
        <v>6.25E-2</v>
      </c>
      <c r="T268" s="563">
        <v>490</v>
      </c>
      <c r="U268" s="593">
        <f t="shared" si="8"/>
        <v>3.6630036630036632E-2</v>
      </c>
      <c r="V268" s="522"/>
      <c r="W268" s="524"/>
      <c r="X268" s="512"/>
    </row>
    <row r="269" spans="1:25" s="513" customFormat="1" x14ac:dyDescent="0.3">
      <c r="A269" s="521"/>
      <c r="B269" s="562" t="s">
        <v>163</v>
      </c>
      <c r="C269" s="592"/>
      <c r="D269" s="592"/>
      <c r="E269" s="592"/>
      <c r="F269" s="522"/>
      <c r="G269" s="593"/>
      <c r="H269" s="592"/>
      <c r="I269" s="592"/>
      <c r="J269" s="592"/>
      <c r="K269" s="592"/>
      <c r="L269" s="592"/>
      <c r="M269" s="592"/>
      <c r="N269" s="592"/>
      <c r="O269" s="592"/>
      <c r="P269" s="592"/>
      <c r="Q269" s="592"/>
      <c r="R269" s="562">
        <v>1</v>
      </c>
      <c r="S269" s="593">
        <f t="shared" si="7"/>
        <v>1.2500000000000001E-2</v>
      </c>
      <c r="T269" s="563">
        <v>93</v>
      </c>
      <c r="U269" s="593">
        <f t="shared" si="8"/>
        <v>6.9522314420273606E-3</v>
      </c>
      <c r="V269" s="522"/>
      <c r="W269" s="524"/>
      <c r="X269" s="512"/>
    </row>
    <row r="270" spans="1:25" s="513" customFormat="1" x14ac:dyDescent="0.3">
      <c r="A270" s="521"/>
      <c r="B270" s="562" t="s">
        <v>164</v>
      </c>
      <c r="C270" s="592"/>
      <c r="D270" s="592"/>
      <c r="E270" s="592"/>
      <c r="F270" s="522"/>
      <c r="G270" s="593"/>
      <c r="H270" s="592"/>
      <c r="I270" s="592"/>
      <c r="J270" s="592"/>
      <c r="K270" s="592"/>
      <c r="L270" s="592"/>
      <c r="M270" s="592"/>
      <c r="N270" s="592"/>
      <c r="O270" s="592"/>
      <c r="P270" s="592"/>
      <c r="Q270" s="592"/>
      <c r="R270" s="562">
        <v>1</v>
      </c>
      <c r="S270" s="593">
        <f t="shared" si="7"/>
        <v>1.2500000000000001E-2</v>
      </c>
      <c r="T270" s="563">
        <v>174</v>
      </c>
      <c r="U270" s="593">
        <f t="shared" si="8"/>
        <v>1.3007400762502803E-2</v>
      </c>
      <c r="V270" s="522"/>
      <c r="W270" s="524"/>
      <c r="X270" s="512"/>
    </row>
    <row r="271" spans="1:25" s="513" customFormat="1" x14ac:dyDescent="0.3">
      <c r="A271" s="521"/>
      <c r="B271" s="562" t="s">
        <v>165</v>
      </c>
      <c r="C271" s="592"/>
      <c r="D271" s="592"/>
      <c r="E271" s="592"/>
      <c r="F271" s="522"/>
      <c r="G271" s="593"/>
      <c r="H271" s="592"/>
      <c r="I271" s="592"/>
      <c r="J271" s="592"/>
      <c r="K271" s="592"/>
      <c r="L271" s="592"/>
      <c r="M271" s="592"/>
      <c r="N271" s="592"/>
      <c r="O271" s="592"/>
      <c r="P271" s="592"/>
      <c r="Q271" s="592"/>
      <c r="R271" s="562">
        <v>1</v>
      </c>
      <c r="S271" s="593">
        <f t="shared" si="7"/>
        <v>1.2500000000000001E-2</v>
      </c>
      <c r="T271" s="563">
        <v>64</v>
      </c>
      <c r="U271" s="593">
        <f t="shared" si="8"/>
        <v>4.7843313149435601E-3</v>
      </c>
      <c r="V271" s="522"/>
      <c r="W271" s="524"/>
      <c r="X271" s="512"/>
    </row>
    <row r="272" spans="1:25" s="513" customFormat="1" x14ac:dyDescent="0.3">
      <c r="A272" s="521"/>
      <c r="B272" s="562"/>
      <c r="C272" s="592"/>
      <c r="D272" s="592"/>
      <c r="E272" s="592"/>
      <c r="F272" s="522"/>
      <c r="G272" s="593"/>
      <c r="H272" s="592"/>
      <c r="I272" s="592"/>
      <c r="J272" s="592"/>
      <c r="K272" s="592"/>
      <c r="L272" s="592"/>
      <c r="M272" s="592"/>
      <c r="N272" s="592"/>
      <c r="O272" s="592"/>
      <c r="P272" s="592"/>
      <c r="Q272" s="592"/>
      <c r="R272" s="562"/>
      <c r="S272" s="593"/>
      <c r="T272" s="563"/>
      <c r="U272" s="593"/>
      <c r="V272" s="522"/>
      <c r="W272" s="524"/>
      <c r="X272" s="512"/>
    </row>
    <row r="273" spans="1:24" s="513" customFormat="1" x14ac:dyDescent="0.3">
      <c r="A273" s="521"/>
      <c r="B273" s="522" t="s">
        <v>119</v>
      </c>
      <c r="C273" s="522"/>
      <c r="D273" s="522"/>
      <c r="E273" s="522"/>
      <c r="F273" s="522"/>
      <c r="G273" s="522"/>
      <c r="H273" s="594"/>
      <c r="I273" s="594"/>
      <c r="J273" s="594"/>
      <c r="K273" s="594"/>
      <c r="L273" s="594"/>
      <c r="M273" s="594"/>
      <c r="N273" s="594"/>
      <c r="O273" s="594"/>
      <c r="P273" s="594"/>
      <c r="Q273" s="594"/>
      <c r="R273" s="562">
        <f>SUM(R264:R272)</f>
        <v>80</v>
      </c>
      <c r="S273" s="593">
        <f>SUM(S264:S272)</f>
        <v>0.99999999999999978</v>
      </c>
      <c r="T273" s="563">
        <f>SUM(T264:T272)</f>
        <v>13377</v>
      </c>
      <c r="U273" s="593">
        <f>SUM(U264:U272)</f>
        <v>1</v>
      </c>
      <c r="V273" s="522"/>
      <c r="W273" s="524"/>
      <c r="X273" s="512"/>
    </row>
    <row r="274" spans="1:24" x14ac:dyDescent="0.3">
      <c r="A274" s="407"/>
      <c r="B274" s="429"/>
      <c r="C274" s="429"/>
      <c r="D274" s="429"/>
      <c r="E274" s="429"/>
      <c r="F274" s="429"/>
      <c r="G274" s="429"/>
      <c r="H274" s="488"/>
      <c r="I274" s="488"/>
      <c r="J274" s="488"/>
      <c r="K274" s="488"/>
      <c r="L274" s="488"/>
      <c r="M274" s="488"/>
      <c r="N274" s="488"/>
      <c r="O274" s="488"/>
      <c r="P274" s="488"/>
      <c r="Q274" s="488"/>
      <c r="R274" s="435"/>
      <c r="S274" s="489"/>
      <c r="T274" s="490"/>
      <c r="U274" s="489"/>
      <c r="V274" s="429"/>
      <c r="W274" s="429"/>
      <c r="X274" s="405"/>
    </row>
    <row r="275" spans="1:24" x14ac:dyDescent="0.3">
      <c r="A275" s="418"/>
      <c r="B275" s="464" t="s">
        <v>169</v>
      </c>
      <c r="C275" s="467"/>
      <c r="D275" s="467"/>
      <c r="E275" s="467"/>
      <c r="F275" s="467"/>
      <c r="G275" s="467"/>
      <c r="H275" s="491"/>
      <c r="I275" s="491"/>
      <c r="J275" s="491"/>
      <c r="K275" s="491"/>
      <c r="L275" s="491"/>
      <c r="M275" s="491"/>
      <c r="N275" s="491"/>
      <c r="O275" s="491"/>
      <c r="P275" s="491"/>
      <c r="Q275" s="491"/>
      <c r="R275" s="466" t="s">
        <v>104</v>
      </c>
      <c r="S275" s="465" t="s">
        <v>105</v>
      </c>
      <c r="T275" s="466" t="s">
        <v>113</v>
      </c>
      <c r="U275" s="465" t="s">
        <v>105</v>
      </c>
      <c r="V275" s="467"/>
      <c r="W275" s="468"/>
      <c r="X275" s="405"/>
    </row>
    <row r="276" spans="1:24" s="513" customFormat="1" x14ac:dyDescent="0.3">
      <c r="A276" s="509"/>
      <c r="B276" s="567" t="s">
        <v>90</v>
      </c>
      <c r="C276" s="552"/>
      <c r="D276" s="552"/>
      <c r="E276" s="552"/>
      <c r="F276" s="552"/>
      <c r="G276" s="552"/>
      <c r="H276" s="597"/>
      <c r="I276" s="597"/>
      <c r="J276" s="597"/>
      <c r="K276" s="597"/>
      <c r="L276" s="597"/>
      <c r="M276" s="597"/>
      <c r="N276" s="597"/>
      <c r="O276" s="597"/>
      <c r="P276" s="597"/>
      <c r="Q276" s="597"/>
      <c r="R276" s="567">
        <v>0</v>
      </c>
      <c r="S276" s="595">
        <v>0</v>
      </c>
      <c r="T276" s="596">
        <v>0</v>
      </c>
      <c r="U276" s="595">
        <v>0</v>
      </c>
      <c r="V276" s="552"/>
      <c r="W276" s="552"/>
      <c r="X276" s="512"/>
    </row>
    <row r="277" spans="1:24" s="513" customFormat="1" x14ac:dyDescent="0.3">
      <c r="A277" s="521"/>
      <c r="B277" s="562" t="s">
        <v>91</v>
      </c>
      <c r="C277" s="522"/>
      <c r="D277" s="522"/>
      <c r="E277" s="522"/>
      <c r="F277" s="522"/>
      <c r="G277" s="522"/>
      <c r="H277" s="594"/>
      <c r="I277" s="594"/>
      <c r="J277" s="594"/>
      <c r="K277" s="594"/>
      <c r="L277" s="594"/>
      <c r="M277" s="594"/>
      <c r="N277" s="594"/>
      <c r="O277" s="594"/>
      <c r="P277" s="594"/>
      <c r="Q277" s="594"/>
      <c r="R277" s="562">
        <v>0</v>
      </c>
      <c r="S277" s="593">
        <v>0</v>
      </c>
      <c r="T277" s="563">
        <v>0</v>
      </c>
      <c r="U277" s="593">
        <v>0</v>
      </c>
      <c r="V277" s="522"/>
      <c r="W277" s="524"/>
      <c r="X277" s="512"/>
    </row>
    <row r="278" spans="1:24" s="513" customFormat="1" x14ac:dyDescent="0.3">
      <c r="A278" s="521"/>
      <c r="B278" s="562" t="s">
        <v>92</v>
      </c>
      <c r="C278" s="522"/>
      <c r="D278" s="522"/>
      <c r="E278" s="522"/>
      <c r="F278" s="522"/>
      <c r="G278" s="522"/>
      <c r="H278" s="594"/>
      <c r="I278" s="594"/>
      <c r="J278" s="594"/>
      <c r="K278" s="594"/>
      <c r="L278" s="594"/>
      <c r="M278" s="594"/>
      <c r="N278" s="594"/>
      <c r="O278" s="594"/>
      <c r="P278" s="594"/>
      <c r="Q278" s="594"/>
      <c r="R278" s="562">
        <v>0</v>
      </c>
      <c r="S278" s="593">
        <v>0</v>
      </c>
      <c r="T278" s="563">
        <v>0</v>
      </c>
      <c r="U278" s="593">
        <v>0</v>
      </c>
      <c r="V278" s="522"/>
      <c r="W278" s="524"/>
      <c r="X278" s="512"/>
    </row>
    <row r="279" spans="1:24" s="513" customFormat="1" x14ac:dyDescent="0.3">
      <c r="A279" s="521"/>
      <c r="B279" s="562" t="s">
        <v>161</v>
      </c>
      <c r="C279" s="522"/>
      <c r="D279" s="522"/>
      <c r="E279" s="522"/>
      <c r="F279" s="522"/>
      <c r="G279" s="522"/>
      <c r="H279" s="594"/>
      <c r="I279" s="594"/>
      <c r="J279" s="594"/>
      <c r="K279" s="594"/>
      <c r="L279" s="594"/>
      <c r="M279" s="594"/>
      <c r="N279" s="594"/>
      <c r="O279" s="594"/>
      <c r="P279" s="594"/>
      <c r="Q279" s="594"/>
      <c r="R279" s="562">
        <v>0</v>
      </c>
      <c r="S279" s="593">
        <v>0</v>
      </c>
      <c r="T279" s="563">
        <v>0</v>
      </c>
      <c r="U279" s="593">
        <v>0</v>
      </c>
      <c r="V279" s="522"/>
      <c r="W279" s="524"/>
      <c r="X279" s="512"/>
    </row>
    <row r="280" spans="1:24" s="513" customFormat="1" x14ac:dyDescent="0.3">
      <c r="A280" s="521"/>
      <c r="B280" s="562" t="s">
        <v>162</v>
      </c>
      <c r="C280" s="522"/>
      <c r="D280" s="522"/>
      <c r="E280" s="522"/>
      <c r="F280" s="522"/>
      <c r="G280" s="522"/>
      <c r="H280" s="594"/>
      <c r="I280" s="594"/>
      <c r="J280" s="594"/>
      <c r="K280" s="594"/>
      <c r="L280" s="594"/>
      <c r="M280" s="594"/>
      <c r="N280" s="594"/>
      <c r="O280" s="594"/>
      <c r="P280" s="594"/>
      <c r="Q280" s="594"/>
      <c r="R280" s="562">
        <v>0</v>
      </c>
      <c r="S280" s="593">
        <v>0</v>
      </c>
      <c r="T280" s="563">
        <v>0</v>
      </c>
      <c r="U280" s="593">
        <v>0</v>
      </c>
      <c r="V280" s="522"/>
      <c r="W280" s="524"/>
      <c r="X280" s="512"/>
    </row>
    <row r="281" spans="1:24" s="513" customFormat="1" x14ac:dyDescent="0.3">
      <c r="A281" s="521"/>
      <c r="B281" s="562" t="s">
        <v>163</v>
      </c>
      <c r="C281" s="522"/>
      <c r="D281" s="522"/>
      <c r="E281" s="522"/>
      <c r="F281" s="522"/>
      <c r="G281" s="522"/>
      <c r="H281" s="594"/>
      <c r="I281" s="594"/>
      <c r="J281" s="594"/>
      <c r="K281" s="594"/>
      <c r="L281" s="594"/>
      <c r="M281" s="594"/>
      <c r="N281" s="594"/>
      <c r="O281" s="594"/>
      <c r="P281" s="594"/>
      <c r="Q281" s="594"/>
      <c r="R281" s="562">
        <v>0</v>
      </c>
      <c r="S281" s="593">
        <v>0</v>
      </c>
      <c r="T281" s="563">
        <v>0</v>
      </c>
      <c r="U281" s="593">
        <v>0</v>
      </c>
      <c r="V281" s="522"/>
      <c r="W281" s="524"/>
      <c r="X281" s="512"/>
    </row>
    <row r="282" spans="1:24" s="513" customFormat="1" x14ac:dyDescent="0.3">
      <c r="A282" s="521"/>
      <c r="B282" s="562" t="s">
        <v>164</v>
      </c>
      <c r="C282" s="522"/>
      <c r="D282" s="522"/>
      <c r="E282" s="522"/>
      <c r="F282" s="522"/>
      <c r="G282" s="522"/>
      <c r="H282" s="594"/>
      <c r="I282" s="594"/>
      <c r="J282" s="594"/>
      <c r="K282" s="594"/>
      <c r="L282" s="594"/>
      <c r="M282" s="594"/>
      <c r="N282" s="594"/>
      <c r="O282" s="594"/>
      <c r="P282" s="594"/>
      <c r="Q282" s="594"/>
      <c r="R282" s="562">
        <v>1</v>
      </c>
      <c r="S282" s="593">
        <v>1</v>
      </c>
      <c r="T282" s="563">
        <v>48</v>
      </c>
      <c r="U282" s="593">
        <v>1</v>
      </c>
      <c r="V282" s="522"/>
      <c r="W282" s="524"/>
      <c r="X282" s="512"/>
    </row>
    <row r="283" spans="1:24" s="513" customFormat="1" x14ac:dyDescent="0.3">
      <c r="A283" s="521"/>
      <c r="B283" s="562" t="s">
        <v>165</v>
      </c>
      <c r="C283" s="522"/>
      <c r="D283" s="522"/>
      <c r="E283" s="522"/>
      <c r="F283" s="522"/>
      <c r="G283" s="522"/>
      <c r="H283" s="594"/>
      <c r="I283" s="594"/>
      <c r="J283" s="594"/>
      <c r="K283" s="594"/>
      <c r="L283" s="594"/>
      <c r="M283" s="594"/>
      <c r="N283" s="594"/>
      <c r="O283" s="594"/>
      <c r="P283" s="594"/>
      <c r="Q283" s="594"/>
      <c r="R283" s="562">
        <v>0</v>
      </c>
      <c r="S283" s="593">
        <v>0</v>
      </c>
      <c r="T283" s="563">
        <v>0</v>
      </c>
      <c r="U283" s="593">
        <v>0</v>
      </c>
      <c r="V283" s="522"/>
      <c r="W283" s="524"/>
      <c r="X283" s="512"/>
    </row>
    <row r="284" spans="1:24" s="513" customFormat="1" x14ac:dyDescent="0.3">
      <c r="A284" s="521"/>
      <c r="B284" s="562"/>
      <c r="C284" s="522"/>
      <c r="D284" s="522"/>
      <c r="E284" s="522"/>
      <c r="F284" s="522"/>
      <c r="G284" s="522"/>
      <c r="H284" s="594"/>
      <c r="I284" s="594"/>
      <c r="J284" s="594"/>
      <c r="K284" s="594"/>
      <c r="L284" s="594"/>
      <c r="M284" s="594"/>
      <c r="N284" s="594"/>
      <c r="O284" s="594"/>
      <c r="P284" s="594"/>
      <c r="Q284" s="594"/>
      <c r="R284" s="562"/>
      <c r="S284" s="593"/>
      <c r="T284" s="563"/>
      <c r="U284" s="593"/>
      <c r="V284" s="522"/>
      <c r="W284" s="524"/>
      <c r="X284" s="512"/>
    </row>
    <row r="285" spans="1:24" s="513" customFormat="1" x14ac:dyDescent="0.3">
      <c r="A285" s="521"/>
      <c r="B285" s="522" t="s">
        <v>119</v>
      </c>
      <c r="C285" s="522"/>
      <c r="D285" s="522"/>
      <c r="E285" s="522"/>
      <c r="F285" s="522"/>
      <c r="G285" s="522"/>
      <c r="H285" s="594"/>
      <c r="I285" s="594"/>
      <c r="J285" s="594"/>
      <c r="K285" s="594"/>
      <c r="L285" s="594"/>
      <c r="M285" s="594"/>
      <c r="N285" s="594"/>
      <c r="O285" s="594"/>
      <c r="P285" s="594"/>
      <c r="Q285" s="594"/>
      <c r="R285" s="562">
        <f>SUM(R276:R283)</f>
        <v>1</v>
      </c>
      <c r="S285" s="593">
        <f>SUM(S276:S284)</f>
        <v>1</v>
      </c>
      <c r="T285" s="563">
        <f>SUM(T276:T283)</f>
        <v>48</v>
      </c>
      <c r="U285" s="593">
        <f>SUM(U276:U284)</f>
        <v>1</v>
      </c>
      <c r="V285" s="522"/>
      <c r="W285" s="524"/>
      <c r="X285" s="512"/>
    </row>
    <row r="286" spans="1:24" s="513" customFormat="1" x14ac:dyDescent="0.3">
      <c r="A286" s="521"/>
      <c r="B286" s="522"/>
      <c r="C286" s="522"/>
      <c r="D286" s="522"/>
      <c r="E286" s="522"/>
      <c r="F286" s="522"/>
      <c r="G286" s="522"/>
      <c r="H286" s="594"/>
      <c r="I286" s="594"/>
      <c r="J286" s="594"/>
      <c r="K286" s="594"/>
      <c r="L286" s="594"/>
      <c r="M286" s="594"/>
      <c r="N286" s="594"/>
      <c r="O286" s="594"/>
      <c r="P286" s="594"/>
      <c r="Q286" s="594"/>
      <c r="R286" s="562"/>
      <c r="S286" s="593"/>
      <c r="T286" s="563"/>
      <c r="U286" s="593"/>
      <c r="V286" s="522"/>
      <c r="W286" s="524"/>
      <c r="X286" s="512"/>
    </row>
    <row r="287" spans="1:24" s="513" customFormat="1" x14ac:dyDescent="0.3">
      <c r="A287" s="521"/>
      <c r="B287" s="527" t="s">
        <v>170</v>
      </c>
      <c r="C287" s="522"/>
      <c r="D287" s="522"/>
      <c r="E287" s="522"/>
      <c r="F287" s="522"/>
      <c r="G287" s="522"/>
      <c r="H287" s="594"/>
      <c r="I287" s="594"/>
      <c r="J287" s="594"/>
      <c r="K287" s="594"/>
      <c r="L287" s="594"/>
      <c r="M287" s="594"/>
      <c r="N287" s="594"/>
      <c r="O287" s="594"/>
      <c r="P287" s="594"/>
      <c r="Q287" s="594"/>
      <c r="R287" s="598">
        <f>R285+R273+R261</f>
        <v>5164</v>
      </c>
      <c r="S287" s="593"/>
      <c r="T287" s="599">
        <f>+T285+T273+T261</f>
        <v>678581</v>
      </c>
      <c r="U287" s="593"/>
      <c r="V287" s="522"/>
      <c r="W287" s="524"/>
      <c r="X287" s="512"/>
    </row>
    <row r="288" spans="1:24" s="513" customFormat="1" x14ac:dyDescent="0.3">
      <c r="A288" s="509"/>
      <c r="B288" s="552"/>
      <c r="C288" s="552"/>
      <c r="D288" s="552"/>
      <c r="E288" s="552"/>
      <c r="F288" s="552"/>
      <c r="G288" s="552"/>
      <c r="H288" s="597"/>
      <c r="I288" s="597"/>
      <c r="J288" s="597"/>
      <c r="K288" s="597"/>
      <c r="L288" s="597"/>
      <c r="M288" s="597"/>
      <c r="N288" s="597"/>
      <c r="O288" s="597"/>
      <c r="P288" s="597"/>
      <c r="Q288" s="597"/>
      <c r="R288" s="597"/>
      <c r="S288" s="597"/>
      <c r="T288" s="596"/>
      <c r="U288" s="597"/>
      <c r="V288" s="552"/>
      <c r="W288" s="552"/>
      <c r="X288" s="512"/>
    </row>
    <row r="289" spans="1:24" s="513" customFormat="1" x14ac:dyDescent="0.3">
      <c r="A289" s="509"/>
      <c r="B289" s="510"/>
      <c r="C289" s="510"/>
      <c r="D289" s="510"/>
      <c r="E289" s="510"/>
      <c r="F289" s="510"/>
      <c r="G289" s="510"/>
      <c r="H289" s="600"/>
      <c r="I289" s="600"/>
      <c r="J289" s="600"/>
      <c r="K289" s="600"/>
      <c r="L289" s="600"/>
      <c r="M289" s="600"/>
      <c r="N289" s="600"/>
      <c r="O289" s="600"/>
      <c r="P289" s="600"/>
      <c r="Q289" s="600"/>
      <c r="R289" s="600"/>
      <c r="S289" s="600"/>
      <c r="T289" s="601"/>
      <c r="U289" s="600"/>
      <c r="V289" s="510"/>
      <c r="W289" s="510"/>
      <c r="X289" s="512"/>
    </row>
    <row r="290" spans="1:24" s="513" customFormat="1" x14ac:dyDescent="0.3">
      <c r="A290" s="509"/>
      <c r="B290" s="508" t="s">
        <v>93</v>
      </c>
      <c r="C290" s="510"/>
      <c r="D290" s="510"/>
      <c r="E290" s="510"/>
      <c r="F290" s="516" t="s">
        <v>99</v>
      </c>
      <c r="G290" s="510"/>
      <c r="H290" s="508" t="s">
        <v>101</v>
      </c>
      <c r="I290" s="510"/>
      <c r="J290" s="510"/>
      <c r="K290" s="510"/>
      <c r="L290" s="510"/>
      <c r="M290" s="510"/>
      <c r="N290" s="510"/>
      <c r="O290" s="510"/>
      <c r="P290" s="510"/>
      <c r="Q290" s="510"/>
      <c r="R290" s="510"/>
      <c r="S290" s="510"/>
      <c r="T290" s="510"/>
      <c r="U290" s="510"/>
      <c r="V290" s="510"/>
      <c r="W290" s="510"/>
      <c r="X290" s="512"/>
    </row>
    <row r="291" spans="1:24" s="513" customFormat="1" x14ac:dyDescent="0.3">
      <c r="A291" s="509"/>
      <c r="B291" s="508" t="s">
        <v>327</v>
      </c>
      <c r="C291" s="508"/>
      <c r="D291" s="508"/>
      <c r="E291" s="508"/>
      <c r="F291" s="602" t="s">
        <v>278</v>
      </c>
      <c r="G291" s="508"/>
      <c r="H291" s="402" t="s">
        <v>350</v>
      </c>
      <c r="I291" s="510"/>
      <c r="J291" s="510"/>
      <c r="K291" s="510"/>
      <c r="L291" s="510"/>
      <c r="M291" s="510"/>
      <c r="N291" s="510"/>
      <c r="O291" s="510"/>
      <c r="P291" s="510"/>
      <c r="Q291" s="510"/>
      <c r="R291" s="510"/>
      <c r="S291" s="510"/>
      <c r="T291" s="510"/>
      <c r="U291" s="510"/>
      <c r="V291" s="510"/>
      <c r="W291" s="510"/>
      <c r="X291" s="512"/>
    </row>
    <row r="292" spans="1:24" s="513" customFormat="1" x14ac:dyDescent="0.3">
      <c r="A292" s="509"/>
      <c r="B292" s="508" t="s">
        <v>328</v>
      </c>
      <c r="C292" s="508"/>
      <c r="D292" s="508"/>
      <c r="E292" s="508"/>
      <c r="F292" s="602" t="s">
        <v>152</v>
      </c>
      <c r="G292" s="508"/>
      <c r="H292" s="402" t="s">
        <v>351</v>
      </c>
      <c r="I292" s="510"/>
      <c r="J292" s="510"/>
      <c r="K292" s="510"/>
      <c r="L292" s="510"/>
      <c r="M292" s="510"/>
      <c r="N292" s="510"/>
      <c r="O292" s="510"/>
      <c r="P292" s="510"/>
      <c r="Q292" s="510"/>
      <c r="R292" s="510"/>
      <c r="S292" s="510"/>
      <c r="T292" s="510"/>
      <c r="U292" s="510"/>
      <c r="V292" s="510"/>
      <c r="W292" s="510"/>
      <c r="X292" s="512"/>
    </row>
    <row r="293" spans="1:24" s="513" customFormat="1" x14ac:dyDescent="0.3">
      <c r="A293" s="509"/>
      <c r="B293" s="508"/>
      <c r="C293" s="508"/>
      <c r="D293" s="508"/>
      <c r="E293" s="508"/>
      <c r="F293" s="508"/>
      <c r="G293" s="508"/>
      <c r="H293" s="510"/>
      <c r="I293" s="510"/>
      <c r="J293" s="510"/>
      <c r="K293" s="510"/>
      <c r="L293" s="510"/>
      <c r="M293" s="510"/>
      <c r="N293" s="510"/>
      <c r="O293" s="510"/>
      <c r="P293" s="510"/>
      <c r="Q293" s="510"/>
      <c r="R293" s="510"/>
      <c r="S293" s="510"/>
      <c r="T293" s="510"/>
      <c r="U293" s="510"/>
      <c r="V293" s="510"/>
      <c r="W293" s="510"/>
      <c r="X293" s="512"/>
    </row>
    <row r="294" spans="1:24" s="513" customFormat="1" ht="18.600000000000001" thickBot="1" x14ac:dyDescent="0.4">
      <c r="A294" s="509"/>
      <c r="B294" s="603" t="str">
        <f>B201</f>
        <v>PM12 INVESTOR REPORT QUARTER ENDING JULY 2019</v>
      </c>
      <c r="C294" s="508"/>
      <c r="D294" s="508"/>
      <c r="E294" s="508"/>
      <c r="F294" s="508"/>
      <c r="G294" s="508"/>
      <c r="H294" s="510"/>
      <c r="I294" s="510"/>
      <c r="J294" s="510"/>
      <c r="K294" s="510"/>
      <c r="L294" s="510"/>
      <c r="M294" s="510"/>
      <c r="N294" s="510"/>
      <c r="O294" s="510"/>
      <c r="P294" s="510"/>
      <c r="Q294" s="510"/>
      <c r="R294" s="510"/>
      <c r="S294" s="510"/>
      <c r="T294" s="510"/>
      <c r="U294" s="510"/>
      <c r="V294" s="510"/>
      <c r="W294" s="510"/>
      <c r="X294" s="512"/>
    </row>
    <row r="295" spans="1:24" x14ac:dyDescent="0.3">
      <c r="A295" s="492"/>
      <c r="B295" s="492"/>
      <c r="C295" s="492"/>
      <c r="D295" s="492"/>
      <c r="E295" s="492"/>
      <c r="F295" s="492"/>
      <c r="G295" s="492"/>
      <c r="H295" s="492"/>
      <c r="I295" s="492"/>
      <c r="J295" s="492"/>
      <c r="K295" s="492"/>
      <c r="L295" s="492"/>
      <c r="M295" s="492"/>
      <c r="N295" s="492"/>
      <c r="O295" s="492"/>
      <c r="P295" s="492"/>
      <c r="Q295" s="492"/>
      <c r="R295" s="492"/>
      <c r="S295" s="492"/>
      <c r="T295" s="492"/>
      <c r="U295" s="492"/>
      <c r="V295" s="492"/>
      <c r="W295" s="492"/>
    </row>
  </sheetData>
  <hyperlinks>
    <hyperlink ref="I9" r:id="rId1" xr:uid="{8506444B-8003-4F88-AD0A-76CCEBC03892}"/>
    <hyperlink ref="P237" r:id="rId2" xr:uid="{6C74468E-C19D-4E11-A94C-E4CA56413F52}"/>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41" max="14" man="1"/>
    <brk id="201" max="14" man="1"/>
  </rowBreaks>
  <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1FD3A-186D-42D0-90DB-D684C0F808B0}">
  <sheetPr>
    <tabColor rgb="FF89CB31"/>
  </sheetPr>
  <dimension ref="A1:AA298"/>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0.67769999999999997</v>
      </c>
      <c r="T16" s="516" t="s">
        <v>145</v>
      </c>
      <c r="U16" s="515">
        <v>0.32229999999999998</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43791</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189</v>
      </c>
      <c r="M26" s="613"/>
      <c r="N26" s="613" t="s">
        <v>189</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311493.11135279998</v>
      </c>
      <c r="E32" s="529"/>
      <c r="F32" s="530">
        <f>F31*F38</f>
        <v>55404.587</v>
      </c>
      <c r="G32" s="530"/>
      <c r="H32" s="534">
        <f>H31*H38</f>
        <v>93614.646999999997</v>
      </c>
      <c r="I32" s="534"/>
      <c r="J32" s="533">
        <f>J31*J38</f>
        <v>118832.6024</v>
      </c>
      <c r="K32" s="530"/>
      <c r="L32" s="530">
        <f>L31*L38</f>
        <v>22591.445</v>
      </c>
      <c r="M32" s="530"/>
      <c r="N32" s="534">
        <f>N31*N38</f>
        <v>113860.88279999999</v>
      </c>
      <c r="O32" s="530"/>
      <c r="P32" s="530">
        <f>P31*P38</f>
        <v>15362.1826</v>
      </c>
      <c r="Q32" s="530"/>
      <c r="R32" s="534">
        <f>R31*R38</f>
        <v>95787.726799999989</v>
      </c>
      <c r="S32" s="530"/>
      <c r="T32" s="530"/>
      <c r="U32" s="529"/>
      <c r="V32" s="530"/>
      <c r="W32" s="531"/>
      <c r="X32" s="512"/>
    </row>
    <row r="33" spans="1:25" s="513" customFormat="1" x14ac:dyDescent="0.3">
      <c r="A33" s="521"/>
      <c r="B33" s="527" t="s">
        <v>139</v>
      </c>
      <c r="C33" s="529"/>
      <c r="D33" s="619">
        <f>D34*D37</f>
        <v>305886.4564353</v>
      </c>
      <c r="E33" s="532"/>
      <c r="F33" s="535">
        <f>F37*F31</f>
        <v>54407.363999999994</v>
      </c>
      <c r="G33" s="535"/>
      <c r="H33" s="537">
        <f>H31*H37</f>
        <v>91929.683999999994</v>
      </c>
      <c r="I33" s="537"/>
      <c r="J33" s="536">
        <f>J37*J31</f>
        <v>116693.69990000001</v>
      </c>
      <c r="K33" s="535"/>
      <c r="L33" s="535">
        <f>L37*L31</f>
        <v>22184.82</v>
      </c>
      <c r="M33" s="535"/>
      <c r="N33" s="537">
        <f>N37*N31</f>
        <v>111811.49279999999</v>
      </c>
      <c r="O33" s="535"/>
      <c r="P33" s="535">
        <f>P37*P31</f>
        <v>15085.677599999999</v>
      </c>
      <c r="Q33" s="535"/>
      <c r="R33" s="537">
        <f>R37*R31</f>
        <v>94063.636799999993</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311493.11135279998</v>
      </c>
      <c r="E35" s="529"/>
      <c r="F35" s="530">
        <f>F34*F38</f>
        <v>55404.587</v>
      </c>
      <c r="G35" s="530"/>
      <c r="H35" s="530">
        <f>H34*H38</f>
        <v>64562.009979599999</v>
      </c>
      <c r="I35" s="530"/>
      <c r="J35" s="530">
        <f>J34*J38</f>
        <v>64583.035764799999</v>
      </c>
      <c r="K35" s="530"/>
      <c r="L35" s="530">
        <f>L34*L38</f>
        <v>22591.445</v>
      </c>
      <c r="M35" s="530"/>
      <c r="N35" s="530">
        <f>N34*N38</f>
        <v>78525.151846599998</v>
      </c>
      <c r="O35" s="530"/>
      <c r="P35" s="530">
        <f>P34*P38</f>
        <v>15362.1826</v>
      </c>
      <c r="Q35" s="530"/>
      <c r="R35" s="530">
        <f>R34*R38</f>
        <v>66060.096153399994</v>
      </c>
      <c r="S35" s="530"/>
      <c r="T35" s="530"/>
      <c r="U35" s="529"/>
      <c r="V35" s="530">
        <f>SUM(C35:R35)-1</f>
        <v>678580.61969720002</v>
      </c>
      <c r="W35" s="531"/>
      <c r="X35" s="512"/>
    </row>
    <row r="36" spans="1:25" s="513" customFormat="1" x14ac:dyDescent="0.3">
      <c r="A36" s="525"/>
      <c r="B36" s="527" t="s">
        <v>295</v>
      </c>
      <c r="C36" s="532"/>
      <c r="D36" s="535">
        <f>D34*D37</f>
        <v>305886.4564353</v>
      </c>
      <c r="E36" s="532"/>
      <c r="F36" s="535">
        <f>F34*F37</f>
        <v>54407.363999999994</v>
      </c>
      <c r="G36" s="535"/>
      <c r="H36" s="535">
        <f>H34*H37</f>
        <v>63399.963211199996</v>
      </c>
      <c r="I36" s="535"/>
      <c r="J36" s="535">
        <f>J34*J37</f>
        <v>63420.586959800006</v>
      </c>
      <c r="K36" s="535"/>
      <c r="L36" s="535">
        <f>L34*L37</f>
        <v>22184.82</v>
      </c>
      <c r="M36" s="535"/>
      <c r="N36" s="535">
        <f>N34*N37</f>
        <v>77111.772141599999</v>
      </c>
      <c r="O36" s="535"/>
      <c r="P36" s="535">
        <f>P34*P37</f>
        <v>15085.677599999999</v>
      </c>
      <c r="Q36" s="535"/>
      <c r="R36" s="535">
        <f>R34*R37</f>
        <v>64871.0758584</v>
      </c>
      <c r="S36" s="538"/>
      <c r="T36" s="538"/>
      <c r="U36" s="529"/>
      <c r="V36" s="535">
        <f>SUM(C36:R36)-1</f>
        <v>666366.71620629996</v>
      </c>
      <c r="W36" s="531"/>
      <c r="X36" s="512"/>
      <c r="Y36" s="621"/>
    </row>
    <row r="37" spans="1:25" x14ac:dyDescent="0.3">
      <c r="A37" s="420"/>
      <c r="B37" s="493" t="s">
        <v>135</v>
      </c>
      <c r="C37" s="494"/>
      <c r="D37" s="495">
        <v>0.37522090000000002</v>
      </c>
      <c r="E37" s="496"/>
      <c r="F37" s="495">
        <v>0.37522319999999998</v>
      </c>
      <c r="G37" s="495"/>
      <c r="H37" s="495">
        <v>0.37522319999999998</v>
      </c>
      <c r="I37" s="495"/>
      <c r="J37" s="495">
        <v>0.37522090000000002</v>
      </c>
      <c r="K37" s="495"/>
      <c r="L37" s="495">
        <v>0.88739279999999998</v>
      </c>
      <c r="M37" s="495"/>
      <c r="N37" s="495">
        <v>0.88739279999999998</v>
      </c>
      <c r="O37" s="495"/>
      <c r="P37" s="495">
        <v>0.88739279999999998</v>
      </c>
      <c r="Q37" s="495"/>
      <c r="R37" s="495">
        <v>0.88739279999999998</v>
      </c>
      <c r="S37" s="425"/>
      <c r="T37" s="425"/>
      <c r="U37" s="424"/>
      <c r="V37" s="424"/>
      <c r="W37" s="426"/>
      <c r="X37" s="405"/>
    </row>
    <row r="38" spans="1:25" x14ac:dyDescent="0.3">
      <c r="A38" s="420"/>
      <c r="B38" s="493" t="s">
        <v>136</v>
      </c>
      <c r="C38" s="494"/>
      <c r="D38" s="495">
        <v>0.3820984</v>
      </c>
      <c r="E38" s="496"/>
      <c r="F38" s="495">
        <v>0.38210060000000001</v>
      </c>
      <c r="G38" s="495"/>
      <c r="H38" s="495">
        <v>0.38210060000000001</v>
      </c>
      <c r="I38" s="495"/>
      <c r="J38" s="495">
        <v>0.3820984</v>
      </c>
      <c r="K38" s="495"/>
      <c r="L38" s="495">
        <v>0.90365779999999996</v>
      </c>
      <c r="M38" s="495"/>
      <c r="N38" s="495">
        <v>0.90365779999999996</v>
      </c>
      <c r="O38" s="495"/>
      <c r="P38" s="495">
        <v>0.90365779999999996</v>
      </c>
      <c r="Q38" s="495"/>
      <c r="R38" s="495">
        <v>0.90365779999999996</v>
      </c>
      <c r="S38" s="427"/>
      <c r="T38" s="428"/>
      <c r="U38" s="424"/>
      <c r="V38" s="427"/>
      <c r="W38" s="426"/>
      <c r="X38" s="405"/>
    </row>
    <row r="39" spans="1:25"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5" s="513" customFormat="1" x14ac:dyDescent="0.3">
      <c r="A40" s="521"/>
      <c r="B40" s="522" t="s">
        <v>12</v>
      </c>
      <c r="C40" s="522"/>
      <c r="D40" s="540">
        <v>1.00813E-2</v>
      </c>
      <c r="E40" s="522"/>
      <c r="F40" s="540">
        <v>1.00813E-2</v>
      </c>
      <c r="G40" s="539"/>
      <c r="H40" s="540">
        <v>0</v>
      </c>
      <c r="I40" s="540"/>
      <c r="J40" s="540">
        <v>2.3781299999999998E-2</v>
      </c>
      <c r="K40" s="539"/>
      <c r="L40" s="540">
        <v>1.2481300000000001E-2</v>
      </c>
      <c r="M40" s="539"/>
      <c r="N40" s="540">
        <v>7.7999999999999999E-4</v>
      </c>
      <c r="O40" s="539"/>
      <c r="P40" s="540">
        <v>1.6881299999999998E-2</v>
      </c>
      <c r="Q40" s="539"/>
      <c r="R40" s="540">
        <v>5.1799999999999997E-3</v>
      </c>
      <c r="S40" s="539"/>
      <c r="T40" s="540"/>
      <c r="U40" s="522"/>
      <c r="V40" s="528"/>
      <c r="W40" s="524"/>
      <c r="X40" s="512"/>
    </row>
    <row r="41" spans="1:25" s="513" customFormat="1" x14ac:dyDescent="0.3">
      <c r="A41" s="521"/>
      <c r="B41" s="522" t="s">
        <v>13</v>
      </c>
      <c r="C41" s="522"/>
      <c r="D41" s="540">
        <v>1.0463800000000001E-2</v>
      </c>
      <c r="E41" s="522"/>
      <c r="F41" s="540">
        <v>1.0463800000000001E-2</v>
      </c>
      <c r="G41" s="539"/>
      <c r="H41" s="540">
        <v>0</v>
      </c>
      <c r="I41" s="540"/>
      <c r="J41" s="540">
        <v>2.7380000000000002E-2</v>
      </c>
      <c r="K41" s="539"/>
      <c r="L41" s="540">
        <v>1.28638E-2</v>
      </c>
      <c r="M41" s="539"/>
      <c r="N41" s="540">
        <v>1.6900000000000001E-3</v>
      </c>
      <c r="O41" s="539"/>
      <c r="P41" s="540">
        <v>1.7263799999999999E-2</v>
      </c>
      <c r="Q41" s="539"/>
      <c r="R41" s="540">
        <v>6.0899999999999999E-3</v>
      </c>
      <c r="S41" s="539"/>
      <c r="T41" s="540"/>
      <c r="U41" s="522"/>
      <c r="V41" s="539" t="s">
        <v>199</v>
      </c>
      <c r="W41" s="524"/>
      <c r="X41" s="512"/>
    </row>
    <row r="42" spans="1:25" s="513" customFormat="1" x14ac:dyDescent="0.3">
      <c r="A42" s="521"/>
      <c r="B42" s="522" t="s">
        <v>296</v>
      </c>
      <c r="C42" s="522"/>
      <c r="D42" s="528" t="s">
        <v>237</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5" s="513" customFormat="1" x14ac:dyDescent="0.3">
      <c r="A43" s="521"/>
      <c r="B43" s="522" t="s">
        <v>297</v>
      </c>
      <c r="C43" s="541"/>
      <c r="D43" s="540">
        <f>+D40</f>
        <v>1.00813E-2</v>
      </c>
      <c r="E43" s="540"/>
      <c r="F43" s="540">
        <f>+F40</f>
        <v>1.00813E-2</v>
      </c>
      <c r="G43" s="540"/>
      <c r="H43" s="540">
        <v>1.00033E-2</v>
      </c>
      <c r="I43" s="540"/>
      <c r="J43" s="540">
        <v>1.0245300000000001E-2</v>
      </c>
      <c r="K43" s="540"/>
      <c r="L43" s="540">
        <f>+L40</f>
        <v>1.2481300000000001E-2</v>
      </c>
      <c r="M43" s="540"/>
      <c r="N43" s="540">
        <v>1.26833E-2</v>
      </c>
      <c r="O43" s="540"/>
      <c r="P43" s="540">
        <f>+P40</f>
        <v>1.6881299999999998E-2</v>
      </c>
      <c r="Q43" s="539"/>
      <c r="R43" s="540">
        <v>1.7353299999999999E-2</v>
      </c>
      <c r="S43" s="528"/>
      <c r="T43" s="528"/>
      <c r="U43" s="522"/>
      <c r="V43" s="539">
        <f>SUMPRODUCT(D43:R43,D35:R35)/V35</f>
        <v>1.1332381465866535E-2</v>
      </c>
      <c r="W43" s="524"/>
      <c r="X43" s="512"/>
    </row>
    <row r="44" spans="1:25" s="513" customFormat="1" x14ac:dyDescent="0.3">
      <c r="A44" s="521"/>
      <c r="B44" s="522" t="s">
        <v>298</v>
      </c>
      <c r="C44" s="541"/>
      <c r="D44" s="540">
        <f>+D41</f>
        <v>1.0463800000000001E-2</v>
      </c>
      <c r="E44" s="540"/>
      <c r="F44" s="540">
        <f>+F41</f>
        <v>1.0463800000000001E-2</v>
      </c>
      <c r="G44" s="540"/>
      <c r="H44" s="540">
        <v>1.0385800000000001E-2</v>
      </c>
      <c r="I44" s="540"/>
      <c r="J44" s="540">
        <v>1.06278E-2</v>
      </c>
      <c r="K44" s="540"/>
      <c r="L44" s="540">
        <f>+L41</f>
        <v>1.28638E-2</v>
      </c>
      <c r="M44" s="540"/>
      <c r="N44" s="540">
        <v>1.3065800000000001E-2</v>
      </c>
      <c r="O44" s="540"/>
      <c r="P44" s="540">
        <f>+P41</f>
        <v>1.7263799999999999E-2</v>
      </c>
      <c r="Q44" s="539"/>
      <c r="R44" s="540">
        <v>1.7735799999999999E-2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5" s="513" customFormat="1" x14ac:dyDescent="0.3">
      <c r="A48" s="521"/>
      <c r="B48" s="522" t="s">
        <v>299</v>
      </c>
      <c r="C48" s="522"/>
      <c r="D48" s="528" t="s">
        <v>237</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0.36799026351221692</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43784</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43600</v>
      </c>
      <c r="U57" s="550"/>
      <c r="V57" s="549">
        <v>43691</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43692</v>
      </c>
      <c r="U58" s="550"/>
      <c r="V58" s="549">
        <v>43783</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43770</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374</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678581</v>
      </c>
      <c r="O68" s="562"/>
      <c r="P68" s="562">
        <f>12214</f>
        <v>12214</v>
      </c>
      <c r="Q68" s="562"/>
      <c r="R68" s="562">
        <v>0</v>
      </c>
      <c r="S68" s="562"/>
      <c r="T68" s="562">
        <v>0</v>
      </c>
      <c r="U68" s="562"/>
      <c r="V68" s="563">
        <f>+N68-P68+R68-T68</f>
        <v>666367</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678581</v>
      </c>
      <c r="O71" s="562"/>
      <c r="P71" s="562">
        <f>SUM(P68:P70)</f>
        <v>12214</v>
      </c>
      <c r="Q71" s="562"/>
      <c r="R71" s="562">
        <f>SUM(R68:R70)</f>
        <v>0</v>
      </c>
      <c r="S71" s="562"/>
      <c r="T71" s="562">
        <f>SUM(T68:T70)</f>
        <v>0</v>
      </c>
      <c r="U71" s="562"/>
      <c r="V71" s="562">
        <f>SUM(V68:V70)</f>
        <v>666367</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678581</v>
      </c>
      <c r="O84" s="562"/>
      <c r="P84" s="562"/>
      <c r="Q84" s="562"/>
      <c r="R84" s="562"/>
      <c r="S84" s="562"/>
      <c r="T84" s="562"/>
      <c r="U84" s="562"/>
      <c r="V84" s="562">
        <f>SUM(V71:V83)</f>
        <v>666367</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43769</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12214-90</f>
        <v>12124</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3831+1896-971-444</f>
        <v>4312</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45+21</f>
        <v>66</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79</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291</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12124</v>
      </c>
      <c r="U96" s="522"/>
      <c r="V96" s="562">
        <f>SUM(V88:V95)</f>
        <v>4748</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12124</v>
      </c>
      <c r="U100" s="522"/>
      <c r="V100" s="562">
        <f>V96+V98+V97+V99</f>
        <v>4748</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-260-100-9</f>
        <v>-369</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f>-1262+141</f>
        <v>-1121</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-141</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-251</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-71</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-289</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-65</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-9</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90</v>
      </c>
      <c r="U114" s="522"/>
      <c r="V114" s="563">
        <v>-90</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-259</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-343</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-291</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-18</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-1426</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-5607</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-997</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-1162</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-1162</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-407</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-1413</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-277</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-1189</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-12214</v>
      </c>
      <c r="U137" s="562"/>
      <c r="V137" s="562">
        <f>SUM(V102:V134)</f>
        <v>-4748</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OCTOBER 2019</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28504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-8000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90</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90</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-90</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666367</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666367</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+'July 19'!S187</f>
        <v>57078</v>
      </c>
      <c r="T186" s="563">
        <f>+'July 19'!T187</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3.4683042789223455</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1.98</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9.6739130434782616</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7.68</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7.8898305084745761</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OCTOBER 2019</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43769</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2.5072346536191462E-2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1.1332381465866535E-2</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1.3739965070324926E-2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6.9969539377023526E-3</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8.64</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1.7999325062151756E-2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6.3E-2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1</v>
      </c>
      <c r="T221" s="577">
        <v>259</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75</v>
      </c>
      <c r="T222" s="579">
        <f>+T274</f>
        <v>12840</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+R286</f>
        <v>0</v>
      </c>
      <c r="T223" s="579">
        <f>+T286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90</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'July 19'!T227+'Oct 19'!T227</f>
        <v>7799</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1</v>
      </c>
      <c r="T230" s="579">
        <v>48</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10.67</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5.09</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4</v>
      </c>
      <c r="T234" s="579">
        <v>239</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6.91</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+R253+R265+R277</f>
        <v>5049</v>
      </c>
      <c r="S241" s="588">
        <f t="shared" ref="S241:S248" si="2">R241/$R$250</f>
        <v>0.99605444860919312</v>
      </c>
      <c r="T241" s="589">
        <f t="shared" ref="T241:T248" si="3">+T253+T265+T277</f>
        <v>662119</v>
      </c>
      <c r="U241" s="588">
        <f t="shared" ref="U241:U248" si="4">T241/$T$250</f>
        <v>0.99362513449795686</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8</v>
      </c>
      <c r="S242" s="593">
        <f t="shared" si="2"/>
        <v>1.5782205563227461E-3</v>
      </c>
      <c r="T242" s="563">
        <f t="shared" si="3"/>
        <v>1554</v>
      </c>
      <c r="U242" s="593">
        <f t="shared" si="4"/>
        <v>2.332048255690933E-3</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4</v>
      </c>
      <c r="S243" s="593">
        <f t="shared" si="2"/>
        <v>7.8911027816137304E-4</v>
      </c>
      <c r="T243" s="563">
        <f t="shared" si="3"/>
        <v>1115</v>
      </c>
      <c r="U243" s="593">
        <f t="shared" si="4"/>
        <v>1.6732521268310106E-3</v>
      </c>
      <c r="V243" s="582"/>
      <c r="W243" s="583"/>
      <c r="X243" s="512"/>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1</v>
      </c>
      <c r="S244" s="593">
        <f t="shared" si="2"/>
        <v>1.9727756954034326E-4</v>
      </c>
      <c r="T244" s="563">
        <f t="shared" si="3"/>
        <v>245</v>
      </c>
      <c r="U244" s="593">
        <f t="shared" si="4"/>
        <v>3.6766526553685882E-4</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3</v>
      </c>
      <c r="S245" s="593">
        <f t="shared" si="2"/>
        <v>5.9183270862102984E-4</v>
      </c>
      <c r="T245" s="563">
        <f t="shared" si="3"/>
        <v>752</v>
      </c>
      <c r="U245" s="593">
        <f t="shared" si="4"/>
        <v>1.1285072640151749E-3</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1</v>
      </c>
      <c r="S246" s="593">
        <f t="shared" si="2"/>
        <v>1.9727756954034326E-4</v>
      </c>
      <c r="T246" s="563">
        <f t="shared" si="3"/>
        <v>175</v>
      </c>
      <c r="U246" s="593">
        <f t="shared" si="4"/>
        <v>2.6261804681204203E-4</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3</v>
      </c>
      <c r="S247" s="593">
        <f t="shared" si="2"/>
        <v>5.9183270862102984E-4</v>
      </c>
      <c r="T247" s="563">
        <f t="shared" si="3"/>
        <v>407</v>
      </c>
      <c r="U247" s="593">
        <f t="shared" si="4"/>
        <v>6.1077454315714916E-4</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0</v>
      </c>
      <c r="S248" s="593">
        <f t="shared" si="2"/>
        <v>0</v>
      </c>
      <c r="T248" s="563">
        <f t="shared" si="3"/>
        <v>0</v>
      </c>
      <c r="U248" s="593">
        <f t="shared" si="4"/>
        <v>0</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5069</v>
      </c>
      <c r="S250" s="593">
        <f>SUM(S241:S249)</f>
        <v>1</v>
      </c>
      <c r="T250" s="563">
        <f>SUM(T241:T249)</f>
        <v>666367</v>
      </c>
      <c r="U250" s="593">
        <f>SUM(U241:U249)</f>
        <v>1</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4979</v>
      </c>
      <c r="S253" s="595">
        <f t="shared" ref="S253:S260" si="5">R253/$R$262</f>
        <v>0.9969963956748098</v>
      </c>
      <c r="T253" s="596">
        <v>650341</v>
      </c>
      <c r="U253" s="595">
        <f t="shared" ref="U253:U260" si="6">T253/$T$262</f>
        <v>0.99512491450238472</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8</v>
      </c>
      <c r="S254" s="593">
        <f t="shared" si="5"/>
        <v>1.6019223067681217E-3</v>
      </c>
      <c r="T254" s="563">
        <v>1554</v>
      </c>
      <c r="U254" s="593">
        <f t="shared" si="6"/>
        <v>2.3778665609837085E-3</v>
      </c>
      <c r="V254" s="582"/>
      <c r="W254" s="583"/>
      <c r="X254" s="512"/>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3</v>
      </c>
      <c r="S255" s="593">
        <f t="shared" si="5"/>
        <v>6.0072086503804565E-4</v>
      </c>
      <c r="T255" s="563">
        <v>635</v>
      </c>
      <c r="U255" s="593">
        <f t="shared" si="6"/>
        <v>9.7165075046631584E-4</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1</v>
      </c>
      <c r="S256" s="593">
        <f t="shared" si="5"/>
        <v>2.0024028834601522E-4</v>
      </c>
      <c r="T256" s="563">
        <v>245</v>
      </c>
      <c r="U256" s="593">
        <f t="shared" si="6"/>
        <v>3.7488887222716124E-4</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3</v>
      </c>
      <c r="S257" s="593">
        <f t="shared" si="5"/>
        <v>6.0072086503804565E-4</v>
      </c>
      <c r="T257" s="563">
        <v>752</v>
      </c>
      <c r="U257" s="593">
        <f t="shared" si="6"/>
        <v>1.1506793139380623E-3</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0</v>
      </c>
      <c r="S258" s="593">
        <f t="shared" si="5"/>
        <v>0</v>
      </c>
      <c r="T258" s="563">
        <v>0</v>
      </c>
      <c r="U258" s="593">
        <f t="shared" si="6"/>
        <v>0</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0</v>
      </c>
      <c r="S259" s="593">
        <f t="shared" si="5"/>
        <v>0</v>
      </c>
      <c r="T259" s="563">
        <v>0</v>
      </c>
      <c r="U259" s="593">
        <f t="shared" si="6"/>
        <v>0</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0</v>
      </c>
      <c r="S260" s="593">
        <f t="shared" si="5"/>
        <v>0</v>
      </c>
      <c r="T260" s="563">
        <v>0</v>
      </c>
      <c r="U260" s="593">
        <f t="shared" si="6"/>
        <v>0</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4994</v>
      </c>
      <c r="S262" s="593">
        <f>SUM(S253:S261)</f>
        <v>1</v>
      </c>
      <c r="T262" s="563">
        <f>SUM(T253:T261)</f>
        <v>653527</v>
      </c>
      <c r="U262" s="593">
        <f>SUM(U253:U261)</f>
        <v>1</v>
      </c>
      <c r="V262" s="522"/>
      <c r="W262" s="524"/>
      <c r="X262" s="512"/>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70</v>
      </c>
      <c r="S265" s="595">
        <f t="shared" ref="S265:S272" si="7">R265/$R$274</f>
        <v>0.93333333333333335</v>
      </c>
      <c r="T265" s="596">
        <v>11778</v>
      </c>
      <c r="U265" s="595">
        <f t="shared" ref="U265:U272" si="8">T265/$T$274</f>
        <v>0.91728971962616823</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1</v>
      </c>
      <c r="S267" s="593">
        <f t="shared" si="7"/>
        <v>1.3333333333333334E-2</v>
      </c>
      <c r="T267" s="563">
        <v>480</v>
      </c>
      <c r="U267" s="593">
        <f t="shared" si="8"/>
        <v>3.7383177570093455E-2</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0</v>
      </c>
      <c r="S268" s="593">
        <f t="shared" si="7"/>
        <v>0</v>
      </c>
      <c r="T268" s="563">
        <v>0</v>
      </c>
      <c r="U268" s="593">
        <f t="shared" si="8"/>
        <v>0</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0</v>
      </c>
      <c r="S269" s="593">
        <f t="shared" si="7"/>
        <v>0</v>
      </c>
      <c r="T269" s="563">
        <v>0</v>
      </c>
      <c r="U269" s="593">
        <f t="shared" si="8"/>
        <v>0</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1</v>
      </c>
      <c r="S270" s="593">
        <f t="shared" si="7"/>
        <v>1.3333333333333334E-2</v>
      </c>
      <c r="T270" s="563">
        <v>175</v>
      </c>
      <c r="U270" s="593">
        <f t="shared" si="8"/>
        <v>1.3629283489096573E-2</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3</v>
      </c>
      <c r="S271" s="593">
        <f t="shared" si="7"/>
        <v>0.04</v>
      </c>
      <c r="T271" s="563">
        <v>407</v>
      </c>
      <c r="U271" s="593">
        <f t="shared" si="8"/>
        <v>3.1697819314641745E-2</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0</v>
      </c>
      <c r="S272" s="593">
        <f t="shared" si="7"/>
        <v>0</v>
      </c>
      <c r="T272" s="563">
        <v>0</v>
      </c>
      <c r="U272" s="593">
        <f t="shared" si="8"/>
        <v>0</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75</v>
      </c>
      <c r="S274" s="593">
        <f>SUM(S265:S273)</f>
        <v>1</v>
      </c>
      <c r="T274" s="563">
        <f>SUM(T265:T273)</f>
        <v>12840</v>
      </c>
      <c r="U274" s="593">
        <f>SUM(U265:U273)</f>
        <v>1</v>
      </c>
      <c r="V274" s="522"/>
      <c r="W274" s="524"/>
      <c r="X274" s="512"/>
    </row>
    <row r="275" spans="1:24" x14ac:dyDescent="0.3">
      <c r="A275" s="407"/>
      <c r="B275" s="429"/>
      <c r="C275" s="429"/>
      <c r="D275" s="429"/>
      <c r="E275" s="429"/>
      <c r="F275" s="429"/>
      <c r="G275" s="429"/>
      <c r="H275" s="488"/>
      <c r="I275" s="488"/>
      <c r="J275" s="488"/>
      <c r="K275" s="488"/>
      <c r="L275" s="488"/>
      <c r="M275" s="488"/>
      <c r="N275" s="488"/>
      <c r="O275" s="488"/>
      <c r="P275" s="488"/>
      <c r="Q275" s="488"/>
      <c r="R275" s="435"/>
      <c r="S275" s="489"/>
      <c r="T275" s="490"/>
      <c r="U275" s="489"/>
      <c r="V275" s="429"/>
      <c r="W275" s="429"/>
      <c r="X275" s="405"/>
    </row>
    <row r="276" spans="1:24" x14ac:dyDescent="0.3">
      <c r="A276" s="418"/>
      <c r="B276" s="464" t="s">
        <v>169</v>
      </c>
      <c r="C276" s="467"/>
      <c r="D276" s="467"/>
      <c r="E276" s="467"/>
      <c r="F276" s="467"/>
      <c r="G276" s="467"/>
      <c r="H276" s="491"/>
      <c r="I276" s="491"/>
      <c r="J276" s="491"/>
      <c r="K276" s="491"/>
      <c r="L276" s="491"/>
      <c r="M276" s="491"/>
      <c r="N276" s="491"/>
      <c r="O276" s="491"/>
      <c r="P276" s="491"/>
      <c r="Q276" s="491"/>
      <c r="R276" s="466" t="s">
        <v>104</v>
      </c>
      <c r="S276" s="465" t="s">
        <v>105</v>
      </c>
      <c r="T276" s="466" t="s">
        <v>113</v>
      </c>
      <c r="U276" s="465" t="s">
        <v>105</v>
      </c>
      <c r="V276" s="467"/>
      <c r="W276" s="468"/>
      <c r="X276" s="405"/>
    </row>
    <row r="277" spans="1:24" s="513" customFormat="1" x14ac:dyDescent="0.3">
      <c r="A277" s="509"/>
      <c r="B277" s="567" t="s">
        <v>90</v>
      </c>
      <c r="C277" s="552"/>
      <c r="D277" s="552"/>
      <c r="E277" s="552"/>
      <c r="F277" s="552"/>
      <c r="G277" s="552"/>
      <c r="H277" s="597"/>
      <c r="I277" s="597"/>
      <c r="J277" s="597"/>
      <c r="K277" s="597"/>
      <c r="L277" s="597"/>
      <c r="M277" s="597"/>
      <c r="N277" s="597"/>
      <c r="O277" s="597"/>
      <c r="P277" s="597"/>
      <c r="Q277" s="597"/>
      <c r="R277" s="567">
        <v>0</v>
      </c>
      <c r="S277" s="595">
        <v>0</v>
      </c>
      <c r="T277" s="596">
        <v>0</v>
      </c>
      <c r="U277" s="595">
        <v>0</v>
      </c>
      <c r="V277" s="552"/>
      <c r="W277" s="552"/>
      <c r="X277" s="512"/>
    </row>
    <row r="278" spans="1:24" s="513" customFormat="1" x14ac:dyDescent="0.3">
      <c r="A278" s="521"/>
      <c r="B278" s="562" t="s">
        <v>91</v>
      </c>
      <c r="C278" s="522"/>
      <c r="D278" s="522"/>
      <c r="E278" s="522"/>
      <c r="F278" s="522"/>
      <c r="G278" s="522"/>
      <c r="H278" s="594"/>
      <c r="I278" s="594"/>
      <c r="J278" s="594"/>
      <c r="K278" s="594"/>
      <c r="L278" s="594"/>
      <c r="M278" s="594"/>
      <c r="N278" s="594"/>
      <c r="O278" s="594"/>
      <c r="P278" s="594"/>
      <c r="Q278" s="594"/>
      <c r="R278" s="562">
        <v>0</v>
      </c>
      <c r="S278" s="593">
        <v>0</v>
      </c>
      <c r="T278" s="563">
        <v>0</v>
      </c>
      <c r="U278" s="593">
        <v>0</v>
      </c>
      <c r="V278" s="522"/>
      <c r="W278" s="524"/>
      <c r="X278" s="512"/>
    </row>
    <row r="279" spans="1:24" s="513" customFormat="1" x14ac:dyDescent="0.3">
      <c r="A279" s="521"/>
      <c r="B279" s="562" t="s">
        <v>92</v>
      </c>
      <c r="C279" s="522"/>
      <c r="D279" s="522"/>
      <c r="E279" s="522"/>
      <c r="F279" s="522"/>
      <c r="G279" s="522"/>
      <c r="H279" s="594"/>
      <c r="I279" s="594"/>
      <c r="J279" s="594"/>
      <c r="K279" s="594"/>
      <c r="L279" s="594"/>
      <c r="M279" s="594"/>
      <c r="N279" s="594"/>
      <c r="O279" s="594"/>
      <c r="P279" s="594"/>
      <c r="Q279" s="594"/>
      <c r="R279" s="562">
        <v>0</v>
      </c>
      <c r="S279" s="593">
        <v>0</v>
      </c>
      <c r="T279" s="563">
        <v>0</v>
      </c>
      <c r="U279" s="593">
        <v>0</v>
      </c>
      <c r="V279" s="522"/>
      <c r="W279" s="524"/>
      <c r="X279" s="512"/>
    </row>
    <row r="280" spans="1:24" s="513" customFormat="1" x14ac:dyDescent="0.3">
      <c r="A280" s="521"/>
      <c r="B280" s="562" t="s">
        <v>161</v>
      </c>
      <c r="C280" s="522"/>
      <c r="D280" s="522"/>
      <c r="E280" s="522"/>
      <c r="F280" s="522"/>
      <c r="G280" s="522"/>
      <c r="H280" s="594"/>
      <c r="I280" s="594"/>
      <c r="J280" s="594"/>
      <c r="K280" s="594"/>
      <c r="L280" s="594"/>
      <c r="M280" s="594"/>
      <c r="N280" s="594"/>
      <c r="O280" s="594"/>
      <c r="P280" s="594"/>
      <c r="Q280" s="594"/>
      <c r="R280" s="562">
        <v>0</v>
      </c>
      <c r="S280" s="593">
        <v>0</v>
      </c>
      <c r="T280" s="563">
        <v>0</v>
      </c>
      <c r="U280" s="593">
        <v>0</v>
      </c>
      <c r="V280" s="522"/>
      <c r="W280" s="524"/>
      <c r="X280" s="512"/>
    </row>
    <row r="281" spans="1:24" s="513" customFormat="1" x14ac:dyDescent="0.3">
      <c r="A281" s="521"/>
      <c r="B281" s="562" t="s">
        <v>162</v>
      </c>
      <c r="C281" s="522"/>
      <c r="D281" s="522"/>
      <c r="E281" s="522"/>
      <c r="F281" s="522"/>
      <c r="G281" s="522"/>
      <c r="H281" s="594"/>
      <c r="I281" s="594"/>
      <c r="J281" s="594"/>
      <c r="K281" s="594"/>
      <c r="L281" s="594"/>
      <c r="M281" s="594"/>
      <c r="N281" s="594"/>
      <c r="O281" s="594"/>
      <c r="P281" s="594"/>
      <c r="Q281" s="594"/>
      <c r="R281" s="562">
        <v>0</v>
      </c>
      <c r="S281" s="593">
        <v>0</v>
      </c>
      <c r="T281" s="563">
        <v>0</v>
      </c>
      <c r="U281" s="593">
        <v>0</v>
      </c>
      <c r="V281" s="522"/>
      <c r="W281" s="524"/>
      <c r="X281" s="512"/>
    </row>
    <row r="282" spans="1:24" s="513" customFormat="1" x14ac:dyDescent="0.3">
      <c r="A282" s="521"/>
      <c r="B282" s="562" t="s">
        <v>163</v>
      </c>
      <c r="C282" s="522"/>
      <c r="D282" s="522"/>
      <c r="E282" s="522"/>
      <c r="F282" s="522"/>
      <c r="G282" s="522"/>
      <c r="H282" s="594"/>
      <c r="I282" s="594"/>
      <c r="J282" s="594"/>
      <c r="K282" s="594"/>
      <c r="L282" s="594"/>
      <c r="M282" s="594"/>
      <c r="N282" s="594"/>
      <c r="O282" s="594"/>
      <c r="P282" s="594"/>
      <c r="Q282" s="594"/>
      <c r="R282" s="562">
        <v>0</v>
      </c>
      <c r="S282" s="593">
        <v>0</v>
      </c>
      <c r="T282" s="563">
        <v>0</v>
      </c>
      <c r="U282" s="593">
        <v>0</v>
      </c>
      <c r="V282" s="522"/>
      <c r="W282" s="524"/>
      <c r="X282" s="512"/>
    </row>
    <row r="283" spans="1:24" s="513" customFormat="1" x14ac:dyDescent="0.3">
      <c r="A283" s="521"/>
      <c r="B283" s="562" t="s">
        <v>164</v>
      </c>
      <c r="C283" s="522"/>
      <c r="D283" s="522"/>
      <c r="E283" s="522"/>
      <c r="F283" s="522"/>
      <c r="G283" s="522"/>
      <c r="H283" s="594"/>
      <c r="I283" s="594"/>
      <c r="J283" s="594"/>
      <c r="K283" s="594"/>
      <c r="L283" s="594"/>
      <c r="M283" s="594"/>
      <c r="N283" s="594"/>
      <c r="O283" s="594"/>
      <c r="P283" s="594"/>
      <c r="Q283" s="594"/>
      <c r="R283" s="562">
        <v>0</v>
      </c>
      <c r="S283" s="593">
        <v>0</v>
      </c>
      <c r="T283" s="563">
        <v>0</v>
      </c>
      <c r="U283" s="593">
        <v>0</v>
      </c>
      <c r="V283" s="522"/>
      <c r="W283" s="524"/>
      <c r="X283" s="512"/>
    </row>
    <row r="284" spans="1:24" s="513" customFormat="1" x14ac:dyDescent="0.3">
      <c r="A284" s="521"/>
      <c r="B284" s="562" t="s">
        <v>165</v>
      </c>
      <c r="C284" s="522"/>
      <c r="D284" s="522"/>
      <c r="E284" s="522"/>
      <c r="F284" s="522"/>
      <c r="G284" s="522"/>
      <c r="H284" s="594"/>
      <c r="I284" s="594"/>
      <c r="J284" s="594"/>
      <c r="K284" s="594"/>
      <c r="L284" s="594"/>
      <c r="M284" s="594"/>
      <c r="N284" s="594"/>
      <c r="O284" s="594"/>
      <c r="P284" s="594"/>
      <c r="Q284" s="594"/>
      <c r="R284" s="562">
        <v>0</v>
      </c>
      <c r="S284" s="593">
        <v>0</v>
      </c>
      <c r="T284" s="563">
        <v>0</v>
      </c>
      <c r="U284" s="593">
        <v>0</v>
      </c>
      <c r="V284" s="522"/>
      <c r="W284" s="524"/>
      <c r="X284" s="512"/>
    </row>
    <row r="285" spans="1:24" s="513" customFormat="1" x14ac:dyDescent="0.3">
      <c r="A285" s="521"/>
      <c r="B285" s="562"/>
      <c r="C285" s="522"/>
      <c r="D285" s="522"/>
      <c r="E285" s="522"/>
      <c r="F285" s="522"/>
      <c r="G285" s="522"/>
      <c r="H285" s="594"/>
      <c r="I285" s="594"/>
      <c r="J285" s="594"/>
      <c r="K285" s="594"/>
      <c r="L285" s="594"/>
      <c r="M285" s="594"/>
      <c r="N285" s="594"/>
      <c r="O285" s="594"/>
      <c r="P285" s="594"/>
      <c r="Q285" s="594"/>
      <c r="R285" s="562"/>
      <c r="S285" s="593"/>
      <c r="T285" s="563"/>
      <c r="U285" s="593"/>
      <c r="V285" s="522"/>
      <c r="W285" s="524"/>
      <c r="X285" s="512"/>
    </row>
    <row r="286" spans="1:24" s="513" customFormat="1" x14ac:dyDescent="0.3">
      <c r="A286" s="521"/>
      <c r="B286" s="522" t="s">
        <v>119</v>
      </c>
      <c r="C286" s="522"/>
      <c r="D286" s="522"/>
      <c r="E286" s="522"/>
      <c r="F286" s="522"/>
      <c r="G286" s="522"/>
      <c r="H286" s="594"/>
      <c r="I286" s="594"/>
      <c r="J286" s="594"/>
      <c r="K286" s="594"/>
      <c r="L286" s="594"/>
      <c r="M286" s="594"/>
      <c r="N286" s="594"/>
      <c r="O286" s="594"/>
      <c r="P286" s="594"/>
      <c r="Q286" s="594"/>
      <c r="R286" s="562">
        <f>SUM(R277:R284)</f>
        <v>0</v>
      </c>
      <c r="S286" s="593">
        <f>SUM(S277:S285)</f>
        <v>0</v>
      </c>
      <c r="T286" s="563">
        <f>SUM(T277:T284)</f>
        <v>0</v>
      </c>
      <c r="U286" s="593">
        <f>SUM(U277:U285)</f>
        <v>0</v>
      </c>
      <c r="V286" s="522"/>
      <c r="W286" s="524"/>
      <c r="X286" s="512"/>
    </row>
    <row r="287" spans="1:24" s="513" customFormat="1" x14ac:dyDescent="0.3">
      <c r="A287" s="521"/>
      <c r="B287" s="522"/>
      <c r="C287" s="522"/>
      <c r="D287" s="522"/>
      <c r="E287" s="522"/>
      <c r="F287" s="522"/>
      <c r="G287" s="522"/>
      <c r="H287" s="594"/>
      <c r="I287" s="594"/>
      <c r="J287" s="594"/>
      <c r="K287" s="594"/>
      <c r="L287" s="594"/>
      <c r="M287" s="594"/>
      <c r="N287" s="594"/>
      <c r="O287" s="594"/>
      <c r="P287" s="594"/>
      <c r="Q287" s="594"/>
      <c r="R287" s="562"/>
      <c r="S287" s="593"/>
      <c r="T287" s="563"/>
      <c r="U287" s="593"/>
      <c r="V287" s="522"/>
      <c r="W287" s="524"/>
      <c r="X287" s="512"/>
    </row>
    <row r="288" spans="1:24" s="513" customFormat="1" x14ac:dyDescent="0.3">
      <c r="A288" s="521"/>
      <c r="B288" s="527" t="s">
        <v>170</v>
      </c>
      <c r="C288" s="522"/>
      <c r="D288" s="522"/>
      <c r="E288" s="522"/>
      <c r="F288" s="522"/>
      <c r="G288" s="522"/>
      <c r="H288" s="594"/>
      <c r="I288" s="594"/>
      <c r="J288" s="594"/>
      <c r="K288" s="594"/>
      <c r="L288" s="594"/>
      <c r="M288" s="594"/>
      <c r="N288" s="594"/>
      <c r="O288" s="594"/>
      <c r="P288" s="594"/>
      <c r="Q288" s="594"/>
      <c r="R288" s="598">
        <f>R286+R274+R262</f>
        <v>5069</v>
      </c>
      <c r="S288" s="593"/>
      <c r="T288" s="599">
        <f>+T286+T274+T262</f>
        <v>666367</v>
      </c>
      <c r="U288" s="593"/>
      <c r="V288" s="522"/>
      <c r="W288" s="524"/>
      <c r="X288" s="512"/>
    </row>
    <row r="289" spans="1:24" s="513" customFormat="1" x14ac:dyDescent="0.3">
      <c r="A289" s="509"/>
      <c r="B289" s="552"/>
      <c r="C289" s="552"/>
      <c r="D289" s="552"/>
      <c r="E289" s="552"/>
      <c r="F289" s="552"/>
      <c r="G289" s="552"/>
      <c r="H289" s="597"/>
      <c r="I289" s="597"/>
      <c r="J289" s="597"/>
      <c r="K289" s="597"/>
      <c r="L289" s="597"/>
      <c r="M289" s="597"/>
      <c r="N289" s="597"/>
      <c r="O289" s="597"/>
      <c r="P289" s="597"/>
      <c r="Q289" s="597"/>
      <c r="R289" s="597"/>
      <c r="S289" s="597"/>
      <c r="T289" s="596"/>
      <c r="U289" s="597"/>
      <c r="V289" s="552"/>
      <c r="W289" s="552"/>
      <c r="X289" s="512"/>
    </row>
    <row r="290" spans="1:24" s="513" customFormat="1" x14ac:dyDescent="0.3">
      <c r="A290" s="509"/>
      <c r="B290" s="510"/>
      <c r="C290" s="510"/>
      <c r="D290" s="510"/>
      <c r="E290" s="510"/>
      <c r="F290" s="510"/>
      <c r="G290" s="510"/>
      <c r="H290" s="600"/>
      <c r="I290" s="600"/>
      <c r="J290" s="600"/>
      <c r="K290" s="600"/>
      <c r="L290" s="600"/>
      <c r="M290" s="600"/>
      <c r="N290" s="600"/>
      <c r="O290" s="600"/>
      <c r="P290" s="600"/>
      <c r="Q290" s="600"/>
      <c r="R290" s="600"/>
      <c r="S290" s="600"/>
      <c r="T290" s="601"/>
      <c r="U290" s="600"/>
      <c r="V290" s="510"/>
      <c r="W290" s="510"/>
      <c r="X290" s="512"/>
    </row>
    <row r="291" spans="1:24" s="513" customFormat="1" x14ac:dyDescent="0.3">
      <c r="A291" s="509"/>
      <c r="B291" s="508" t="s">
        <v>93</v>
      </c>
      <c r="C291" s="510"/>
      <c r="D291" s="510"/>
      <c r="E291" s="510"/>
      <c r="F291" s="516" t="s">
        <v>99</v>
      </c>
      <c r="G291" s="510"/>
      <c r="H291" s="508" t="s">
        <v>101</v>
      </c>
      <c r="I291" s="510"/>
      <c r="J291" s="510"/>
      <c r="K291" s="510"/>
      <c r="L291" s="510"/>
      <c r="M291" s="510"/>
      <c r="N291" s="510"/>
      <c r="O291" s="510"/>
      <c r="P291" s="510"/>
      <c r="Q291" s="510"/>
      <c r="R291" s="510"/>
      <c r="S291" s="510"/>
      <c r="T291" s="510"/>
      <c r="U291" s="510"/>
      <c r="V291" s="510"/>
      <c r="W291" s="510"/>
      <c r="X291" s="512"/>
    </row>
    <row r="292" spans="1:24" s="513" customFormat="1" x14ac:dyDescent="0.3">
      <c r="A292" s="509"/>
      <c r="B292" s="508" t="s">
        <v>327</v>
      </c>
      <c r="C292" s="508"/>
      <c r="D292" s="508"/>
      <c r="E292" s="508"/>
      <c r="F292" s="602" t="s">
        <v>278</v>
      </c>
      <c r="G292" s="508"/>
      <c r="H292" s="402" t="s">
        <v>350</v>
      </c>
      <c r="I292" s="510"/>
      <c r="J292" s="510"/>
      <c r="K292" s="510"/>
      <c r="L292" s="510"/>
      <c r="M292" s="510"/>
      <c r="N292" s="510"/>
      <c r="O292" s="510"/>
      <c r="P292" s="510"/>
      <c r="Q292" s="510"/>
      <c r="R292" s="510"/>
      <c r="S292" s="510"/>
      <c r="T292" s="510"/>
      <c r="U292" s="510"/>
      <c r="V292" s="510"/>
      <c r="W292" s="510"/>
      <c r="X292" s="512"/>
    </row>
    <row r="293" spans="1:24" s="513" customFormat="1" x14ac:dyDescent="0.3">
      <c r="A293" s="509"/>
      <c r="B293" s="508" t="s">
        <v>328</v>
      </c>
      <c r="C293" s="508"/>
      <c r="D293" s="508"/>
      <c r="E293" s="508"/>
      <c r="F293" s="602" t="s">
        <v>152</v>
      </c>
      <c r="G293" s="508"/>
      <c r="H293" s="402" t="s">
        <v>351</v>
      </c>
      <c r="I293" s="510"/>
      <c r="J293" s="510"/>
      <c r="K293" s="510"/>
      <c r="L293" s="510"/>
      <c r="M293" s="510"/>
      <c r="N293" s="510"/>
      <c r="O293" s="510"/>
      <c r="P293" s="510"/>
      <c r="Q293" s="510"/>
      <c r="R293" s="510"/>
      <c r="S293" s="510"/>
      <c r="T293" s="510"/>
      <c r="U293" s="510"/>
      <c r="V293" s="510"/>
      <c r="W293" s="510"/>
      <c r="X293" s="512"/>
    </row>
    <row r="294" spans="1:24" s="513" customFormat="1" x14ac:dyDescent="0.3">
      <c r="A294" s="509"/>
      <c r="B294" s="508"/>
      <c r="C294" s="508"/>
      <c r="D294" s="508"/>
      <c r="E294" s="508"/>
      <c r="F294" s="508"/>
      <c r="G294" s="508"/>
      <c r="H294" s="510"/>
      <c r="I294" s="510"/>
      <c r="J294" s="510"/>
      <c r="K294" s="510"/>
      <c r="L294" s="510"/>
      <c r="M294" s="510"/>
      <c r="N294" s="510"/>
      <c r="O294" s="510"/>
      <c r="P294" s="510"/>
      <c r="Q294" s="510"/>
      <c r="R294" s="510"/>
      <c r="S294" s="510"/>
      <c r="T294" s="510"/>
      <c r="U294" s="510"/>
      <c r="V294" s="510"/>
      <c r="W294" s="510"/>
      <c r="X294" s="512"/>
    </row>
    <row r="295" spans="1:24" s="513" customFormat="1" ht="18.600000000000001" thickBot="1" x14ac:dyDescent="0.4">
      <c r="A295" s="509"/>
      <c r="B295" s="603" t="str">
        <f>B202</f>
        <v>PM12 INVESTOR REPORT QUARTER ENDING OCTOBER 2019</v>
      </c>
      <c r="C295" s="508"/>
      <c r="D295" s="508"/>
      <c r="E295" s="508"/>
      <c r="F295" s="508"/>
      <c r="G295" s="508"/>
      <c r="H295" s="510"/>
      <c r="I295" s="510"/>
      <c r="J295" s="510"/>
      <c r="K295" s="510"/>
      <c r="L295" s="510"/>
      <c r="M295" s="510"/>
      <c r="N295" s="510"/>
      <c r="O295" s="510"/>
      <c r="P295" s="510"/>
      <c r="Q295" s="510"/>
      <c r="R295" s="510"/>
      <c r="S295" s="510"/>
      <c r="T295" s="510"/>
      <c r="U295" s="510"/>
      <c r="V295" s="510"/>
      <c r="W295" s="510"/>
      <c r="X295" s="512"/>
    </row>
    <row r="296" spans="1:24" x14ac:dyDescent="0.3">
      <c r="A296" s="492"/>
      <c r="B296" s="492"/>
      <c r="C296" s="492"/>
      <c r="D296" s="492"/>
      <c r="E296" s="492"/>
      <c r="F296" s="492"/>
      <c r="G296" s="492"/>
      <c r="H296" s="492"/>
      <c r="I296" s="492"/>
      <c r="J296" s="492"/>
      <c r="K296" s="492"/>
      <c r="L296" s="492"/>
      <c r="M296" s="492"/>
      <c r="N296" s="492"/>
      <c r="O296" s="492"/>
      <c r="P296" s="492"/>
      <c r="Q296" s="492"/>
      <c r="R296" s="492"/>
      <c r="S296" s="492"/>
      <c r="T296" s="492"/>
      <c r="U296" s="492"/>
      <c r="V296" s="492"/>
      <c r="W296" s="492"/>
    </row>
    <row r="297" spans="1:24" x14ac:dyDescent="0.3">
      <c r="B297" s="406" t="s">
        <v>384</v>
      </c>
    </row>
    <row r="298" spans="1:24" x14ac:dyDescent="0.3">
      <c r="B298" s="623" t="s">
        <v>378</v>
      </c>
    </row>
  </sheetData>
  <hyperlinks>
    <hyperlink ref="I9" r:id="rId1" xr:uid="{E0FDAE89-769D-45F2-B43B-B10F309CCC2C}"/>
    <hyperlink ref="P238" r:id="rId2" xr:uid="{A7DE8558-7649-43AB-B9D6-4D10198660F1}"/>
    <hyperlink ref="B298" r:id="rId3" xr:uid="{60C5975B-0318-4A78-990C-81130D36CD68}"/>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4" max="23" man="1"/>
    <brk id="141" max="14" man="1"/>
    <brk id="202" max="14" man="1"/>
  </rowBreaks>
  <drawing r:id="rId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48041-7B32-4672-B98C-453D26DED9FC}">
  <sheetPr>
    <tabColor rgb="FF2D2926"/>
  </sheetPr>
  <dimension ref="A1:AA298"/>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0.67669999999999997</v>
      </c>
      <c r="T16" s="516" t="s">
        <v>145</v>
      </c>
      <c r="U16" s="515">
        <v>0.32329999999999998</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43879</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305886.4564353</v>
      </c>
      <c r="E32" s="529"/>
      <c r="F32" s="530">
        <f>F31*F38</f>
        <v>54407.363999999994</v>
      </c>
      <c r="G32" s="530"/>
      <c r="H32" s="534">
        <f>H31*H38</f>
        <v>91929.683999999994</v>
      </c>
      <c r="I32" s="534"/>
      <c r="J32" s="533">
        <f>J31*J38</f>
        <v>116693.69990000001</v>
      </c>
      <c r="K32" s="530"/>
      <c r="L32" s="530">
        <f>L31*L38</f>
        <v>22184.82</v>
      </c>
      <c r="M32" s="530"/>
      <c r="N32" s="534">
        <f>N31*N38</f>
        <v>111811.49279999999</v>
      </c>
      <c r="O32" s="530"/>
      <c r="P32" s="530">
        <f>P31*P38</f>
        <v>15085.677599999999</v>
      </c>
      <c r="Q32" s="530"/>
      <c r="R32" s="534">
        <f>R31*R38</f>
        <v>94063.636799999993</v>
      </c>
      <c r="S32" s="530"/>
      <c r="T32" s="530"/>
      <c r="U32" s="529"/>
      <c r="V32" s="530"/>
      <c r="W32" s="531"/>
      <c r="X32" s="512"/>
    </row>
    <row r="33" spans="1:25" s="513" customFormat="1" x14ac:dyDescent="0.3">
      <c r="A33" s="521"/>
      <c r="B33" s="527" t="s">
        <v>139</v>
      </c>
      <c r="C33" s="529"/>
      <c r="D33" s="619">
        <f>D34*D37</f>
        <v>299930.39951159997</v>
      </c>
      <c r="E33" s="532"/>
      <c r="F33" s="535">
        <f>F37*F31</f>
        <v>53347.993999999999</v>
      </c>
      <c r="G33" s="535"/>
      <c r="H33" s="537">
        <f>H31*H37</f>
        <v>90139.714000000007</v>
      </c>
      <c r="I33" s="537"/>
      <c r="J33" s="536">
        <f>J37*J31</f>
        <v>114421.5028</v>
      </c>
      <c r="K33" s="535"/>
      <c r="L33" s="535">
        <f>L37*L31</f>
        <v>21752.850000000002</v>
      </c>
      <c r="M33" s="535"/>
      <c r="N33" s="537">
        <f>N37*N31</f>
        <v>109634.364</v>
      </c>
      <c r="O33" s="535"/>
      <c r="P33" s="535">
        <f>P37*P31</f>
        <v>14791.938</v>
      </c>
      <c r="Q33" s="535"/>
      <c r="R33" s="537">
        <f>R37*R31</f>
        <v>92232.084000000003</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305886.4564353</v>
      </c>
      <c r="E35" s="529"/>
      <c r="F35" s="530">
        <f>F34*F38</f>
        <v>54407.363999999994</v>
      </c>
      <c r="G35" s="530"/>
      <c r="H35" s="530">
        <f>H34*H38</f>
        <v>63399.963211199996</v>
      </c>
      <c r="I35" s="530"/>
      <c r="J35" s="530">
        <f>J34*J38</f>
        <v>63420.586959800006</v>
      </c>
      <c r="K35" s="530"/>
      <c r="L35" s="530">
        <f>L34*L38</f>
        <v>22184.82</v>
      </c>
      <c r="M35" s="530"/>
      <c r="N35" s="530">
        <f>N34*N38</f>
        <v>77111.772141599999</v>
      </c>
      <c r="O35" s="530"/>
      <c r="P35" s="530">
        <f>P34*P38</f>
        <v>15085.677599999999</v>
      </c>
      <c r="Q35" s="530"/>
      <c r="R35" s="530">
        <f>R34*R38</f>
        <v>64871.0758584</v>
      </c>
      <c r="S35" s="530"/>
      <c r="T35" s="530"/>
      <c r="U35" s="529"/>
      <c r="V35" s="530">
        <f>SUM(C35:R35)-1</f>
        <v>666366.71620629996</v>
      </c>
      <c r="W35" s="531"/>
      <c r="X35" s="512"/>
    </row>
    <row r="36" spans="1:25" s="513" customFormat="1" x14ac:dyDescent="0.3">
      <c r="A36" s="525"/>
      <c r="B36" s="527" t="s">
        <v>295</v>
      </c>
      <c r="C36" s="532"/>
      <c r="D36" s="535">
        <f>D34*D37</f>
        <v>299930.39951159997</v>
      </c>
      <c r="E36" s="532"/>
      <c r="F36" s="535">
        <f>F34*F37</f>
        <v>53347.993999999999</v>
      </c>
      <c r="G36" s="535"/>
      <c r="H36" s="535">
        <f>H34*H37</f>
        <v>62165.497615200002</v>
      </c>
      <c r="I36" s="535"/>
      <c r="J36" s="535">
        <f>J34*J37</f>
        <v>62185.695325599998</v>
      </c>
      <c r="K36" s="535"/>
      <c r="L36" s="535">
        <f>L34*L37</f>
        <v>21752.850000000002</v>
      </c>
      <c r="M36" s="535"/>
      <c r="N36" s="535">
        <f>N34*N37</f>
        <v>75610.296258000002</v>
      </c>
      <c r="O36" s="535"/>
      <c r="P36" s="535">
        <f>P34*P37</f>
        <v>14791.938</v>
      </c>
      <c r="Q36" s="535"/>
      <c r="R36" s="535">
        <f>R34*R37</f>
        <v>63607.943742000003</v>
      </c>
      <c r="S36" s="538"/>
      <c r="T36" s="538"/>
      <c r="U36" s="529"/>
      <c r="V36" s="535">
        <f>SUM(C36:R36)-1</f>
        <v>653391.6144523999</v>
      </c>
      <c r="W36" s="531"/>
      <c r="X36" s="512"/>
      <c r="Y36" s="621"/>
    </row>
    <row r="37" spans="1:25" x14ac:dyDescent="0.3">
      <c r="A37" s="420"/>
      <c r="B37" s="493" t="s">
        <v>135</v>
      </c>
      <c r="C37" s="494"/>
      <c r="D37" s="495">
        <v>0.36791479999999999</v>
      </c>
      <c r="E37" s="496"/>
      <c r="F37" s="495">
        <v>0.3679172</v>
      </c>
      <c r="G37" s="495"/>
      <c r="H37" s="495">
        <v>0.3679172</v>
      </c>
      <c r="I37" s="495"/>
      <c r="J37" s="495">
        <v>0.36791479999999999</v>
      </c>
      <c r="K37" s="495"/>
      <c r="L37" s="495">
        <v>0.87011400000000005</v>
      </c>
      <c r="M37" s="495"/>
      <c r="N37" s="495">
        <v>0.87011400000000005</v>
      </c>
      <c r="O37" s="495"/>
      <c r="P37" s="495">
        <v>0.87011400000000005</v>
      </c>
      <c r="Q37" s="495"/>
      <c r="R37" s="495">
        <v>0.87011400000000005</v>
      </c>
      <c r="S37" s="425"/>
      <c r="T37" s="425"/>
      <c r="U37" s="424"/>
      <c r="V37" s="424"/>
      <c r="W37" s="426"/>
      <c r="X37" s="405"/>
    </row>
    <row r="38" spans="1:25" x14ac:dyDescent="0.3">
      <c r="A38" s="420"/>
      <c r="B38" s="493" t="s">
        <v>136</v>
      </c>
      <c r="C38" s="494"/>
      <c r="D38" s="495">
        <v>0.37522090000000002</v>
      </c>
      <c r="E38" s="496"/>
      <c r="F38" s="495">
        <v>0.37522319999999998</v>
      </c>
      <c r="G38" s="495"/>
      <c r="H38" s="495">
        <v>0.37522319999999998</v>
      </c>
      <c r="I38" s="495"/>
      <c r="J38" s="495">
        <v>0.37522090000000002</v>
      </c>
      <c r="K38" s="495"/>
      <c r="L38" s="495">
        <v>0.88739279999999998</v>
      </c>
      <c r="M38" s="495"/>
      <c r="N38" s="495">
        <v>0.88739279999999998</v>
      </c>
      <c r="O38" s="495"/>
      <c r="P38" s="495">
        <v>0.88739279999999998</v>
      </c>
      <c r="Q38" s="495"/>
      <c r="R38" s="495">
        <v>0.88739279999999998</v>
      </c>
      <c r="S38" s="427"/>
      <c r="T38" s="428"/>
      <c r="U38" s="424"/>
      <c r="V38" s="427"/>
      <c r="W38" s="426"/>
      <c r="X38" s="405"/>
    </row>
    <row r="39" spans="1:25"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5" s="513" customFormat="1" x14ac:dyDescent="0.3">
      <c r="A40" s="521"/>
      <c r="B40" s="522" t="s">
        <v>12</v>
      </c>
      <c r="C40" s="522"/>
      <c r="D40" s="540">
        <v>1.0271300000000001E-2</v>
      </c>
      <c r="E40" s="522"/>
      <c r="F40" s="540">
        <v>1.0271300000000001E-2</v>
      </c>
      <c r="G40" s="539"/>
      <c r="H40" s="540">
        <v>0</v>
      </c>
      <c r="I40" s="540"/>
      <c r="J40" s="540">
        <v>2.12988E-2</v>
      </c>
      <c r="K40" s="539"/>
      <c r="L40" s="540">
        <v>1.26713E-2</v>
      </c>
      <c r="M40" s="539"/>
      <c r="N40" s="540">
        <v>7.7999999999999999E-4</v>
      </c>
      <c r="O40" s="539"/>
      <c r="P40" s="540">
        <v>1.7071300000000001E-2</v>
      </c>
      <c r="Q40" s="539"/>
      <c r="R40" s="540">
        <v>5.1799999999999997E-3</v>
      </c>
      <c r="S40" s="539"/>
      <c r="T40" s="540"/>
      <c r="U40" s="522"/>
      <c r="V40" s="528"/>
      <c r="W40" s="524"/>
      <c r="X40" s="512"/>
    </row>
    <row r="41" spans="1:25" s="513" customFormat="1" x14ac:dyDescent="0.3">
      <c r="A41" s="521"/>
      <c r="B41" s="522" t="s">
        <v>13</v>
      </c>
      <c r="C41" s="522"/>
      <c r="D41" s="540">
        <v>1.00813E-2</v>
      </c>
      <c r="E41" s="522"/>
      <c r="F41" s="540">
        <v>1.00813E-2</v>
      </c>
      <c r="G41" s="539"/>
      <c r="H41" s="540">
        <v>0</v>
      </c>
      <c r="I41" s="540"/>
      <c r="J41" s="540">
        <v>2.3781299999999998E-2</v>
      </c>
      <c r="K41" s="539"/>
      <c r="L41" s="540">
        <v>1.2481300000000001E-2</v>
      </c>
      <c r="M41" s="539"/>
      <c r="N41" s="540">
        <v>7.7999999999999999E-4</v>
      </c>
      <c r="O41" s="539"/>
      <c r="P41" s="540">
        <v>1.6881299999999998E-2</v>
      </c>
      <c r="Q41" s="539"/>
      <c r="R41" s="540">
        <v>5.1799999999999997E-3</v>
      </c>
      <c r="S41" s="539"/>
      <c r="T41" s="540"/>
      <c r="U41" s="522"/>
      <c r="V41" s="539" t="s">
        <v>199</v>
      </c>
      <c r="W41" s="524"/>
      <c r="X41" s="512"/>
    </row>
    <row r="42" spans="1:25" s="513" customFormat="1" x14ac:dyDescent="0.3">
      <c r="A42" s="521"/>
      <c r="B42" s="522" t="s">
        <v>296</v>
      </c>
      <c r="C42" s="522"/>
      <c r="D42" s="528" t="s">
        <v>237</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5" s="513" customFormat="1" x14ac:dyDescent="0.3">
      <c r="A43" s="521"/>
      <c r="B43" s="522" t="s">
        <v>297</v>
      </c>
      <c r="C43" s="541"/>
      <c r="D43" s="540">
        <f>+D40</f>
        <v>1.0271300000000001E-2</v>
      </c>
      <c r="E43" s="540"/>
      <c r="F43" s="540">
        <f>+F40</f>
        <v>1.0271300000000001E-2</v>
      </c>
      <c r="G43" s="540"/>
      <c r="H43" s="540">
        <v>1.0193300000000001E-2</v>
      </c>
      <c r="I43" s="540"/>
      <c r="J43" s="540">
        <v>1.04353E-2</v>
      </c>
      <c r="K43" s="540"/>
      <c r="L43" s="540">
        <f>+L40</f>
        <v>1.26713E-2</v>
      </c>
      <c r="M43" s="540"/>
      <c r="N43" s="540">
        <v>1.2873300000000001E-2</v>
      </c>
      <c r="O43" s="540"/>
      <c r="P43" s="540">
        <f>+P40</f>
        <v>1.7071300000000001E-2</v>
      </c>
      <c r="Q43" s="539"/>
      <c r="R43" s="540">
        <v>1.7543300000000001E-2</v>
      </c>
      <c r="S43" s="528"/>
      <c r="T43" s="528"/>
      <c r="U43" s="522"/>
      <c r="V43" s="539">
        <f>SUMPRODUCT(D43:R43,D35:R35)/V35</f>
        <v>1.1522382175310156E-2</v>
      </c>
      <c r="W43" s="524"/>
      <c r="X43" s="512"/>
    </row>
    <row r="44" spans="1:25" s="513" customFormat="1" x14ac:dyDescent="0.3">
      <c r="A44" s="521"/>
      <c r="B44" s="522" t="s">
        <v>298</v>
      </c>
      <c r="C44" s="541"/>
      <c r="D44" s="540">
        <f>+D41</f>
        <v>1.00813E-2</v>
      </c>
      <c r="E44" s="540"/>
      <c r="F44" s="540">
        <f>+F41</f>
        <v>1.00813E-2</v>
      </c>
      <c r="G44" s="540"/>
      <c r="H44" s="540">
        <v>1.00033E-2</v>
      </c>
      <c r="I44" s="540"/>
      <c r="J44" s="540">
        <v>1.0245300000000001E-2</v>
      </c>
      <c r="K44" s="540"/>
      <c r="L44" s="540">
        <f>+L41</f>
        <v>1.2481300000000001E-2</v>
      </c>
      <c r="M44" s="540"/>
      <c r="N44" s="540">
        <v>1.26833E-2</v>
      </c>
      <c r="O44" s="540"/>
      <c r="P44" s="540">
        <f>+P41</f>
        <v>1.6881299999999998E-2</v>
      </c>
      <c r="Q44" s="539"/>
      <c r="R44" s="540">
        <v>1.7353299999999999E-2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5" s="513" customFormat="1" x14ac:dyDescent="0.3">
      <c r="A48" s="521"/>
      <c r="B48" s="522" t="s">
        <v>299</v>
      </c>
      <c r="C48" s="522"/>
      <c r="D48" s="528" t="s">
        <v>237</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0.36799024387388185</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43879</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43692</v>
      </c>
      <c r="U57" s="550"/>
      <c r="V57" s="549">
        <v>43783</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95</v>
      </c>
      <c r="S58" s="522"/>
      <c r="T58" s="549">
        <v>43784</v>
      </c>
      <c r="U58" s="550"/>
      <c r="V58" s="549">
        <v>43878</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43864</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379</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666367</v>
      </c>
      <c r="O68" s="562"/>
      <c r="P68" s="562">
        <v>12975</v>
      </c>
      <c r="Q68" s="562"/>
      <c r="R68" s="562">
        <v>0</v>
      </c>
      <c r="S68" s="562"/>
      <c r="T68" s="562">
        <v>0</v>
      </c>
      <c r="U68" s="562"/>
      <c r="V68" s="563">
        <f>+N68-P68+R68-T68</f>
        <v>653392</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666367</v>
      </c>
      <c r="O71" s="562"/>
      <c r="P71" s="562">
        <f>SUM(P68:P70)</f>
        <v>12975</v>
      </c>
      <c r="Q71" s="562"/>
      <c r="R71" s="562">
        <f>SUM(R68:R70)</f>
        <v>0</v>
      </c>
      <c r="S71" s="562"/>
      <c r="T71" s="562">
        <f>SUM(T68:T70)</f>
        <v>0</v>
      </c>
      <c r="U71" s="562"/>
      <c r="V71" s="562">
        <f>SUM(V68:V70)</f>
        <v>653392</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666367</v>
      </c>
      <c r="O84" s="562"/>
      <c r="P84" s="562"/>
      <c r="Q84" s="562"/>
      <c r="R84" s="562"/>
      <c r="S84" s="562"/>
      <c r="T84" s="562"/>
      <c r="U84" s="562"/>
      <c r="V84" s="562">
        <f>SUM(V71:V83)</f>
        <v>653392</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43861</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12975+65</f>
        <v>13040</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3793+1774-980-384</f>
        <v>4203</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276+32</f>
        <v>308</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73</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73</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13040</v>
      </c>
      <c r="U96" s="522"/>
      <c r="V96" s="562">
        <f>SUM(V88:V95)</f>
        <v>4657</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13040</v>
      </c>
      <c r="U100" s="522"/>
      <c r="V100" s="562">
        <f>V96+V98+V97+V99</f>
        <v>4657</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-255-81-9</f>
        <v>-345</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f>-1303+145</f>
        <v>-1158</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-145</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-258</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-73</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-296</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-67</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-9</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-65</v>
      </c>
      <c r="U114" s="522"/>
      <c r="V114" s="563">
        <v>65</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-255</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-255</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-73</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-18</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-1765</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-5956</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-1059</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-1234</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-1235</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-432</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-1502</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-294</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-1263</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-12975</v>
      </c>
      <c r="U137" s="562"/>
      <c r="V137" s="562">
        <f>SUM(V102:V134)</f>
        <v>-4657</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JANUARY 2020</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-65</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-65</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65</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653392</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653392</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+'Oct 19'!S188</f>
        <v>57078</v>
      </c>
      <c r="T186" s="563">
        <f>+'Oct 19'!T188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3.3077513430544898</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1.99</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9.0845921450151064</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7.69</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7.3719008264462813</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7.01</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JANUARY 2020</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43861</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2.5165306937777049E-2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1.1522382175310156E-2</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1.3642924762466892E-2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6.9886413943067412E-3</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8.42</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1.94712523279214E-2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6.3200000000000006E-2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1</v>
      </c>
      <c r="T221" s="577">
        <v>259</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75</v>
      </c>
      <c r="T222" s="579">
        <f>+T274</f>
        <v>12800</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+R286</f>
        <v>0</v>
      </c>
      <c r="T223" s="579">
        <f>+T286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-65</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'Oct 19'!T228+'Jan 20'!T227</f>
        <v>7734</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0</v>
      </c>
      <c r="T234" s="579">
        <v>0</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0</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+R253+R265+R277</f>
        <v>4961</v>
      </c>
      <c r="S241" s="588">
        <f t="shared" ref="S241:S248" si="2">R241/$R$250</f>
        <v>0.99558498896247238</v>
      </c>
      <c r="T241" s="589">
        <f t="shared" ref="T241:T248" si="3">+T253+T265+T277</f>
        <v>650163</v>
      </c>
      <c r="U241" s="588">
        <f t="shared" ref="U241:U248" si="4">T241/$T$250</f>
        <v>0.99505809682395863</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11</v>
      </c>
      <c r="S242" s="593">
        <f t="shared" si="2"/>
        <v>2.2075055187637969E-3</v>
      </c>
      <c r="T242" s="563">
        <f t="shared" si="3"/>
        <v>969</v>
      </c>
      <c r="U242" s="593">
        <f t="shared" si="4"/>
        <v>1.4830300952567526E-3</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5</v>
      </c>
      <c r="S243" s="593">
        <f t="shared" si="2"/>
        <v>1.0034115994380895E-3</v>
      </c>
      <c r="T243" s="563">
        <f t="shared" si="3"/>
        <v>939</v>
      </c>
      <c r="U243" s="593">
        <f t="shared" si="4"/>
        <v>1.4371158508215589E-3</v>
      </c>
      <c r="V243" s="582"/>
      <c r="W243" s="583"/>
      <c r="X243" s="512"/>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1</v>
      </c>
      <c r="S244" s="593">
        <f t="shared" si="2"/>
        <v>2.006823198876179E-4</v>
      </c>
      <c r="T244" s="563">
        <f t="shared" si="3"/>
        <v>480</v>
      </c>
      <c r="U244" s="593">
        <f t="shared" si="4"/>
        <v>7.3462791096309723E-4</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1</v>
      </c>
      <c r="S245" s="593">
        <f t="shared" si="2"/>
        <v>2.006823198876179E-4</v>
      </c>
      <c r="T245" s="563">
        <f t="shared" si="3"/>
        <v>175</v>
      </c>
      <c r="U245" s="593">
        <f t="shared" si="4"/>
        <v>2.6783309253862919E-4</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0</v>
      </c>
      <c r="S246" s="593">
        <f t="shared" si="2"/>
        <v>0</v>
      </c>
      <c r="T246" s="563">
        <f t="shared" si="3"/>
        <v>0</v>
      </c>
      <c r="U246" s="593">
        <f t="shared" si="4"/>
        <v>0</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4</v>
      </c>
      <c r="S247" s="593">
        <f t="shared" si="2"/>
        <v>8.027292795504716E-4</v>
      </c>
      <c r="T247" s="563">
        <f t="shared" si="3"/>
        <v>666</v>
      </c>
      <c r="U247" s="593">
        <f t="shared" si="4"/>
        <v>1.0192962264612972E-3</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0</v>
      </c>
      <c r="S248" s="593">
        <f t="shared" si="2"/>
        <v>0</v>
      </c>
      <c r="T248" s="563">
        <f t="shared" si="3"/>
        <v>0</v>
      </c>
      <c r="U248" s="593">
        <f t="shared" si="4"/>
        <v>0</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4983</v>
      </c>
      <c r="S250" s="593">
        <f>SUM(S241:S249)</f>
        <v>0.99999999999999989</v>
      </c>
      <c r="T250" s="563">
        <f>SUM(T241:T249)</f>
        <v>653392</v>
      </c>
      <c r="U250" s="593">
        <f>SUM(U241:U249)</f>
        <v>1</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4891</v>
      </c>
      <c r="S253" s="595">
        <f t="shared" ref="S253:S260" si="5">R253/$R$262</f>
        <v>0.9965362673186634</v>
      </c>
      <c r="T253" s="596">
        <v>638425</v>
      </c>
      <c r="U253" s="595">
        <f t="shared" ref="U253:U260" si="6">T253/$T$262</f>
        <v>0.99661719159777207</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11</v>
      </c>
      <c r="S254" s="593">
        <f t="shared" si="5"/>
        <v>2.2412387938060309E-3</v>
      </c>
      <c r="T254" s="563">
        <v>969</v>
      </c>
      <c r="U254" s="593">
        <f t="shared" si="6"/>
        <v>1.5126632864600246E-3</v>
      </c>
      <c r="V254" s="582"/>
      <c r="W254" s="583"/>
      <c r="X254" s="512"/>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5</v>
      </c>
      <c r="S255" s="593">
        <f t="shared" si="5"/>
        <v>1.0187449062754685E-3</v>
      </c>
      <c r="T255" s="563">
        <v>939</v>
      </c>
      <c r="U255" s="593">
        <f t="shared" si="6"/>
        <v>1.4658316057646677E-3</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0</v>
      </c>
      <c r="S256" s="593">
        <f t="shared" si="5"/>
        <v>0</v>
      </c>
      <c r="T256" s="563">
        <v>0</v>
      </c>
      <c r="U256" s="593">
        <f t="shared" si="6"/>
        <v>0</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0</v>
      </c>
      <c r="S257" s="593">
        <f t="shared" si="5"/>
        <v>0</v>
      </c>
      <c r="T257" s="563">
        <v>0</v>
      </c>
      <c r="U257" s="593">
        <f t="shared" si="6"/>
        <v>0</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0</v>
      </c>
      <c r="S258" s="593">
        <f t="shared" si="5"/>
        <v>0</v>
      </c>
      <c r="T258" s="563">
        <v>0</v>
      </c>
      <c r="U258" s="593">
        <f t="shared" si="6"/>
        <v>0</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1</v>
      </c>
      <c r="S259" s="593">
        <f t="shared" si="5"/>
        <v>2.0374898125509371E-4</v>
      </c>
      <c r="T259" s="563">
        <v>259</v>
      </c>
      <c r="U259" s="593">
        <f t="shared" si="6"/>
        <v>4.0431351000324699E-4</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0</v>
      </c>
      <c r="S260" s="593">
        <f t="shared" si="5"/>
        <v>0</v>
      </c>
      <c r="T260" s="563">
        <v>0</v>
      </c>
      <c r="U260" s="593">
        <f t="shared" si="6"/>
        <v>0</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4908</v>
      </c>
      <c r="S262" s="593">
        <f>SUM(S253:S261)</f>
        <v>1</v>
      </c>
      <c r="T262" s="563">
        <f>SUM(T253:T261)</f>
        <v>640592</v>
      </c>
      <c r="U262" s="593">
        <f>SUM(U253:U261)</f>
        <v>1</v>
      </c>
      <c r="V262" s="522"/>
      <c r="W262" s="524"/>
      <c r="X262" s="512"/>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70</v>
      </c>
      <c r="S265" s="595">
        <f t="shared" ref="S265:S272" si="7">R265/$R$274</f>
        <v>0.93333333333333335</v>
      </c>
      <c r="T265" s="596">
        <v>11738</v>
      </c>
      <c r="U265" s="595">
        <f t="shared" ref="U265:U272" si="8">T265/$T$274</f>
        <v>0.91703124999999996</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0</v>
      </c>
      <c r="S267" s="593">
        <f t="shared" si="7"/>
        <v>0</v>
      </c>
      <c r="T267" s="563">
        <v>0</v>
      </c>
      <c r="U267" s="593">
        <f t="shared" si="8"/>
        <v>0</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1</v>
      </c>
      <c r="S268" s="593">
        <f t="shared" si="7"/>
        <v>1.3333333333333334E-2</v>
      </c>
      <c r="T268" s="563">
        <v>480</v>
      </c>
      <c r="U268" s="593">
        <f t="shared" si="8"/>
        <v>3.7499999999999999E-2</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1</v>
      </c>
      <c r="S269" s="593">
        <f t="shared" si="7"/>
        <v>1.3333333333333334E-2</v>
      </c>
      <c r="T269" s="563">
        <v>175</v>
      </c>
      <c r="U269" s="593">
        <f t="shared" si="8"/>
        <v>1.3671875E-2</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0</v>
      </c>
      <c r="S270" s="593">
        <f t="shared" si="7"/>
        <v>0</v>
      </c>
      <c r="T270" s="563">
        <v>0</v>
      </c>
      <c r="U270" s="593">
        <f t="shared" si="8"/>
        <v>0</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3</v>
      </c>
      <c r="S271" s="593">
        <f t="shared" si="7"/>
        <v>0.04</v>
      </c>
      <c r="T271" s="563">
        <v>407</v>
      </c>
      <c r="U271" s="593">
        <f t="shared" si="8"/>
        <v>3.1796875000000002E-2</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0</v>
      </c>
      <c r="S272" s="593">
        <f t="shared" si="7"/>
        <v>0</v>
      </c>
      <c r="T272" s="563">
        <v>0</v>
      </c>
      <c r="U272" s="593">
        <f t="shared" si="8"/>
        <v>0</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75</v>
      </c>
      <c r="S274" s="593">
        <f>SUM(S265:S273)</f>
        <v>1</v>
      </c>
      <c r="T274" s="563">
        <f>SUM(T265:T273)</f>
        <v>12800</v>
      </c>
      <c r="U274" s="593">
        <f>SUM(U265:U273)</f>
        <v>1</v>
      </c>
      <c r="V274" s="522"/>
      <c r="W274" s="524"/>
      <c r="X274" s="512"/>
    </row>
    <row r="275" spans="1:24" x14ac:dyDescent="0.3">
      <c r="A275" s="407"/>
      <c r="B275" s="429"/>
      <c r="C275" s="429"/>
      <c r="D275" s="429"/>
      <c r="E275" s="429"/>
      <c r="F275" s="429"/>
      <c r="G275" s="429"/>
      <c r="H275" s="488"/>
      <c r="I275" s="488"/>
      <c r="J275" s="488"/>
      <c r="K275" s="488"/>
      <c r="L275" s="488"/>
      <c r="M275" s="488"/>
      <c r="N275" s="488"/>
      <c r="O275" s="488"/>
      <c r="P275" s="488"/>
      <c r="Q275" s="488"/>
      <c r="R275" s="435"/>
      <c r="S275" s="489"/>
      <c r="T275" s="490"/>
      <c r="U275" s="489"/>
      <c r="V275" s="429"/>
      <c r="W275" s="429"/>
      <c r="X275" s="405"/>
    </row>
    <row r="276" spans="1:24" x14ac:dyDescent="0.3">
      <c r="A276" s="418"/>
      <c r="B276" s="464" t="s">
        <v>169</v>
      </c>
      <c r="C276" s="467"/>
      <c r="D276" s="467"/>
      <c r="E276" s="467"/>
      <c r="F276" s="467"/>
      <c r="G276" s="467"/>
      <c r="H276" s="491"/>
      <c r="I276" s="491"/>
      <c r="J276" s="491"/>
      <c r="K276" s="491"/>
      <c r="L276" s="491"/>
      <c r="M276" s="491"/>
      <c r="N276" s="491"/>
      <c r="O276" s="491"/>
      <c r="P276" s="491"/>
      <c r="Q276" s="491"/>
      <c r="R276" s="466" t="s">
        <v>104</v>
      </c>
      <c r="S276" s="465" t="s">
        <v>105</v>
      </c>
      <c r="T276" s="466" t="s">
        <v>113</v>
      </c>
      <c r="U276" s="465" t="s">
        <v>105</v>
      </c>
      <c r="V276" s="467"/>
      <c r="W276" s="468"/>
      <c r="X276" s="405"/>
    </row>
    <row r="277" spans="1:24" s="513" customFormat="1" x14ac:dyDescent="0.3">
      <c r="A277" s="509"/>
      <c r="B277" s="567" t="s">
        <v>90</v>
      </c>
      <c r="C277" s="552"/>
      <c r="D277" s="552"/>
      <c r="E277" s="552"/>
      <c r="F277" s="552"/>
      <c r="G277" s="552"/>
      <c r="H277" s="597"/>
      <c r="I277" s="597"/>
      <c r="J277" s="597"/>
      <c r="K277" s="597"/>
      <c r="L277" s="597"/>
      <c r="M277" s="597"/>
      <c r="N277" s="597"/>
      <c r="O277" s="597"/>
      <c r="P277" s="597"/>
      <c r="Q277" s="597"/>
      <c r="R277" s="567">
        <v>0</v>
      </c>
      <c r="S277" s="595">
        <v>0</v>
      </c>
      <c r="T277" s="596">
        <v>0</v>
      </c>
      <c r="U277" s="595">
        <v>0</v>
      </c>
      <c r="V277" s="552"/>
      <c r="W277" s="552"/>
      <c r="X277" s="512"/>
    </row>
    <row r="278" spans="1:24" s="513" customFormat="1" x14ac:dyDescent="0.3">
      <c r="A278" s="521"/>
      <c r="B278" s="562" t="s">
        <v>91</v>
      </c>
      <c r="C278" s="522"/>
      <c r="D278" s="522"/>
      <c r="E278" s="522"/>
      <c r="F278" s="522"/>
      <c r="G278" s="522"/>
      <c r="H278" s="594"/>
      <c r="I278" s="594"/>
      <c r="J278" s="594"/>
      <c r="K278" s="594"/>
      <c r="L278" s="594"/>
      <c r="M278" s="594"/>
      <c r="N278" s="594"/>
      <c r="O278" s="594"/>
      <c r="P278" s="594"/>
      <c r="Q278" s="594"/>
      <c r="R278" s="562">
        <v>0</v>
      </c>
      <c r="S278" s="593">
        <v>0</v>
      </c>
      <c r="T278" s="563">
        <v>0</v>
      </c>
      <c r="U278" s="593">
        <v>0</v>
      </c>
      <c r="V278" s="522"/>
      <c r="W278" s="524"/>
      <c r="X278" s="512"/>
    </row>
    <row r="279" spans="1:24" s="513" customFormat="1" x14ac:dyDescent="0.3">
      <c r="A279" s="521"/>
      <c r="B279" s="562" t="s">
        <v>92</v>
      </c>
      <c r="C279" s="522"/>
      <c r="D279" s="522"/>
      <c r="E279" s="522"/>
      <c r="F279" s="522"/>
      <c r="G279" s="522"/>
      <c r="H279" s="594"/>
      <c r="I279" s="594"/>
      <c r="J279" s="594"/>
      <c r="K279" s="594"/>
      <c r="L279" s="594"/>
      <c r="M279" s="594"/>
      <c r="N279" s="594"/>
      <c r="O279" s="594"/>
      <c r="P279" s="594"/>
      <c r="Q279" s="594"/>
      <c r="R279" s="562">
        <v>0</v>
      </c>
      <c r="S279" s="593">
        <v>0</v>
      </c>
      <c r="T279" s="563">
        <v>0</v>
      </c>
      <c r="U279" s="593">
        <v>0</v>
      </c>
      <c r="V279" s="522"/>
      <c r="W279" s="524"/>
      <c r="X279" s="512"/>
    </row>
    <row r="280" spans="1:24" s="513" customFormat="1" x14ac:dyDescent="0.3">
      <c r="A280" s="521"/>
      <c r="B280" s="562" t="s">
        <v>161</v>
      </c>
      <c r="C280" s="522"/>
      <c r="D280" s="522"/>
      <c r="E280" s="522"/>
      <c r="F280" s="522"/>
      <c r="G280" s="522"/>
      <c r="H280" s="594"/>
      <c r="I280" s="594"/>
      <c r="J280" s="594"/>
      <c r="K280" s="594"/>
      <c r="L280" s="594"/>
      <c r="M280" s="594"/>
      <c r="N280" s="594"/>
      <c r="O280" s="594"/>
      <c r="P280" s="594"/>
      <c r="Q280" s="594"/>
      <c r="R280" s="562">
        <v>0</v>
      </c>
      <c r="S280" s="593">
        <v>0</v>
      </c>
      <c r="T280" s="563">
        <v>0</v>
      </c>
      <c r="U280" s="593">
        <v>0</v>
      </c>
      <c r="V280" s="522"/>
      <c r="W280" s="524"/>
      <c r="X280" s="512"/>
    </row>
    <row r="281" spans="1:24" s="513" customFormat="1" x14ac:dyDescent="0.3">
      <c r="A281" s="521"/>
      <c r="B281" s="562" t="s">
        <v>162</v>
      </c>
      <c r="C281" s="522"/>
      <c r="D281" s="522"/>
      <c r="E281" s="522"/>
      <c r="F281" s="522"/>
      <c r="G281" s="522"/>
      <c r="H281" s="594"/>
      <c r="I281" s="594"/>
      <c r="J281" s="594"/>
      <c r="K281" s="594"/>
      <c r="L281" s="594"/>
      <c r="M281" s="594"/>
      <c r="N281" s="594"/>
      <c r="O281" s="594"/>
      <c r="P281" s="594"/>
      <c r="Q281" s="594"/>
      <c r="R281" s="562">
        <v>0</v>
      </c>
      <c r="S281" s="593">
        <v>0</v>
      </c>
      <c r="T281" s="563">
        <v>0</v>
      </c>
      <c r="U281" s="593">
        <v>0</v>
      </c>
      <c r="V281" s="522"/>
      <c r="W281" s="524"/>
      <c r="X281" s="512"/>
    </row>
    <row r="282" spans="1:24" s="513" customFormat="1" x14ac:dyDescent="0.3">
      <c r="A282" s="521"/>
      <c r="B282" s="562" t="s">
        <v>163</v>
      </c>
      <c r="C282" s="522"/>
      <c r="D282" s="522"/>
      <c r="E282" s="522"/>
      <c r="F282" s="522"/>
      <c r="G282" s="522"/>
      <c r="H282" s="594"/>
      <c r="I282" s="594"/>
      <c r="J282" s="594"/>
      <c r="K282" s="594"/>
      <c r="L282" s="594"/>
      <c r="M282" s="594"/>
      <c r="N282" s="594"/>
      <c r="O282" s="594"/>
      <c r="P282" s="594"/>
      <c r="Q282" s="594"/>
      <c r="R282" s="562">
        <v>0</v>
      </c>
      <c r="S282" s="593">
        <v>0</v>
      </c>
      <c r="T282" s="563">
        <v>0</v>
      </c>
      <c r="U282" s="593">
        <v>0</v>
      </c>
      <c r="V282" s="522"/>
      <c r="W282" s="524"/>
      <c r="X282" s="512"/>
    </row>
    <row r="283" spans="1:24" s="513" customFormat="1" x14ac:dyDescent="0.3">
      <c r="A283" s="521"/>
      <c r="B283" s="562" t="s">
        <v>164</v>
      </c>
      <c r="C283" s="522"/>
      <c r="D283" s="522"/>
      <c r="E283" s="522"/>
      <c r="F283" s="522"/>
      <c r="G283" s="522"/>
      <c r="H283" s="594"/>
      <c r="I283" s="594"/>
      <c r="J283" s="594"/>
      <c r="K283" s="594"/>
      <c r="L283" s="594"/>
      <c r="M283" s="594"/>
      <c r="N283" s="594"/>
      <c r="O283" s="594"/>
      <c r="P283" s="594"/>
      <c r="Q283" s="594"/>
      <c r="R283" s="562">
        <v>0</v>
      </c>
      <c r="S283" s="593">
        <v>0</v>
      </c>
      <c r="T283" s="563">
        <v>0</v>
      </c>
      <c r="U283" s="593">
        <v>0</v>
      </c>
      <c r="V283" s="522"/>
      <c r="W283" s="524"/>
      <c r="X283" s="512"/>
    </row>
    <row r="284" spans="1:24" s="513" customFormat="1" x14ac:dyDescent="0.3">
      <c r="A284" s="521"/>
      <c r="B284" s="562" t="s">
        <v>165</v>
      </c>
      <c r="C284" s="522"/>
      <c r="D284" s="522"/>
      <c r="E284" s="522"/>
      <c r="F284" s="522"/>
      <c r="G284" s="522"/>
      <c r="H284" s="594"/>
      <c r="I284" s="594"/>
      <c r="J284" s="594"/>
      <c r="K284" s="594"/>
      <c r="L284" s="594"/>
      <c r="M284" s="594"/>
      <c r="N284" s="594"/>
      <c r="O284" s="594"/>
      <c r="P284" s="594"/>
      <c r="Q284" s="594"/>
      <c r="R284" s="562">
        <v>0</v>
      </c>
      <c r="S284" s="593">
        <v>0</v>
      </c>
      <c r="T284" s="563">
        <v>0</v>
      </c>
      <c r="U284" s="593">
        <v>0</v>
      </c>
      <c r="V284" s="522"/>
      <c r="W284" s="524"/>
      <c r="X284" s="512"/>
    </row>
    <row r="285" spans="1:24" s="513" customFormat="1" x14ac:dyDescent="0.3">
      <c r="A285" s="521"/>
      <c r="B285" s="562"/>
      <c r="C285" s="522"/>
      <c r="D285" s="522"/>
      <c r="E285" s="522"/>
      <c r="F285" s="522"/>
      <c r="G285" s="522"/>
      <c r="H285" s="594"/>
      <c r="I285" s="594"/>
      <c r="J285" s="594"/>
      <c r="K285" s="594"/>
      <c r="L285" s="594"/>
      <c r="M285" s="594"/>
      <c r="N285" s="594"/>
      <c r="O285" s="594"/>
      <c r="P285" s="594"/>
      <c r="Q285" s="594"/>
      <c r="R285" s="562"/>
      <c r="S285" s="593"/>
      <c r="T285" s="563"/>
      <c r="U285" s="593"/>
      <c r="V285" s="522"/>
      <c r="W285" s="524"/>
      <c r="X285" s="512"/>
    </row>
    <row r="286" spans="1:24" s="513" customFormat="1" x14ac:dyDescent="0.3">
      <c r="A286" s="521"/>
      <c r="B286" s="522" t="s">
        <v>119</v>
      </c>
      <c r="C286" s="522"/>
      <c r="D286" s="522"/>
      <c r="E286" s="522"/>
      <c r="F286" s="522"/>
      <c r="G286" s="522"/>
      <c r="H286" s="594"/>
      <c r="I286" s="594"/>
      <c r="J286" s="594"/>
      <c r="K286" s="594"/>
      <c r="L286" s="594"/>
      <c r="M286" s="594"/>
      <c r="N286" s="594"/>
      <c r="O286" s="594"/>
      <c r="P286" s="594"/>
      <c r="Q286" s="594"/>
      <c r="R286" s="562">
        <f>SUM(R277:R284)</f>
        <v>0</v>
      </c>
      <c r="S286" s="593">
        <f>SUM(S277:S285)</f>
        <v>0</v>
      </c>
      <c r="T286" s="563">
        <f>SUM(T277:T284)</f>
        <v>0</v>
      </c>
      <c r="U286" s="593">
        <f>SUM(U277:U285)</f>
        <v>0</v>
      </c>
      <c r="V286" s="522"/>
      <c r="W286" s="524"/>
      <c r="X286" s="512"/>
    </row>
    <row r="287" spans="1:24" s="513" customFormat="1" x14ac:dyDescent="0.3">
      <c r="A287" s="521"/>
      <c r="B287" s="522"/>
      <c r="C287" s="522"/>
      <c r="D287" s="522"/>
      <c r="E287" s="522"/>
      <c r="F287" s="522"/>
      <c r="G287" s="522"/>
      <c r="H287" s="594"/>
      <c r="I287" s="594"/>
      <c r="J287" s="594"/>
      <c r="K287" s="594"/>
      <c r="L287" s="594"/>
      <c r="M287" s="594"/>
      <c r="N287" s="594"/>
      <c r="O287" s="594"/>
      <c r="P287" s="594"/>
      <c r="Q287" s="594"/>
      <c r="R287" s="562"/>
      <c r="S287" s="593"/>
      <c r="T287" s="563"/>
      <c r="U287" s="593"/>
      <c r="V287" s="522"/>
      <c r="W287" s="524"/>
      <c r="X287" s="512"/>
    </row>
    <row r="288" spans="1:24" s="513" customFormat="1" x14ac:dyDescent="0.3">
      <c r="A288" s="521"/>
      <c r="B288" s="527" t="s">
        <v>170</v>
      </c>
      <c r="C288" s="522"/>
      <c r="D288" s="522"/>
      <c r="E288" s="522"/>
      <c r="F288" s="522"/>
      <c r="G288" s="522"/>
      <c r="H288" s="594"/>
      <c r="I288" s="594"/>
      <c r="J288" s="594"/>
      <c r="K288" s="594"/>
      <c r="L288" s="594"/>
      <c r="M288" s="594"/>
      <c r="N288" s="594"/>
      <c r="O288" s="594"/>
      <c r="P288" s="594"/>
      <c r="Q288" s="594"/>
      <c r="R288" s="598">
        <f>R286+R274+R262</f>
        <v>4983</v>
      </c>
      <c r="S288" s="593"/>
      <c r="T288" s="599">
        <f>+T286+T274+T262</f>
        <v>653392</v>
      </c>
      <c r="U288" s="593"/>
      <c r="V288" s="522"/>
      <c r="W288" s="524"/>
      <c r="X288" s="512"/>
    </row>
    <row r="289" spans="1:24" s="513" customFormat="1" x14ac:dyDescent="0.3">
      <c r="A289" s="509"/>
      <c r="B289" s="552"/>
      <c r="C289" s="552"/>
      <c r="D289" s="552"/>
      <c r="E289" s="552"/>
      <c r="F289" s="552"/>
      <c r="G289" s="552"/>
      <c r="H289" s="597"/>
      <c r="I289" s="597"/>
      <c r="J289" s="597"/>
      <c r="K289" s="597"/>
      <c r="L289" s="597"/>
      <c r="M289" s="597"/>
      <c r="N289" s="597"/>
      <c r="O289" s="597"/>
      <c r="P289" s="597"/>
      <c r="Q289" s="597"/>
      <c r="R289" s="597"/>
      <c r="S289" s="597"/>
      <c r="T289" s="596"/>
      <c r="U289" s="597"/>
      <c r="V289" s="552"/>
      <c r="W289" s="552"/>
      <c r="X289" s="512"/>
    </row>
    <row r="290" spans="1:24" s="513" customFormat="1" x14ac:dyDescent="0.3">
      <c r="A290" s="509"/>
      <c r="B290" s="510"/>
      <c r="C290" s="510"/>
      <c r="D290" s="510"/>
      <c r="E290" s="510"/>
      <c r="F290" s="510"/>
      <c r="G290" s="510"/>
      <c r="H290" s="600"/>
      <c r="I290" s="600"/>
      <c r="J290" s="600"/>
      <c r="K290" s="600"/>
      <c r="L290" s="600"/>
      <c r="M290" s="600"/>
      <c r="N290" s="600"/>
      <c r="O290" s="600"/>
      <c r="P290" s="600"/>
      <c r="Q290" s="600"/>
      <c r="R290" s="600"/>
      <c r="S290" s="600"/>
      <c r="T290" s="601"/>
      <c r="U290" s="600"/>
      <c r="V290" s="510"/>
      <c r="W290" s="510"/>
      <c r="X290" s="512"/>
    </row>
    <row r="291" spans="1:24" s="513" customFormat="1" x14ac:dyDescent="0.3">
      <c r="A291" s="509"/>
      <c r="B291" s="508" t="s">
        <v>93</v>
      </c>
      <c r="C291" s="510"/>
      <c r="D291" s="510"/>
      <c r="E291" s="510"/>
      <c r="F291" s="516" t="s">
        <v>99</v>
      </c>
      <c r="G291" s="510"/>
      <c r="H291" s="508" t="s">
        <v>101</v>
      </c>
      <c r="I291" s="510"/>
      <c r="J291" s="510"/>
      <c r="K291" s="510"/>
      <c r="L291" s="510"/>
      <c r="M291" s="510"/>
      <c r="N291" s="510"/>
      <c r="O291" s="510"/>
      <c r="P291" s="510"/>
      <c r="Q291" s="510"/>
      <c r="R291" s="510"/>
      <c r="S291" s="510"/>
      <c r="T291" s="510"/>
      <c r="U291" s="510"/>
      <c r="V291" s="510"/>
      <c r="W291" s="510"/>
      <c r="X291" s="512"/>
    </row>
    <row r="292" spans="1:24" s="513" customFormat="1" x14ac:dyDescent="0.3">
      <c r="A292" s="509"/>
      <c r="B292" s="508" t="s">
        <v>327</v>
      </c>
      <c r="C292" s="508"/>
      <c r="D292" s="508"/>
      <c r="E292" s="508"/>
      <c r="F292" s="602" t="s">
        <v>278</v>
      </c>
      <c r="G292" s="508"/>
      <c r="H292" s="402" t="s">
        <v>350</v>
      </c>
      <c r="I292" s="510"/>
      <c r="J292" s="510"/>
      <c r="K292" s="510"/>
      <c r="L292" s="510"/>
      <c r="M292" s="510"/>
      <c r="N292" s="510"/>
      <c r="O292" s="510"/>
      <c r="P292" s="510"/>
      <c r="Q292" s="510"/>
      <c r="R292" s="510"/>
      <c r="S292" s="510"/>
      <c r="T292" s="510"/>
      <c r="U292" s="510"/>
      <c r="V292" s="510"/>
      <c r="W292" s="510"/>
      <c r="X292" s="512"/>
    </row>
    <row r="293" spans="1:24" s="513" customFormat="1" x14ac:dyDescent="0.3">
      <c r="A293" s="509"/>
      <c r="B293" s="508" t="s">
        <v>328</v>
      </c>
      <c r="C293" s="508"/>
      <c r="D293" s="508"/>
      <c r="E293" s="508"/>
      <c r="F293" s="602" t="s">
        <v>152</v>
      </c>
      <c r="G293" s="508"/>
      <c r="H293" s="402" t="s">
        <v>351</v>
      </c>
      <c r="I293" s="510"/>
      <c r="J293" s="510"/>
      <c r="K293" s="510"/>
      <c r="L293" s="510"/>
      <c r="M293" s="510"/>
      <c r="N293" s="510"/>
      <c r="O293" s="510"/>
      <c r="P293" s="510"/>
      <c r="Q293" s="510"/>
      <c r="R293" s="510"/>
      <c r="S293" s="510"/>
      <c r="T293" s="510"/>
      <c r="U293" s="510"/>
      <c r="V293" s="510"/>
      <c r="W293" s="510"/>
      <c r="X293" s="512"/>
    </row>
    <row r="294" spans="1:24" s="513" customFormat="1" x14ac:dyDescent="0.3">
      <c r="A294" s="509"/>
      <c r="B294" s="508"/>
      <c r="C294" s="508"/>
      <c r="D294" s="508"/>
      <c r="E294" s="508"/>
      <c r="F294" s="508"/>
      <c r="G294" s="508"/>
      <c r="H294" s="510"/>
      <c r="I294" s="510"/>
      <c r="J294" s="510"/>
      <c r="K294" s="510"/>
      <c r="L294" s="510"/>
      <c r="M294" s="510"/>
      <c r="N294" s="510"/>
      <c r="O294" s="510"/>
      <c r="P294" s="510"/>
      <c r="Q294" s="510"/>
      <c r="R294" s="510"/>
      <c r="S294" s="510"/>
      <c r="T294" s="510"/>
      <c r="U294" s="510"/>
      <c r="V294" s="510"/>
      <c r="W294" s="510"/>
      <c r="X294" s="512"/>
    </row>
    <row r="295" spans="1:24" s="513" customFormat="1" ht="18.600000000000001" thickBot="1" x14ac:dyDescent="0.4">
      <c r="A295" s="509"/>
      <c r="B295" s="603" t="str">
        <f>B202</f>
        <v>PM12 INVESTOR REPORT QUARTER ENDING JANUARY 2020</v>
      </c>
      <c r="C295" s="508"/>
      <c r="D295" s="508"/>
      <c r="E295" s="508"/>
      <c r="F295" s="508"/>
      <c r="G295" s="508"/>
      <c r="H295" s="510"/>
      <c r="I295" s="510"/>
      <c r="J295" s="510"/>
      <c r="K295" s="510"/>
      <c r="L295" s="510"/>
      <c r="M295" s="510"/>
      <c r="N295" s="510"/>
      <c r="O295" s="510"/>
      <c r="P295" s="510"/>
      <c r="Q295" s="510"/>
      <c r="R295" s="510"/>
      <c r="S295" s="510"/>
      <c r="T295" s="510"/>
      <c r="U295" s="510"/>
      <c r="V295" s="510"/>
      <c r="W295" s="510"/>
      <c r="X295" s="512"/>
    </row>
    <row r="296" spans="1:24" x14ac:dyDescent="0.3">
      <c r="A296" s="492"/>
      <c r="B296" s="492"/>
      <c r="C296" s="492"/>
      <c r="D296" s="492"/>
      <c r="E296" s="492"/>
      <c r="F296" s="492"/>
      <c r="G296" s="492"/>
      <c r="H296" s="492"/>
      <c r="I296" s="492"/>
      <c r="J296" s="492"/>
      <c r="K296" s="492"/>
      <c r="L296" s="492"/>
      <c r="M296" s="492"/>
      <c r="N296" s="492"/>
      <c r="O296" s="492"/>
      <c r="P296" s="492"/>
      <c r="Q296" s="492"/>
      <c r="R296" s="492"/>
      <c r="S296" s="492"/>
      <c r="T296" s="492"/>
      <c r="U296" s="492"/>
      <c r="V296" s="492"/>
      <c r="W296" s="492"/>
    </row>
    <row r="297" spans="1:24" x14ac:dyDescent="0.3">
      <c r="B297" s="406" t="s">
        <v>384</v>
      </c>
    </row>
    <row r="298" spans="1:24" x14ac:dyDescent="0.3">
      <c r="B298" s="623" t="s">
        <v>378</v>
      </c>
    </row>
  </sheetData>
  <hyperlinks>
    <hyperlink ref="I9" r:id="rId1" xr:uid="{88907D22-F581-46C1-8A53-E17610DCEBCB}"/>
    <hyperlink ref="P238" r:id="rId2" xr:uid="{CE874D48-CBF8-4B32-9A31-3A118B98FB47}"/>
    <hyperlink ref="B298" r:id="rId3" xr:uid="{9A18CC02-3101-4653-8743-22B44D91BC09}"/>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4" max="23" man="1"/>
    <brk id="141" max="14" man="1"/>
    <brk id="202" max="14" man="1"/>
  </rowBreaks>
  <drawing r:id="rId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8E6BD-8C57-4609-81ED-EA053A85B19D}">
  <sheetPr>
    <tabColor rgb="FF89CB31"/>
  </sheetPr>
  <dimension ref="A1:AA339"/>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0.67589999999999995</v>
      </c>
      <c r="T16" s="516" t="s">
        <v>145</v>
      </c>
      <c r="U16" s="515">
        <v>0.3241</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43977</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299930.39951159997</v>
      </c>
      <c r="E32" s="529"/>
      <c r="F32" s="530">
        <f>F31*F38</f>
        <v>53347.993999999999</v>
      </c>
      <c r="G32" s="530"/>
      <c r="H32" s="534">
        <f>H31*H38</f>
        <v>90139.714000000007</v>
      </c>
      <c r="I32" s="534"/>
      <c r="J32" s="533">
        <f>J31*J38</f>
        <v>114421.5028</v>
      </c>
      <c r="K32" s="530"/>
      <c r="L32" s="530">
        <f>L31*L38</f>
        <v>21752.850000000002</v>
      </c>
      <c r="M32" s="530"/>
      <c r="N32" s="534">
        <f>N31*N38</f>
        <v>109634.364</v>
      </c>
      <c r="O32" s="530"/>
      <c r="P32" s="530">
        <f>P31*P38</f>
        <v>14791.938</v>
      </c>
      <c r="Q32" s="530"/>
      <c r="R32" s="534">
        <f>R31*R38</f>
        <v>92232.084000000003</v>
      </c>
      <c r="S32" s="530"/>
      <c r="T32" s="530"/>
      <c r="U32" s="529"/>
      <c r="V32" s="530"/>
      <c r="W32" s="531"/>
      <c r="X32" s="512"/>
    </row>
    <row r="33" spans="1:25" s="513" customFormat="1" x14ac:dyDescent="0.3">
      <c r="A33" s="521"/>
      <c r="B33" s="527" t="s">
        <v>139</v>
      </c>
      <c r="C33" s="529"/>
      <c r="D33" s="619">
        <f>D34*D37</f>
        <v>294980.40188760002</v>
      </c>
      <c r="E33" s="532"/>
      <c r="F33" s="535">
        <f>F37*F31</f>
        <v>52467.553999999996</v>
      </c>
      <c r="G33" s="535"/>
      <c r="H33" s="537">
        <f>H31*H37</f>
        <v>88652.073999999993</v>
      </c>
      <c r="I33" s="537"/>
      <c r="J33" s="536">
        <f>J37*J31</f>
        <v>112533.11080000001</v>
      </c>
      <c r="K33" s="535"/>
      <c r="L33" s="535">
        <f>L37*L31</f>
        <v>21393.845000000001</v>
      </c>
      <c r="M33" s="535"/>
      <c r="N33" s="537">
        <f>N37*N31</f>
        <v>107824.9788</v>
      </c>
      <c r="O33" s="535"/>
      <c r="P33" s="535">
        <f>P37*P31</f>
        <v>14547.8146</v>
      </c>
      <c r="Q33" s="535"/>
      <c r="R33" s="537">
        <f>R37*R31</f>
        <v>90709.902799999996</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299930.39951159997</v>
      </c>
      <c r="E35" s="529"/>
      <c r="F35" s="530">
        <f>F34*F38</f>
        <v>53347.993999999999</v>
      </c>
      <c r="G35" s="530"/>
      <c r="H35" s="530">
        <f>H34*H38</f>
        <v>62165.497615200002</v>
      </c>
      <c r="I35" s="530"/>
      <c r="J35" s="530">
        <f>J34*J38</f>
        <v>62185.695325599998</v>
      </c>
      <c r="K35" s="530"/>
      <c r="L35" s="530">
        <f>L34*L38</f>
        <v>21752.850000000002</v>
      </c>
      <c r="M35" s="530"/>
      <c r="N35" s="530">
        <f>N34*N38</f>
        <v>75610.296258000002</v>
      </c>
      <c r="O35" s="530"/>
      <c r="P35" s="530">
        <f>P34*P38</f>
        <v>14791.938</v>
      </c>
      <c r="Q35" s="530"/>
      <c r="R35" s="530">
        <f>R34*R38</f>
        <v>63607.943742000003</v>
      </c>
      <c r="S35" s="530"/>
      <c r="T35" s="530"/>
      <c r="U35" s="529"/>
      <c r="V35" s="530">
        <f>SUM(C35:R35)-1</f>
        <v>653391.6144523999</v>
      </c>
      <c r="W35" s="531"/>
      <c r="X35" s="512"/>
    </row>
    <row r="36" spans="1:25" s="513" customFormat="1" x14ac:dyDescent="0.3">
      <c r="A36" s="525"/>
      <c r="B36" s="527" t="s">
        <v>295</v>
      </c>
      <c r="C36" s="532"/>
      <c r="D36" s="535">
        <f>D34*D37</f>
        <v>294980.40188760002</v>
      </c>
      <c r="E36" s="532"/>
      <c r="F36" s="535">
        <f>F34*F37</f>
        <v>52467.553999999996</v>
      </c>
      <c r="G36" s="535"/>
      <c r="H36" s="535">
        <f>H34*H37</f>
        <v>61139.536063199994</v>
      </c>
      <c r="I36" s="535"/>
      <c r="J36" s="535">
        <f>J34*J37</f>
        <v>61159.393741600004</v>
      </c>
      <c r="K36" s="535"/>
      <c r="L36" s="535">
        <f>L34*L37</f>
        <v>21393.845000000001</v>
      </c>
      <c r="M36" s="535"/>
      <c r="N36" s="535">
        <f>N34*N37</f>
        <v>74362.4379586</v>
      </c>
      <c r="O36" s="535"/>
      <c r="P36" s="535">
        <f>P34*P37</f>
        <v>14547.8146</v>
      </c>
      <c r="Q36" s="535"/>
      <c r="R36" s="535">
        <f>R34*R37</f>
        <v>62558.170041400001</v>
      </c>
      <c r="S36" s="538"/>
      <c r="T36" s="538"/>
      <c r="U36" s="529"/>
      <c r="V36" s="535">
        <f>SUM(C36:R36)</f>
        <v>642609.15329240006</v>
      </c>
      <c r="W36" s="531"/>
      <c r="X36" s="512"/>
      <c r="Y36" s="621"/>
    </row>
    <row r="37" spans="1:25" x14ac:dyDescent="0.3">
      <c r="A37" s="420"/>
      <c r="B37" s="493" t="s">
        <v>135</v>
      </c>
      <c r="C37" s="494"/>
      <c r="D37" s="495">
        <v>0.36184280000000002</v>
      </c>
      <c r="E37" s="496"/>
      <c r="F37" s="495">
        <v>0.36184519999999998</v>
      </c>
      <c r="G37" s="495"/>
      <c r="H37" s="495">
        <v>0.36184519999999998</v>
      </c>
      <c r="I37" s="495"/>
      <c r="J37" s="495">
        <v>0.36184280000000002</v>
      </c>
      <c r="K37" s="495"/>
      <c r="L37" s="495">
        <v>0.85575380000000001</v>
      </c>
      <c r="M37" s="495"/>
      <c r="N37" s="495">
        <v>0.85575380000000001</v>
      </c>
      <c r="O37" s="495"/>
      <c r="P37" s="495">
        <v>0.85575380000000001</v>
      </c>
      <c r="Q37" s="495"/>
      <c r="R37" s="495">
        <v>0.85575380000000001</v>
      </c>
      <c r="S37" s="425"/>
      <c r="T37" s="425"/>
      <c r="U37" s="424"/>
      <c r="V37" s="424"/>
      <c r="W37" s="426"/>
      <c r="X37" s="405"/>
    </row>
    <row r="38" spans="1:25" x14ac:dyDescent="0.3">
      <c r="A38" s="420"/>
      <c r="B38" s="493" t="s">
        <v>136</v>
      </c>
      <c r="C38" s="494"/>
      <c r="D38" s="495">
        <v>0.36791479999999999</v>
      </c>
      <c r="E38" s="496"/>
      <c r="F38" s="495">
        <v>0.3679172</v>
      </c>
      <c r="G38" s="495"/>
      <c r="H38" s="495">
        <v>0.3679172</v>
      </c>
      <c r="I38" s="495"/>
      <c r="J38" s="495">
        <v>0.36791479999999999</v>
      </c>
      <c r="K38" s="495"/>
      <c r="L38" s="495">
        <v>0.87011400000000005</v>
      </c>
      <c r="M38" s="495"/>
      <c r="N38" s="495">
        <v>0.87011400000000005</v>
      </c>
      <c r="O38" s="495"/>
      <c r="P38" s="495">
        <v>0.87011400000000005</v>
      </c>
      <c r="Q38" s="495"/>
      <c r="R38" s="495">
        <v>0.87011400000000005</v>
      </c>
      <c r="S38" s="427"/>
      <c r="T38" s="428"/>
      <c r="U38" s="424"/>
      <c r="V38" s="427"/>
      <c r="W38" s="426"/>
      <c r="X38" s="405"/>
    </row>
    <row r="39" spans="1:25"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5" s="513" customFormat="1" x14ac:dyDescent="0.3">
      <c r="A40" s="521"/>
      <c r="B40" s="522" t="s">
        <v>12</v>
      </c>
      <c r="C40" s="522"/>
      <c r="D40" s="540">
        <v>9.9624999999999991E-3</v>
      </c>
      <c r="E40" s="522"/>
      <c r="F40" s="540">
        <v>9.9624999999999991E-3</v>
      </c>
      <c r="G40" s="539"/>
      <c r="H40" s="540">
        <v>0</v>
      </c>
      <c r="I40" s="540"/>
      <c r="J40" s="540">
        <v>1.9117499999999999E-2</v>
      </c>
      <c r="K40" s="539"/>
      <c r="L40" s="540">
        <v>1.23625E-2</v>
      </c>
      <c r="M40" s="539"/>
      <c r="N40" s="540">
        <v>6.7000000000000002E-4</v>
      </c>
      <c r="O40" s="539"/>
      <c r="P40" s="540">
        <v>1.67625E-2</v>
      </c>
      <c r="Q40" s="539"/>
      <c r="R40" s="540">
        <v>5.0699999999999999E-3</v>
      </c>
      <c r="S40" s="539"/>
      <c r="T40" s="540"/>
      <c r="U40" s="522"/>
      <c r="V40" s="528"/>
      <c r="W40" s="524"/>
      <c r="X40" s="512"/>
    </row>
    <row r="41" spans="1:25" s="513" customFormat="1" x14ac:dyDescent="0.3">
      <c r="A41" s="521"/>
      <c r="B41" s="522" t="s">
        <v>13</v>
      </c>
      <c r="C41" s="522"/>
      <c r="D41" s="540">
        <v>1.0271300000000001E-2</v>
      </c>
      <c r="E41" s="522"/>
      <c r="F41" s="540">
        <v>1.0271300000000001E-2</v>
      </c>
      <c r="G41" s="539"/>
      <c r="H41" s="540">
        <v>0</v>
      </c>
      <c r="I41" s="540"/>
      <c r="J41" s="540">
        <v>2.12988E-2</v>
      </c>
      <c r="K41" s="539"/>
      <c r="L41" s="540">
        <v>1.26713E-2</v>
      </c>
      <c r="M41" s="539"/>
      <c r="N41" s="540">
        <v>7.7999999999999999E-4</v>
      </c>
      <c r="O41" s="539"/>
      <c r="P41" s="540">
        <v>1.7071300000000001E-2</v>
      </c>
      <c r="Q41" s="539"/>
      <c r="R41" s="540">
        <v>5.1799999999999997E-3</v>
      </c>
      <c r="S41" s="539"/>
      <c r="T41" s="540"/>
      <c r="U41" s="522"/>
      <c r="V41" s="539" t="s">
        <v>199</v>
      </c>
      <c r="W41" s="524"/>
      <c r="X41" s="512"/>
    </row>
    <row r="42" spans="1:25" s="513" customFormat="1" x14ac:dyDescent="0.3">
      <c r="A42" s="521"/>
      <c r="B42" s="522" t="s">
        <v>296</v>
      </c>
      <c r="C42" s="522"/>
      <c r="D42" s="528" t="s">
        <v>237</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5" s="513" customFormat="1" x14ac:dyDescent="0.3">
      <c r="A43" s="521"/>
      <c r="B43" s="522" t="s">
        <v>297</v>
      </c>
      <c r="C43" s="541"/>
      <c r="D43" s="540">
        <f>+D40</f>
        <v>9.9624999999999991E-3</v>
      </c>
      <c r="E43" s="540"/>
      <c r="F43" s="540">
        <f>+F40</f>
        <v>9.9624999999999991E-3</v>
      </c>
      <c r="G43" s="540"/>
      <c r="H43" s="540">
        <v>9.8844999999999992E-3</v>
      </c>
      <c r="I43" s="540"/>
      <c r="J43" s="540">
        <v>1.01265E-2</v>
      </c>
      <c r="K43" s="540"/>
      <c r="L43" s="540">
        <f>+L40</f>
        <v>1.23625E-2</v>
      </c>
      <c r="M43" s="540"/>
      <c r="N43" s="540">
        <v>1.2564499999999999E-2</v>
      </c>
      <c r="O43" s="540"/>
      <c r="P43" s="540">
        <f>+P40</f>
        <v>1.67625E-2</v>
      </c>
      <c r="Q43" s="539"/>
      <c r="R43" s="540">
        <v>1.72345E-2</v>
      </c>
      <c r="S43" s="528"/>
      <c r="T43" s="528"/>
      <c r="U43" s="522"/>
      <c r="V43" s="539">
        <f>SUMPRODUCT(D43:R43,D35:R35)/V35</f>
        <v>1.1213581994003926E-2</v>
      </c>
      <c r="W43" s="524"/>
      <c r="X43" s="512"/>
    </row>
    <row r="44" spans="1:25" s="513" customFormat="1" x14ac:dyDescent="0.3">
      <c r="A44" s="521"/>
      <c r="B44" s="522" t="s">
        <v>298</v>
      </c>
      <c r="C44" s="541"/>
      <c r="D44" s="540">
        <f>+D41</f>
        <v>1.0271300000000001E-2</v>
      </c>
      <c r="E44" s="540"/>
      <c r="F44" s="540">
        <f>+F41</f>
        <v>1.0271300000000001E-2</v>
      </c>
      <c r="G44" s="540"/>
      <c r="H44" s="540">
        <v>1.0193300000000001E-2</v>
      </c>
      <c r="I44" s="540"/>
      <c r="J44" s="540">
        <v>1.04353E-2</v>
      </c>
      <c r="K44" s="540"/>
      <c r="L44" s="540">
        <f>+L41</f>
        <v>1.26713E-2</v>
      </c>
      <c r="M44" s="540"/>
      <c r="N44" s="540">
        <v>1.2873300000000001E-2</v>
      </c>
      <c r="O44" s="540"/>
      <c r="P44" s="540">
        <f>+P41</f>
        <v>1.7071300000000001E-2</v>
      </c>
      <c r="Q44" s="539"/>
      <c r="R44" s="540">
        <v>1.7543300000000001E-2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5" s="513" customFormat="1" x14ac:dyDescent="0.3">
      <c r="A48" s="521"/>
      <c r="B48" s="522" t="s">
        <v>299</v>
      </c>
      <c r="C48" s="522"/>
      <c r="D48" s="528" t="s">
        <v>237</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0.36799023658284302</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43966</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95</v>
      </c>
      <c r="S57" s="522"/>
      <c r="T57" s="549">
        <v>43784</v>
      </c>
      <c r="U57" s="550"/>
      <c r="V57" s="549">
        <v>43878</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87</v>
      </c>
      <c r="S58" s="522"/>
      <c r="T58" s="549">
        <v>43879</v>
      </c>
      <c r="U58" s="550"/>
      <c r="V58" s="549">
        <v>43965</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43952</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380</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653392</v>
      </c>
      <c r="O68" s="562"/>
      <c r="P68" s="562">
        <v>10783</v>
      </c>
      <c r="Q68" s="562"/>
      <c r="R68" s="562">
        <v>0</v>
      </c>
      <c r="S68" s="562"/>
      <c r="T68" s="562">
        <v>0</v>
      </c>
      <c r="U68" s="562"/>
      <c r="V68" s="563">
        <f>+N68-P68+R68-T68</f>
        <v>642609</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653392</v>
      </c>
      <c r="O71" s="562"/>
      <c r="P71" s="562">
        <f>SUM(P68:P70)</f>
        <v>10783</v>
      </c>
      <c r="Q71" s="562"/>
      <c r="R71" s="562">
        <f>SUM(R68:R70)</f>
        <v>0</v>
      </c>
      <c r="S71" s="562"/>
      <c r="T71" s="562">
        <f>SUM(T68:T70)</f>
        <v>0</v>
      </c>
      <c r="U71" s="562"/>
      <c r="V71" s="562">
        <f>SUM(V68:V70)</f>
        <v>642609</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653392</v>
      </c>
      <c r="O84" s="562"/>
      <c r="P84" s="562"/>
      <c r="Q84" s="562"/>
      <c r="R84" s="562"/>
      <c r="S84" s="562"/>
      <c r="T84" s="562"/>
      <c r="U84" s="562"/>
      <c r="V84" s="562">
        <f>SUM(V71:V83)</f>
        <v>642609</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43951</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10783-859</f>
        <v>9924</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3050+1839-582-541-60</f>
        <v>3706</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272+10</f>
        <v>282</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47</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208</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9924</v>
      </c>
      <c r="U96" s="522"/>
      <c r="V96" s="562">
        <f>SUM(V88:V95)</f>
        <v>4243</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9924</v>
      </c>
      <c r="U100" s="522"/>
      <c r="V100" s="562">
        <f>V96+V98+V97+V99</f>
        <v>4243</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-244-89-8</f>
        <v>-341</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f>-1135+126</f>
        <v>-1009</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-126</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-226</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-64</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-261</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-59</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-9</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859</v>
      </c>
      <c r="U114" s="522"/>
      <c r="V114" s="563">
        <v>-859</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-245</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-232</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-208</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-18</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-581</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-4950</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-880</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-1026</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-1026</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-359</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-1248</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-244</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-1050</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-10783</v>
      </c>
      <c r="U137" s="562"/>
      <c r="V137" s="562">
        <f>SUM(V102:V134)</f>
        <v>-4243</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APRIL 2020</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859</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859</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-859</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642609</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642609</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+'Jan 20'!S188</f>
        <v>57078</v>
      </c>
      <c r="T186" s="563">
        <f>+'Jan 20'!T188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3.4361233480176212</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1.99</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9.5344827586206904</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7.71</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7.734375</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7.02</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APRIL 2020</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43951</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2.2960000000000001E-2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1.1213581994003926E-2</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1.1746418005996075E-2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6.4938046379508776E-3</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8.18</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1.6503109924823078E-2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6.3200000000000006E-2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0</v>
      </c>
      <c r="T221" s="577">
        <v>0</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71</v>
      </c>
      <c r="T222" s="579">
        <f>+T274</f>
        <v>11427</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+R296</f>
        <v>0</v>
      </c>
      <c r="T223" s="579">
        <f>+T296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859</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'Jan 20'!T228+'April 20'!T227</f>
        <v>8593</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4</v>
      </c>
      <c r="T234" s="579">
        <v>1344</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3.36</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4839</v>
      </c>
      <c r="S241" s="588">
        <f t="shared" ref="S241:S248" si="2">R241/$R$250</f>
        <v>0.98694676728533548</v>
      </c>
      <c r="T241" s="589">
        <f t="shared" ref="T241:T248" si="3">+T253+T265+T287</f>
        <v>630787</v>
      </c>
      <c r="U241" s="588">
        <f t="shared" ref="U241:U248" si="4">T241/$T$250</f>
        <v>0.98160312102693859</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38</v>
      </c>
      <c r="S242" s="593">
        <f t="shared" si="2"/>
        <v>7.7503569243320414E-3</v>
      </c>
      <c r="T242" s="563">
        <f t="shared" si="3"/>
        <v>7967</v>
      </c>
      <c r="U242" s="593">
        <f t="shared" si="4"/>
        <v>1.2397896699237016E-2</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17</v>
      </c>
      <c r="S243" s="593">
        <f t="shared" si="2"/>
        <v>3.4672649398327553E-3</v>
      </c>
      <c r="T243" s="563">
        <f t="shared" si="3"/>
        <v>2529</v>
      </c>
      <c r="U243" s="593">
        <f t="shared" si="4"/>
        <v>3.9355191103766056E-3</v>
      </c>
      <c r="V243" s="582"/>
      <c r="W243" s="583"/>
      <c r="X243" s="512"/>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3</v>
      </c>
      <c r="S244" s="593">
        <f t="shared" si="2"/>
        <v>6.1187028349989807E-4</v>
      </c>
      <c r="T244" s="563">
        <f t="shared" si="3"/>
        <v>461</v>
      </c>
      <c r="U244" s="593">
        <f t="shared" si="4"/>
        <v>7.1738802288794589E-4</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4</v>
      </c>
      <c r="S245" s="593">
        <f t="shared" si="2"/>
        <v>8.1582704466653065E-4</v>
      </c>
      <c r="T245" s="563">
        <f t="shared" si="3"/>
        <v>586</v>
      </c>
      <c r="U245" s="593">
        <f t="shared" si="4"/>
        <v>9.1190755187057755E-4</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0</v>
      </c>
      <c r="S246" s="593">
        <f t="shared" si="2"/>
        <v>0</v>
      </c>
      <c r="T246" s="563">
        <f t="shared" si="3"/>
        <v>0</v>
      </c>
      <c r="U246" s="593">
        <f t="shared" si="4"/>
        <v>0</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1</v>
      </c>
      <c r="S247" s="593">
        <f t="shared" si="2"/>
        <v>2.0395676116663266E-4</v>
      </c>
      <c r="T247" s="563">
        <f t="shared" si="3"/>
        <v>92</v>
      </c>
      <c r="U247" s="593">
        <f t="shared" si="4"/>
        <v>1.4316637333121695E-4</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1</v>
      </c>
      <c r="S248" s="593">
        <f t="shared" si="2"/>
        <v>2.0395676116663266E-4</v>
      </c>
      <c r="T248" s="563">
        <f t="shared" si="3"/>
        <v>187</v>
      </c>
      <c r="U248" s="593">
        <f t="shared" si="4"/>
        <v>2.9100121535801711E-4</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4903</v>
      </c>
      <c r="S250" s="593">
        <f>SUM(S241:S249)</f>
        <v>0.99999999999999978</v>
      </c>
      <c r="T250" s="563">
        <f>SUM(T241:T249)</f>
        <v>642609</v>
      </c>
      <c r="U250" s="593">
        <f>SUM(U241:U249)</f>
        <v>0.99999999999999978</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4773</v>
      </c>
      <c r="S253" s="595">
        <f t="shared" ref="S253:S260" si="5">R253/$R$262</f>
        <v>0.98778973509933776</v>
      </c>
      <c r="T253" s="596">
        <v>620080</v>
      </c>
      <c r="U253" s="595">
        <f t="shared" ref="U253:U260" si="6">T253/$T$262</f>
        <v>0.98241077850762537</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38</v>
      </c>
      <c r="S254" s="593">
        <f t="shared" si="5"/>
        <v>7.8642384105960268E-3</v>
      </c>
      <c r="T254" s="563">
        <v>7967</v>
      </c>
      <c r="U254" s="593">
        <f t="shared" si="6"/>
        <v>1.2622349813524466E-2</v>
      </c>
      <c r="V254" s="582"/>
      <c r="W254" s="583"/>
      <c r="X254" s="512"/>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16</v>
      </c>
      <c r="S255" s="593">
        <f t="shared" si="5"/>
        <v>3.3112582781456954E-3</v>
      </c>
      <c r="T255" s="563">
        <v>2416</v>
      </c>
      <c r="U255" s="593">
        <f t="shared" si="6"/>
        <v>3.8277390673371547E-3</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2</v>
      </c>
      <c r="S256" s="593">
        <f t="shared" si="5"/>
        <v>4.1390728476821192E-4</v>
      </c>
      <c r="T256" s="563">
        <v>286</v>
      </c>
      <c r="U256" s="593">
        <f t="shared" si="6"/>
        <v>4.5311811807054067E-4</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3</v>
      </c>
      <c r="S257" s="593">
        <f t="shared" si="5"/>
        <v>6.2086092715231791E-4</v>
      </c>
      <c r="T257" s="563">
        <v>433</v>
      </c>
      <c r="U257" s="593">
        <f t="shared" si="6"/>
        <v>6.8601449344246189E-4</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0</v>
      </c>
      <c r="S258" s="593">
        <f t="shared" si="5"/>
        <v>0</v>
      </c>
      <c r="T258" s="563">
        <v>0</v>
      </c>
      <c r="U258" s="593">
        <f t="shared" si="6"/>
        <v>0</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0</v>
      </c>
      <c r="S259" s="593">
        <f t="shared" si="5"/>
        <v>0</v>
      </c>
      <c r="T259" s="563">
        <v>0</v>
      </c>
      <c r="U259" s="593">
        <f t="shared" si="6"/>
        <v>0</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0</v>
      </c>
      <c r="S260" s="593">
        <f t="shared" si="5"/>
        <v>0</v>
      </c>
      <c r="T260" s="563">
        <v>0</v>
      </c>
      <c r="U260" s="593">
        <f t="shared" si="6"/>
        <v>0</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4832</v>
      </c>
      <c r="S262" s="593">
        <f>SUM(S253:S261)</f>
        <v>1</v>
      </c>
      <c r="T262" s="563">
        <f>SUM(T253:T261)</f>
        <v>631182</v>
      </c>
      <c r="U262" s="593">
        <f>SUM(U253:U261)</f>
        <v>1</v>
      </c>
      <c r="V262" s="522"/>
      <c r="W262" s="524"/>
      <c r="X262" s="512"/>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66</v>
      </c>
      <c r="S265" s="595">
        <f t="shared" ref="S265:S272" si="7">R265/$R$274</f>
        <v>0.92957746478873238</v>
      </c>
      <c r="T265" s="596">
        <v>10707</v>
      </c>
      <c r="U265" s="595">
        <f t="shared" ref="U265:U272" si="8">T265/$T$274</f>
        <v>0.93699133630874243</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1</v>
      </c>
      <c r="S267" s="593">
        <f t="shared" si="7"/>
        <v>1.4084507042253521E-2</v>
      </c>
      <c r="T267" s="563">
        <v>113</v>
      </c>
      <c r="U267" s="593">
        <f t="shared" si="8"/>
        <v>9.8888597182112542E-3</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1</v>
      </c>
      <c r="S268" s="593">
        <f t="shared" si="7"/>
        <v>1.4084507042253521E-2</v>
      </c>
      <c r="T268" s="563">
        <v>175</v>
      </c>
      <c r="U268" s="593">
        <f t="shared" si="8"/>
        <v>1.5314605758291765E-2</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1</v>
      </c>
      <c r="S269" s="593">
        <f t="shared" si="7"/>
        <v>1.4084507042253521E-2</v>
      </c>
      <c r="T269" s="563">
        <v>153</v>
      </c>
      <c r="U269" s="593">
        <f t="shared" si="8"/>
        <v>1.3389341034392229E-2</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0</v>
      </c>
      <c r="S270" s="593">
        <f t="shared" si="7"/>
        <v>0</v>
      </c>
      <c r="T270" s="563">
        <v>0</v>
      </c>
      <c r="U270" s="593">
        <f t="shared" si="8"/>
        <v>0</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1</v>
      </c>
      <c r="S271" s="593">
        <f t="shared" si="7"/>
        <v>1.4084507042253521E-2</v>
      </c>
      <c r="T271" s="563">
        <v>92</v>
      </c>
      <c r="U271" s="593">
        <f t="shared" si="8"/>
        <v>8.0511070272162415E-3</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1</v>
      </c>
      <c r="S272" s="593">
        <f t="shared" si="7"/>
        <v>1.4084507042253521E-2</v>
      </c>
      <c r="T272" s="563">
        <v>187</v>
      </c>
      <c r="U272" s="593">
        <f t="shared" si="8"/>
        <v>1.6364750153146059E-2</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71</v>
      </c>
      <c r="S274" s="593">
        <f>SUM(S265:S273)</f>
        <v>0.99999999999999989</v>
      </c>
      <c r="T274" s="563">
        <f>SUM(T265:T273)</f>
        <v>11427</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58</v>
      </c>
      <c r="S277" s="593">
        <f>R277/R284</f>
        <v>0.81690140845070425</v>
      </c>
      <c r="T277" s="563">
        <v>9851</v>
      </c>
      <c r="U277" s="593">
        <f>T277/T284</f>
        <v>0.86208103614246956</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6</v>
      </c>
      <c r="S278" s="593">
        <f>R278/R284</f>
        <v>8.4507042253521125E-2</v>
      </c>
      <c r="T278" s="563">
        <v>767</v>
      </c>
      <c r="U278" s="593">
        <f>T278/T284</f>
        <v>6.7121729237770197E-2</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3</v>
      </c>
      <c r="S279" s="593">
        <f>R279/R284</f>
        <v>4.2253521126760563E-2</v>
      </c>
      <c r="T279" s="563">
        <v>293</v>
      </c>
      <c r="U279" s="593">
        <f>T279/T284</f>
        <v>2.564102564102564E-2</v>
      </c>
      <c r="V279" s="522"/>
      <c r="W279" s="524"/>
      <c r="X279" s="512"/>
    </row>
    <row r="280" spans="1:24" s="513" customFormat="1" x14ac:dyDescent="0.3">
      <c r="A280" s="521"/>
      <c r="B280" s="522" t="s">
        <v>400</v>
      </c>
      <c r="C280" s="522"/>
      <c r="D280" s="522"/>
      <c r="E280" s="522"/>
      <c r="F280" s="522"/>
      <c r="G280" s="522"/>
      <c r="H280" s="594"/>
      <c r="I280" s="594"/>
      <c r="J280" s="594"/>
      <c r="K280" s="594"/>
      <c r="L280" s="594"/>
      <c r="M280" s="594"/>
      <c r="N280" s="594"/>
      <c r="O280" s="594"/>
      <c r="P280" s="594"/>
      <c r="Q280" s="594"/>
      <c r="R280" s="562">
        <v>2</v>
      </c>
      <c r="S280" s="593">
        <f>R280/R284</f>
        <v>2.8169014084507043E-2</v>
      </c>
      <c r="T280" s="563">
        <v>266</v>
      </c>
      <c r="U280" s="593">
        <f>T280/T284</f>
        <v>2.3278200752603482E-2</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1</v>
      </c>
      <c r="S281" s="593">
        <f>R281/R284</f>
        <v>1.4084507042253521E-2</v>
      </c>
      <c r="T281" s="563">
        <v>63</v>
      </c>
      <c r="U281" s="593">
        <f>T281/T284</f>
        <v>5.5132580729850356E-3</v>
      </c>
      <c r="V281" s="522"/>
      <c r="W281" s="524"/>
      <c r="X281" s="512"/>
    </row>
    <row r="282" spans="1:24" s="513" customFormat="1" x14ac:dyDescent="0.3">
      <c r="A282" s="521"/>
      <c r="B282" s="424" t="s">
        <v>402</v>
      </c>
      <c r="C282" s="522"/>
      <c r="D282" s="522"/>
      <c r="E282" s="522"/>
      <c r="F282" s="522"/>
      <c r="G282" s="522"/>
      <c r="H282" s="594"/>
      <c r="I282" s="594"/>
      <c r="J282" s="594"/>
      <c r="K282" s="594"/>
      <c r="L282" s="594"/>
      <c r="M282" s="594"/>
      <c r="N282" s="594"/>
      <c r="O282" s="594"/>
      <c r="P282" s="594"/>
      <c r="Q282" s="594"/>
      <c r="R282" s="562">
        <v>1</v>
      </c>
      <c r="S282" s="593">
        <f>R282/R284</f>
        <v>1.4084507042253521E-2</v>
      </c>
      <c r="T282" s="563">
        <v>187</v>
      </c>
      <c r="U282" s="593">
        <f>T282/T284</f>
        <v>1.6364750153146059E-2</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71</v>
      </c>
      <c r="S284" s="593">
        <f>SUM(S277:S282)</f>
        <v>1</v>
      </c>
      <c r="T284" s="563">
        <f>SUM(T277:T282)</f>
        <v>11427</v>
      </c>
      <c r="U284" s="593">
        <f>SUM(U277:U283)</f>
        <v>1</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0</v>
      </c>
      <c r="S296" s="593">
        <f>SUM(S287:S295)</f>
        <v>0</v>
      </c>
      <c r="T296" s="563">
        <f>SUM(T287:T294)</f>
        <v>0</v>
      </c>
      <c r="U296" s="593">
        <f>SUM(U287:U295)</f>
        <v>0</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4903</v>
      </c>
      <c r="S298" s="593"/>
      <c r="T298" s="599">
        <f>+T296+T274+T262</f>
        <v>642609</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626" t="s">
        <v>381</v>
      </c>
      <c r="B300" s="627" t="s">
        <v>382</v>
      </c>
      <c r="C300" s="628"/>
      <c r="D300" s="628"/>
      <c r="E300" s="628"/>
      <c r="F300" s="628"/>
      <c r="G300" s="628"/>
      <c r="H300" s="629"/>
      <c r="I300" s="629"/>
      <c r="J300" s="629"/>
      <c r="K300" s="629"/>
      <c r="L300" s="629"/>
      <c r="M300" s="629"/>
      <c r="N300" s="629"/>
      <c r="O300" s="629"/>
      <c r="P300" s="629"/>
      <c r="Q300" s="629"/>
      <c r="R300" s="638" t="s">
        <v>104</v>
      </c>
      <c r="S300" s="639" t="s">
        <v>105</v>
      </c>
      <c r="T300" s="638" t="s">
        <v>113</v>
      </c>
      <c r="U300" s="639" t="s">
        <v>105</v>
      </c>
      <c r="V300" s="467"/>
      <c r="W300" s="468"/>
      <c r="X300" s="512"/>
    </row>
    <row r="301" spans="1:24" s="513" customFormat="1" x14ac:dyDescent="0.3">
      <c r="A301" s="630"/>
      <c r="B301" s="631" t="s">
        <v>90</v>
      </c>
      <c r="C301" s="632"/>
      <c r="D301" s="632"/>
      <c r="E301" s="632"/>
      <c r="F301" s="632"/>
      <c r="G301" s="632"/>
      <c r="H301" s="633"/>
      <c r="I301" s="633"/>
      <c r="J301" s="633"/>
      <c r="K301" s="633"/>
      <c r="L301" s="633"/>
      <c r="M301" s="633"/>
      <c r="N301" s="633"/>
      <c r="O301" s="633"/>
      <c r="P301" s="633"/>
      <c r="Q301" s="633"/>
      <c r="R301" s="631">
        <v>812</v>
      </c>
      <c r="S301" s="640">
        <f>R301/$R$310</f>
        <v>0.95417156286721505</v>
      </c>
      <c r="T301" s="641">
        <v>117702</v>
      </c>
      <c r="U301" s="640">
        <f>T301/$T$310</f>
        <v>0.93417992777491166</v>
      </c>
      <c r="V301" s="552"/>
      <c r="W301" s="552"/>
      <c r="X301" s="512"/>
    </row>
    <row r="302" spans="1:24" s="513" customFormat="1" x14ac:dyDescent="0.3">
      <c r="A302" s="634"/>
      <c r="B302" s="635" t="s">
        <v>91</v>
      </c>
      <c r="C302" s="636"/>
      <c r="D302" s="636"/>
      <c r="E302" s="636"/>
      <c r="F302" s="636"/>
      <c r="G302" s="636"/>
      <c r="H302" s="637"/>
      <c r="I302" s="637"/>
      <c r="J302" s="637"/>
      <c r="K302" s="637"/>
      <c r="L302" s="637"/>
      <c r="M302" s="637"/>
      <c r="N302" s="637"/>
      <c r="O302" s="637"/>
      <c r="P302" s="637"/>
      <c r="Q302" s="637"/>
      <c r="R302" s="635">
        <v>32</v>
      </c>
      <c r="S302" s="646">
        <f t="shared" ref="S302:S308" si="9">R302/$R$310</f>
        <v>3.7602820211515862E-2</v>
      </c>
      <c r="T302" s="643">
        <v>7154</v>
      </c>
      <c r="U302" s="646">
        <f t="shared" ref="U302:U308" si="10">T302/$T$310</f>
        <v>5.678003095360927E-2</v>
      </c>
      <c r="V302" s="522"/>
      <c r="W302" s="524"/>
      <c r="X302" s="512"/>
    </row>
    <row r="303" spans="1:24" s="513" customFormat="1" x14ac:dyDescent="0.3">
      <c r="A303" s="634"/>
      <c r="B303" s="635" t="s">
        <v>92</v>
      </c>
      <c r="C303" s="636"/>
      <c r="D303" s="636"/>
      <c r="E303" s="636"/>
      <c r="F303" s="636"/>
      <c r="G303" s="636"/>
      <c r="H303" s="637"/>
      <c r="I303" s="637"/>
      <c r="J303" s="637"/>
      <c r="K303" s="637"/>
      <c r="L303" s="637"/>
      <c r="M303" s="637"/>
      <c r="N303" s="637"/>
      <c r="O303" s="637"/>
      <c r="P303" s="637"/>
      <c r="Q303" s="637"/>
      <c r="R303" s="635">
        <v>7</v>
      </c>
      <c r="S303" s="646">
        <f t="shared" si="9"/>
        <v>8.2256169212690956E-3</v>
      </c>
      <c r="T303" s="643">
        <v>1139</v>
      </c>
      <c r="U303" s="646">
        <f t="shared" si="10"/>
        <v>9.0400412714790272E-3</v>
      </c>
      <c r="V303" s="522"/>
      <c r="W303" s="524"/>
      <c r="X303" s="512"/>
    </row>
    <row r="304" spans="1:24" s="513" customFormat="1" x14ac:dyDescent="0.3">
      <c r="A304" s="634"/>
      <c r="B304" s="635" t="s">
        <v>161</v>
      </c>
      <c r="C304" s="636"/>
      <c r="D304" s="636"/>
      <c r="E304" s="636"/>
      <c r="F304" s="636"/>
      <c r="G304" s="636"/>
      <c r="H304" s="637"/>
      <c r="I304" s="637"/>
      <c r="J304" s="637"/>
      <c r="K304" s="637"/>
      <c r="L304" s="637"/>
      <c r="M304" s="637"/>
      <c r="N304" s="637"/>
      <c r="O304" s="637"/>
      <c r="P304" s="637"/>
      <c r="Q304" s="637"/>
      <c r="R304" s="635">
        <v>0</v>
      </c>
      <c r="S304" s="646">
        <f t="shared" si="9"/>
        <v>0</v>
      </c>
      <c r="T304" s="643">
        <v>0</v>
      </c>
      <c r="U304" s="646">
        <f t="shared" si="10"/>
        <v>0</v>
      </c>
      <c r="V304" s="522"/>
      <c r="W304" s="524"/>
      <c r="X304" s="512"/>
    </row>
    <row r="305" spans="1:24" s="513" customFormat="1" x14ac:dyDescent="0.3">
      <c r="A305" s="634"/>
      <c r="B305" s="635" t="s">
        <v>162</v>
      </c>
      <c r="C305" s="636"/>
      <c r="D305" s="636"/>
      <c r="E305" s="636"/>
      <c r="F305" s="636"/>
      <c r="G305" s="636"/>
      <c r="H305" s="637"/>
      <c r="I305" s="637"/>
      <c r="J305" s="637"/>
      <c r="K305" s="637"/>
      <c r="L305" s="637"/>
      <c r="M305" s="637"/>
      <c r="N305" s="637"/>
      <c r="O305" s="637"/>
      <c r="P305" s="637"/>
      <c r="Q305" s="637"/>
      <c r="R305" s="635">
        <v>0</v>
      </c>
      <c r="S305" s="646">
        <f t="shared" si="9"/>
        <v>0</v>
      </c>
      <c r="T305" s="643">
        <v>0</v>
      </c>
      <c r="U305" s="646">
        <f t="shared" si="10"/>
        <v>0</v>
      </c>
      <c r="V305" s="522"/>
      <c r="W305" s="524"/>
      <c r="X305" s="512"/>
    </row>
    <row r="306" spans="1:24" s="513" customFormat="1" x14ac:dyDescent="0.3">
      <c r="A306" s="634"/>
      <c r="B306" s="635" t="s">
        <v>163</v>
      </c>
      <c r="C306" s="636"/>
      <c r="D306" s="636"/>
      <c r="E306" s="636"/>
      <c r="F306" s="636"/>
      <c r="G306" s="636"/>
      <c r="H306" s="637"/>
      <c r="I306" s="637"/>
      <c r="J306" s="637"/>
      <c r="K306" s="637"/>
      <c r="L306" s="637"/>
      <c r="M306" s="637"/>
      <c r="N306" s="637"/>
      <c r="O306" s="637"/>
      <c r="P306" s="637"/>
      <c r="Q306" s="637"/>
      <c r="R306" s="635">
        <v>0</v>
      </c>
      <c r="S306" s="646">
        <f t="shared" si="9"/>
        <v>0</v>
      </c>
      <c r="T306" s="643">
        <v>0</v>
      </c>
      <c r="U306" s="646">
        <f t="shared" si="10"/>
        <v>0</v>
      </c>
      <c r="V306" s="522"/>
      <c r="W306" s="524"/>
      <c r="X306" s="512"/>
    </row>
    <row r="307" spans="1:24" s="513" customFormat="1" x14ac:dyDescent="0.3">
      <c r="A307" s="634"/>
      <c r="B307" s="635" t="s">
        <v>164</v>
      </c>
      <c r="C307" s="636"/>
      <c r="D307" s="636"/>
      <c r="E307" s="636"/>
      <c r="F307" s="636"/>
      <c r="G307" s="636"/>
      <c r="H307" s="637"/>
      <c r="I307" s="637"/>
      <c r="J307" s="637"/>
      <c r="K307" s="637"/>
      <c r="L307" s="637"/>
      <c r="M307" s="637"/>
      <c r="N307" s="637"/>
      <c r="O307" s="637"/>
      <c r="P307" s="637"/>
      <c r="Q307" s="637"/>
      <c r="R307" s="635">
        <v>0</v>
      </c>
      <c r="S307" s="646">
        <f t="shared" si="9"/>
        <v>0</v>
      </c>
      <c r="T307" s="643">
        <v>0</v>
      </c>
      <c r="U307" s="646">
        <f t="shared" si="10"/>
        <v>0</v>
      </c>
      <c r="V307" s="522"/>
      <c r="W307" s="524"/>
      <c r="X307" s="512"/>
    </row>
    <row r="308" spans="1:24" s="513" customFormat="1" x14ac:dyDescent="0.3">
      <c r="A308" s="634"/>
      <c r="B308" s="635" t="s">
        <v>165</v>
      </c>
      <c r="C308" s="636"/>
      <c r="D308" s="636"/>
      <c r="E308" s="636"/>
      <c r="F308" s="636"/>
      <c r="G308" s="636"/>
      <c r="H308" s="637"/>
      <c r="I308" s="637"/>
      <c r="J308" s="637"/>
      <c r="K308" s="637"/>
      <c r="L308" s="637"/>
      <c r="M308" s="637"/>
      <c r="N308" s="637"/>
      <c r="O308" s="637"/>
      <c r="P308" s="637"/>
      <c r="Q308" s="637"/>
      <c r="R308" s="635">
        <v>0</v>
      </c>
      <c r="S308" s="640">
        <f t="shared" si="9"/>
        <v>0</v>
      </c>
      <c r="T308" s="643">
        <v>0</v>
      </c>
      <c r="U308" s="640">
        <f t="shared" si="10"/>
        <v>0</v>
      </c>
      <c r="V308" s="522"/>
      <c r="W308" s="524"/>
      <c r="X308" s="512"/>
    </row>
    <row r="309" spans="1:24" s="513" customFormat="1" x14ac:dyDescent="0.3">
      <c r="A309" s="634"/>
      <c r="B309" s="635"/>
      <c r="C309" s="636"/>
      <c r="D309" s="636"/>
      <c r="E309" s="636"/>
      <c r="F309" s="636"/>
      <c r="G309" s="636"/>
      <c r="H309" s="637"/>
      <c r="I309" s="637"/>
      <c r="J309" s="637"/>
      <c r="K309" s="637"/>
      <c r="L309" s="637"/>
      <c r="M309" s="637"/>
      <c r="N309" s="637"/>
      <c r="O309" s="637"/>
      <c r="P309" s="637"/>
      <c r="Q309" s="637"/>
      <c r="R309" s="635"/>
      <c r="S309" s="642"/>
      <c r="T309" s="643"/>
      <c r="U309" s="642"/>
      <c r="V309" s="522"/>
      <c r="W309" s="524"/>
      <c r="X309" s="512"/>
    </row>
    <row r="310" spans="1:24" s="513" customFormat="1" x14ac:dyDescent="0.3">
      <c r="A310" s="634"/>
      <c r="B310" s="636" t="s">
        <v>119</v>
      </c>
      <c r="C310" s="636"/>
      <c r="D310" s="636"/>
      <c r="E310" s="636"/>
      <c r="F310" s="636"/>
      <c r="G310" s="636"/>
      <c r="H310" s="637"/>
      <c r="I310" s="637"/>
      <c r="J310" s="637"/>
      <c r="K310" s="637"/>
      <c r="L310" s="637"/>
      <c r="M310" s="637"/>
      <c r="N310" s="637"/>
      <c r="O310" s="637"/>
      <c r="P310" s="637"/>
      <c r="Q310" s="637"/>
      <c r="R310" s="635">
        <f>SUM(R301:R308)</f>
        <v>851</v>
      </c>
      <c r="S310" s="642">
        <f>SUM(S301:S309)</f>
        <v>1</v>
      </c>
      <c r="T310" s="643">
        <f>SUM(T301:T308)</f>
        <v>125995</v>
      </c>
      <c r="U310" s="642">
        <f>SUM(U301:U309)</f>
        <v>1</v>
      </c>
      <c r="V310" s="522"/>
      <c r="W310" s="524"/>
      <c r="X310" s="512"/>
    </row>
    <row r="311" spans="1:24" s="513" customFormat="1" x14ac:dyDescent="0.3">
      <c r="A311" s="634"/>
      <c r="B311" s="636" t="s">
        <v>396</v>
      </c>
      <c r="C311" s="636"/>
      <c r="D311" s="636"/>
      <c r="E311" s="636"/>
      <c r="F311" s="636"/>
      <c r="G311" s="636"/>
      <c r="H311" s="637"/>
      <c r="I311" s="637"/>
      <c r="J311" s="637"/>
      <c r="K311" s="637"/>
      <c r="L311" s="637"/>
      <c r="M311" s="637"/>
      <c r="N311" s="637"/>
      <c r="O311" s="637"/>
      <c r="P311" s="637"/>
      <c r="Q311" s="637"/>
      <c r="R311" s="650">
        <f>+R310/R298</f>
        <v>0.17356720375280441</v>
      </c>
      <c r="S311" s="642"/>
      <c r="T311" s="651">
        <f>+T310/T298</f>
        <v>0.1960679044333335</v>
      </c>
      <c r="U311" s="642"/>
      <c r="V311" s="522"/>
      <c r="W311" s="524"/>
      <c r="X311" s="512"/>
    </row>
    <row r="312" spans="1:24" s="513" customFormat="1" x14ac:dyDescent="0.3">
      <c r="A312" s="509"/>
      <c r="B312" s="591"/>
      <c r="C312" s="552"/>
      <c r="D312" s="552"/>
      <c r="E312" s="552"/>
      <c r="F312" s="552"/>
      <c r="G312" s="552"/>
      <c r="H312" s="597"/>
      <c r="I312" s="597"/>
      <c r="J312" s="597"/>
      <c r="K312" s="597"/>
      <c r="L312" s="597"/>
      <c r="M312" s="597"/>
      <c r="N312" s="597"/>
      <c r="O312" s="597"/>
      <c r="P312" s="597"/>
      <c r="Q312" s="597"/>
      <c r="R312" s="624"/>
      <c r="S312" s="595"/>
      <c r="T312" s="625"/>
      <c r="U312" s="595"/>
      <c r="V312" s="625"/>
      <c r="W312" s="645"/>
      <c r="X312" s="512"/>
    </row>
    <row r="313" spans="1:24" s="513" customFormat="1" x14ac:dyDescent="0.3">
      <c r="A313" s="509"/>
      <c r="B313" s="510"/>
      <c r="C313" s="510"/>
      <c r="D313" s="510"/>
      <c r="E313" s="510"/>
      <c r="F313" s="510"/>
      <c r="G313" s="510"/>
      <c r="H313" s="600"/>
      <c r="I313" s="600"/>
      <c r="J313" s="600"/>
      <c r="K313" s="600"/>
      <c r="L313" s="600"/>
      <c r="M313" s="600"/>
      <c r="N313" s="600"/>
      <c r="O313" s="600"/>
      <c r="P313" s="600"/>
      <c r="Q313" s="600"/>
      <c r="R313" s="600"/>
      <c r="S313" s="600"/>
      <c r="T313" s="601"/>
      <c r="U313" s="600"/>
      <c r="V313" s="510"/>
      <c r="W313" s="510"/>
      <c r="X313" s="512"/>
    </row>
    <row r="314" spans="1:24" s="513" customFormat="1" x14ac:dyDescent="0.3">
      <c r="A314" s="509"/>
      <c r="B314" s="508" t="s">
        <v>93</v>
      </c>
      <c r="C314" s="510"/>
      <c r="D314" s="510"/>
      <c r="E314" s="510"/>
      <c r="F314" s="516" t="s">
        <v>99</v>
      </c>
      <c r="G314" s="510"/>
      <c r="H314" s="508" t="s">
        <v>101</v>
      </c>
      <c r="I314" s="510"/>
      <c r="J314" s="510"/>
      <c r="K314" s="510"/>
      <c r="L314" s="510"/>
      <c r="M314" s="510"/>
      <c r="N314" s="510"/>
      <c r="O314" s="510"/>
      <c r="P314" s="510"/>
      <c r="Q314" s="510"/>
      <c r="R314" s="510"/>
      <c r="S314" s="510"/>
      <c r="T314" s="510"/>
      <c r="U314" s="510"/>
      <c r="V314" s="510"/>
      <c r="W314" s="510"/>
      <c r="X314" s="512"/>
    </row>
    <row r="315" spans="1:24" s="513" customFormat="1" x14ac:dyDescent="0.3">
      <c r="A315" s="509"/>
      <c r="B315" s="508" t="s">
        <v>327</v>
      </c>
      <c r="C315" s="508"/>
      <c r="D315" s="508"/>
      <c r="E315" s="508"/>
      <c r="F315" s="602" t="s">
        <v>278</v>
      </c>
      <c r="G315" s="508"/>
      <c r="H315" s="402" t="s">
        <v>350</v>
      </c>
      <c r="I315" s="510"/>
      <c r="J315" s="510"/>
      <c r="K315" s="510"/>
      <c r="L315" s="510"/>
      <c r="M315" s="510"/>
      <c r="N315" s="510"/>
      <c r="O315" s="510"/>
      <c r="P315" s="510"/>
      <c r="Q315" s="510"/>
      <c r="R315" s="510"/>
      <c r="S315" s="510"/>
      <c r="T315" s="510"/>
      <c r="U315" s="510"/>
      <c r="V315" s="510"/>
      <c r="W315" s="510"/>
      <c r="X315" s="512"/>
    </row>
    <row r="316" spans="1:24" s="513" customFormat="1" x14ac:dyDescent="0.3">
      <c r="A316" s="509"/>
      <c r="B316" s="508" t="s">
        <v>328</v>
      </c>
      <c r="C316" s="508"/>
      <c r="D316" s="508"/>
      <c r="E316" s="508"/>
      <c r="F316" s="602" t="s">
        <v>152</v>
      </c>
      <c r="G316" s="508"/>
      <c r="H316" s="402" t="s">
        <v>351</v>
      </c>
      <c r="I316" s="510"/>
      <c r="J316" s="510"/>
      <c r="K316" s="510"/>
      <c r="L316" s="510"/>
      <c r="M316" s="510"/>
      <c r="N316" s="510"/>
      <c r="O316" s="510"/>
      <c r="P316" s="510"/>
      <c r="Q316" s="510"/>
      <c r="R316" s="510"/>
      <c r="S316" s="510"/>
      <c r="T316" s="510"/>
      <c r="U316" s="510"/>
      <c r="V316" s="510"/>
      <c r="W316" s="510"/>
      <c r="X316" s="512"/>
    </row>
    <row r="317" spans="1:24" s="513" customFormat="1" x14ac:dyDescent="0.3">
      <c r="A317" s="509"/>
      <c r="B317" s="508"/>
      <c r="C317" s="508"/>
      <c r="D317" s="508"/>
      <c r="E317" s="508"/>
      <c r="F317" s="602"/>
      <c r="G317" s="508"/>
      <c r="H317" s="402"/>
      <c r="I317" s="510"/>
      <c r="J317" s="510"/>
      <c r="K317" s="510"/>
      <c r="L317" s="510"/>
      <c r="M317" s="510"/>
      <c r="N317" s="510"/>
      <c r="O317" s="510"/>
      <c r="P317" s="510"/>
      <c r="Q317" s="510"/>
      <c r="R317" s="510"/>
      <c r="S317" s="510"/>
      <c r="T317" s="510"/>
      <c r="U317" s="510"/>
      <c r="V317" s="510"/>
      <c r="W317" s="510"/>
      <c r="X317" s="512"/>
    </row>
    <row r="318" spans="1:24" s="513" customFormat="1" x14ac:dyDescent="0.3">
      <c r="A318" s="509"/>
      <c r="B318" s="644" t="s">
        <v>391</v>
      </c>
      <c r="C318" s="508"/>
      <c r="D318" s="508"/>
      <c r="E318" s="508"/>
      <c r="F318" s="602"/>
      <c r="G318" s="508"/>
      <c r="H318" s="402"/>
      <c r="I318" s="510"/>
      <c r="J318" s="510"/>
      <c r="K318" s="510"/>
      <c r="L318" s="510"/>
      <c r="M318" s="510"/>
      <c r="N318" s="510"/>
      <c r="O318" s="510"/>
      <c r="P318" s="510"/>
      <c r="Q318" s="510"/>
      <c r="R318" s="510"/>
      <c r="S318" s="510"/>
      <c r="T318" s="510"/>
      <c r="U318" s="510"/>
      <c r="V318" s="510"/>
      <c r="W318" s="510"/>
      <c r="X318" s="512"/>
    </row>
    <row r="319" spans="1:24" s="513" customFormat="1" x14ac:dyDescent="0.3">
      <c r="A319" s="509"/>
      <c r="B319" s="508"/>
      <c r="C319" s="508"/>
      <c r="D319" s="508"/>
      <c r="E319" s="508"/>
      <c r="F319" s="602"/>
      <c r="G319" s="508"/>
      <c r="H319" s="402"/>
      <c r="I319" s="510"/>
      <c r="J319" s="510"/>
      <c r="K319" s="510"/>
      <c r="L319" s="510"/>
      <c r="M319" s="510"/>
      <c r="N319" s="510"/>
      <c r="O319" s="510"/>
      <c r="P319" s="510"/>
      <c r="Q319" s="510"/>
      <c r="R319" s="510"/>
      <c r="S319" s="510"/>
      <c r="T319" s="510"/>
      <c r="U319" s="510"/>
      <c r="V319" s="510"/>
      <c r="W319" s="510"/>
      <c r="X319" s="512"/>
    </row>
    <row r="320" spans="1:24" s="513" customFormat="1" ht="18" x14ac:dyDescent="0.35">
      <c r="A320" s="509"/>
      <c r="B320" s="647" t="s">
        <v>174</v>
      </c>
      <c r="C320" s="508"/>
      <c r="D320" s="508"/>
      <c r="E320" s="508"/>
      <c r="F320" s="602"/>
      <c r="G320" s="508"/>
      <c r="H320" s="402"/>
      <c r="I320" s="510"/>
      <c r="J320" s="510"/>
      <c r="K320" s="510"/>
      <c r="L320" s="552"/>
      <c r="M320" s="552"/>
      <c r="N320" s="552"/>
      <c r="O320" s="552"/>
      <c r="P320" s="648" t="s">
        <v>349</v>
      </c>
      <c r="Q320" s="552"/>
      <c r="R320" s="552"/>
      <c r="S320" s="552"/>
      <c r="T320" s="510"/>
      <c r="U320" s="510"/>
      <c r="V320" s="510"/>
      <c r="W320" s="510"/>
      <c r="X320" s="512"/>
    </row>
    <row r="321" spans="1:24" s="513" customFormat="1" x14ac:dyDescent="0.3">
      <c r="A321" s="509"/>
      <c r="B321" s="508"/>
      <c r="C321" s="508"/>
      <c r="D321" s="508"/>
      <c r="E321" s="508"/>
      <c r="F321" s="602"/>
      <c r="G321" s="508"/>
      <c r="H321" s="402"/>
      <c r="I321" s="510"/>
      <c r="J321" s="510"/>
      <c r="K321" s="510"/>
      <c r="L321" s="510"/>
      <c r="M321" s="510"/>
      <c r="N321" s="510"/>
      <c r="O321" s="510"/>
      <c r="P321" s="510"/>
      <c r="Q321" s="510"/>
      <c r="R321" s="510"/>
      <c r="S321" s="510"/>
      <c r="T321" s="510"/>
      <c r="U321" s="510"/>
      <c r="V321" s="510"/>
      <c r="W321" s="510"/>
      <c r="X321" s="512"/>
    </row>
    <row r="322" spans="1:24" s="513" customFormat="1" x14ac:dyDescent="0.3">
      <c r="A322" s="509"/>
      <c r="B322" s="508"/>
      <c r="C322" s="508"/>
      <c r="D322" s="508"/>
      <c r="E322" s="508"/>
      <c r="F322" s="508"/>
      <c r="G322" s="508"/>
      <c r="H322" s="510"/>
      <c r="I322" s="510"/>
      <c r="J322" s="510"/>
      <c r="K322" s="510"/>
      <c r="L322" s="510"/>
      <c r="M322" s="510"/>
      <c r="N322" s="510"/>
      <c r="O322" s="510"/>
      <c r="P322" s="510"/>
      <c r="Q322" s="510"/>
      <c r="R322" s="510"/>
      <c r="S322" s="510"/>
      <c r="T322" s="510"/>
      <c r="U322" s="510"/>
      <c r="V322" s="510"/>
      <c r="W322" s="510"/>
      <c r="X322" s="512"/>
    </row>
    <row r="323" spans="1:24" s="513" customFormat="1" ht="18.600000000000001" thickBot="1" x14ac:dyDescent="0.4">
      <c r="A323" s="509"/>
      <c r="B323" s="603" t="str">
        <f>B202</f>
        <v>PM12 INVESTOR REPORT QUARTER ENDING APRIL 2020</v>
      </c>
      <c r="C323" s="508"/>
      <c r="D323" s="508"/>
      <c r="E323" s="508"/>
      <c r="F323" s="508"/>
      <c r="G323" s="508"/>
      <c r="H323" s="510"/>
      <c r="I323" s="510"/>
      <c r="J323" s="510"/>
      <c r="K323" s="510"/>
      <c r="L323" s="510"/>
      <c r="M323" s="510"/>
      <c r="N323" s="510"/>
      <c r="O323" s="510"/>
      <c r="P323" s="510"/>
      <c r="Q323" s="510"/>
      <c r="R323" s="510"/>
      <c r="S323" s="510"/>
      <c r="T323" s="510"/>
      <c r="U323" s="510"/>
      <c r="V323" s="510"/>
      <c r="W323" s="510"/>
      <c r="X323" s="512"/>
    </row>
    <row r="324" spans="1:24" x14ac:dyDescent="0.3">
      <c r="A324" s="492"/>
      <c r="B324" s="492"/>
      <c r="C324" s="492"/>
      <c r="D324" s="492"/>
      <c r="E324" s="492"/>
      <c r="F324" s="492"/>
      <c r="G324" s="492"/>
      <c r="H324" s="492"/>
      <c r="I324" s="492"/>
      <c r="J324" s="492"/>
      <c r="K324" s="492"/>
      <c r="L324" s="492"/>
      <c r="M324" s="492"/>
      <c r="N324" s="492"/>
      <c r="O324" s="492"/>
      <c r="P324" s="492"/>
      <c r="Q324" s="492"/>
      <c r="R324" s="492"/>
      <c r="S324" s="492"/>
      <c r="T324" s="492"/>
      <c r="U324" s="492"/>
      <c r="V324" s="492"/>
      <c r="W324" s="492"/>
    </row>
    <row r="325" spans="1:24" x14ac:dyDescent="0.3">
      <c r="B325" s="406" t="s">
        <v>384</v>
      </c>
    </row>
    <row r="326" spans="1:24" x14ac:dyDescent="0.3">
      <c r="B326" s="623" t="s">
        <v>378</v>
      </c>
    </row>
    <row r="328" spans="1:24" x14ac:dyDescent="0.3">
      <c r="B328" s="649" t="s">
        <v>385</v>
      </c>
    </row>
    <row r="329" spans="1:24" x14ac:dyDescent="0.3">
      <c r="B329" s="406" t="s">
        <v>386</v>
      </c>
    </row>
    <row r="330" spans="1:24" x14ac:dyDescent="0.3">
      <c r="B330" s="406" t="s">
        <v>387</v>
      </c>
    </row>
    <row r="331" spans="1:24" x14ac:dyDescent="0.3">
      <c r="B331" s="406" t="s">
        <v>388</v>
      </c>
    </row>
    <row r="332" spans="1:24" x14ac:dyDescent="0.3">
      <c r="B332" s="406" t="s">
        <v>389</v>
      </c>
    </row>
    <row r="333" spans="1:24" x14ac:dyDescent="0.3">
      <c r="B333" s="406" t="s">
        <v>392</v>
      </c>
    </row>
    <row r="334" spans="1:24" x14ac:dyDescent="0.3">
      <c r="B334" s="652" t="s">
        <v>390</v>
      </c>
    </row>
    <row r="335" spans="1:24" x14ac:dyDescent="0.3">
      <c r="B335" s="652" t="s">
        <v>403</v>
      </c>
    </row>
    <row r="337" spans="2:2" x14ac:dyDescent="0.3">
      <c r="B337" s="649" t="s">
        <v>393</v>
      </c>
    </row>
    <row r="338" spans="2:2" x14ac:dyDescent="0.3">
      <c r="B338" s="406" t="s">
        <v>394</v>
      </c>
    </row>
    <row r="339" spans="2:2" x14ac:dyDescent="0.3">
      <c r="B339" s="406" t="s">
        <v>395</v>
      </c>
    </row>
  </sheetData>
  <hyperlinks>
    <hyperlink ref="I9" r:id="rId1" xr:uid="{0F7DD053-46A6-4A84-9280-8E2AA76D1941}"/>
    <hyperlink ref="P238" r:id="rId2" xr:uid="{7273CC1A-C049-461B-99D2-FE0D536F4098}"/>
    <hyperlink ref="B326" r:id="rId3" xr:uid="{434EB87F-D490-4322-B40D-A6FBB81A53DF}"/>
    <hyperlink ref="P320" r:id="rId4" xr:uid="{449BC9EE-19A7-43DA-AE0F-778407AEF223}"/>
  </hyperlinks>
  <printOptions horizontalCentered="1" verticalCentered="1"/>
  <pageMargins left="0.19685039370078741" right="0.19685039370078741" top="0.27559055118110237" bottom="0.27559055118110237" header="0" footer="0"/>
  <pageSetup scale="37" orientation="landscape" r:id="rId5"/>
  <headerFooter alignWithMargins="0"/>
  <rowBreaks count="3" manualBreakCount="3">
    <brk id="64" max="23" man="1"/>
    <brk id="141" max="14" man="1"/>
    <brk id="202" max="14" man="1"/>
  </rowBreaks>
  <drawing r:id="rId6"/>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9BA45-DE51-44DA-921E-42D5316B7B27}">
  <sheetPr>
    <tabColor rgb="FF2D2926"/>
  </sheetPr>
  <dimension ref="A1:AA346"/>
  <sheetViews>
    <sheetView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0.67710000000000004</v>
      </c>
      <c r="T16" s="516" t="s">
        <v>145</v>
      </c>
      <c r="U16" s="515">
        <v>0.32290000000000002</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44062</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294980.40188760002</v>
      </c>
      <c r="E32" s="529"/>
      <c r="F32" s="530">
        <f>F31*F38</f>
        <v>52467.553999999996</v>
      </c>
      <c r="G32" s="530"/>
      <c r="H32" s="534">
        <f>H31*H38</f>
        <v>88652.073999999993</v>
      </c>
      <c r="I32" s="534"/>
      <c r="J32" s="533">
        <f>J31*J38</f>
        <v>112533.11080000001</v>
      </c>
      <c r="K32" s="530"/>
      <c r="L32" s="530">
        <f>L31*L38</f>
        <v>21393.845000000001</v>
      </c>
      <c r="M32" s="530"/>
      <c r="N32" s="534">
        <f>N31*N38</f>
        <v>107824.9788</v>
      </c>
      <c r="O32" s="530"/>
      <c r="P32" s="530">
        <f>P31*P38</f>
        <v>14547.8146</v>
      </c>
      <c r="Q32" s="530"/>
      <c r="R32" s="534">
        <f>R31*R38</f>
        <v>90709.902799999996</v>
      </c>
      <c r="S32" s="530"/>
      <c r="T32" s="530"/>
      <c r="U32" s="529"/>
      <c r="V32" s="530"/>
      <c r="W32" s="531"/>
      <c r="X32" s="512"/>
    </row>
    <row r="33" spans="1:25" s="513" customFormat="1" x14ac:dyDescent="0.3">
      <c r="A33" s="521"/>
      <c r="B33" s="527" t="s">
        <v>139</v>
      </c>
      <c r="C33" s="529"/>
      <c r="D33" s="619">
        <f>D34*D37</f>
        <v>291311.76234419999</v>
      </c>
      <c r="E33" s="532"/>
      <c r="F33" s="535">
        <f>F37*F31</f>
        <v>51815.025000000001</v>
      </c>
      <c r="G33" s="535"/>
      <c r="H33" s="537">
        <f>H31*H37</f>
        <v>87549.525000000009</v>
      </c>
      <c r="I33" s="537"/>
      <c r="J33" s="536">
        <f>J37*J31</f>
        <v>111133.54860000001</v>
      </c>
      <c r="K33" s="535"/>
      <c r="L33" s="535">
        <f>L37*L31</f>
        <v>21127.77</v>
      </c>
      <c r="M33" s="535"/>
      <c r="N33" s="537">
        <f>N37*N31</f>
        <v>106483.9608</v>
      </c>
      <c r="O33" s="535"/>
      <c r="P33" s="535">
        <f>P37*P31</f>
        <v>14366.883600000001</v>
      </c>
      <c r="Q33" s="535"/>
      <c r="R33" s="537">
        <f>R37*R31</f>
        <v>89581.7448</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294980.40188760002</v>
      </c>
      <c r="E35" s="529"/>
      <c r="F35" s="530">
        <f>F34*F38</f>
        <v>52467.553999999996</v>
      </c>
      <c r="G35" s="530"/>
      <c r="H35" s="530">
        <f>H34*H38</f>
        <v>61139.536063199994</v>
      </c>
      <c r="I35" s="530"/>
      <c r="J35" s="530">
        <f>J34*J38</f>
        <v>61159.393741600004</v>
      </c>
      <c r="K35" s="530"/>
      <c r="L35" s="530">
        <f>L34*L38</f>
        <v>21393.845000000001</v>
      </c>
      <c r="M35" s="530"/>
      <c r="N35" s="530">
        <f>N34*N38</f>
        <v>74362.4379586</v>
      </c>
      <c r="O35" s="530"/>
      <c r="P35" s="530">
        <f>P34*P38</f>
        <v>14547.8146</v>
      </c>
      <c r="Q35" s="530"/>
      <c r="R35" s="530">
        <f>R34*R38</f>
        <v>62558.170041400001</v>
      </c>
      <c r="S35" s="530"/>
      <c r="T35" s="530"/>
      <c r="U35" s="529"/>
      <c r="V35" s="530">
        <f>SUM(C35:R35)</f>
        <v>642609.15329240006</v>
      </c>
      <c r="W35" s="531"/>
      <c r="X35" s="512"/>
    </row>
    <row r="36" spans="1:25" s="513" customFormat="1" x14ac:dyDescent="0.3">
      <c r="A36" s="525"/>
      <c r="B36" s="527" t="s">
        <v>295</v>
      </c>
      <c r="C36" s="532"/>
      <c r="D36" s="535">
        <f>D34*D37</f>
        <v>291311.76234419999</v>
      </c>
      <c r="E36" s="532"/>
      <c r="F36" s="535">
        <f>F34*F37</f>
        <v>51815.025000000001</v>
      </c>
      <c r="G36" s="535"/>
      <c r="H36" s="535">
        <f>H34*H37</f>
        <v>60379.155270000003</v>
      </c>
      <c r="I36" s="535"/>
      <c r="J36" s="535">
        <f>J34*J37</f>
        <v>60398.760937200001</v>
      </c>
      <c r="K36" s="535"/>
      <c r="L36" s="535">
        <f>L34*L37</f>
        <v>21127.77</v>
      </c>
      <c r="M36" s="535"/>
      <c r="N36" s="535">
        <f>N34*N37</f>
        <v>73437.59318760001</v>
      </c>
      <c r="O36" s="535"/>
      <c r="P36" s="535">
        <f>P34*P37</f>
        <v>14366.883600000001</v>
      </c>
      <c r="Q36" s="535"/>
      <c r="R36" s="535">
        <f>R34*R37</f>
        <v>61780.134812400007</v>
      </c>
      <c r="S36" s="538"/>
      <c r="T36" s="538"/>
      <c r="U36" s="529"/>
      <c r="V36" s="535">
        <f>SUM(C36:R36)</f>
        <v>634617.08515139995</v>
      </c>
      <c r="W36" s="531"/>
      <c r="X36" s="512"/>
      <c r="Y36" s="621"/>
    </row>
    <row r="37" spans="1:25" x14ac:dyDescent="0.3">
      <c r="A37" s="420"/>
      <c r="B37" s="493" t="s">
        <v>135</v>
      </c>
      <c r="C37" s="494"/>
      <c r="D37" s="495">
        <v>0.35734260000000001</v>
      </c>
      <c r="E37" s="496"/>
      <c r="F37" s="495">
        <v>0.35734500000000002</v>
      </c>
      <c r="G37" s="495"/>
      <c r="H37" s="495">
        <v>0.35734500000000002</v>
      </c>
      <c r="I37" s="495"/>
      <c r="J37" s="495">
        <v>0.35734260000000001</v>
      </c>
      <c r="K37" s="495"/>
      <c r="L37" s="495">
        <v>0.84511080000000005</v>
      </c>
      <c r="M37" s="495"/>
      <c r="N37" s="495">
        <v>0.84511080000000005</v>
      </c>
      <c r="O37" s="495"/>
      <c r="P37" s="495">
        <v>0.84511080000000005</v>
      </c>
      <c r="Q37" s="495"/>
      <c r="R37" s="495">
        <v>0.84511080000000005</v>
      </c>
      <c r="S37" s="425"/>
      <c r="T37" s="425"/>
      <c r="U37" s="424"/>
      <c r="V37" s="424"/>
      <c r="W37" s="426"/>
      <c r="X37" s="405"/>
    </row>
    <row r="38" spans="1:25" x14ac:dyDescent="0.3">
      <c r="A38" s="420"/>
      <c r="B38" s="493" t="s">
        <v>136</v>
      </c>
      <c r="C38" s="494"/>
      <c r="D38" s="495">
        <v>0.36184280000000002</v>
      </c>
      <c r="E38" s="496"/>
      <c r="F38" s="495">
        <v>0.36184519999999998</v>
      </c>
      <c r="G38" s="495"/>
      <c r="H38" s="495">
        <v>0.36184519999999998</v>
      </c>
      <c r="I38" s="495"/>
      <c r="J38" s="495">
        <v>0.36184280000000002</v>
      </c>
      <c r="K38" s="495"/>
      <c r="L38" s="495">
        <v>0.85575380000000001</v>
      </c>
      <c r="M38" s="495"/>
      <c r="N38" s="495">
        <v>0.85575380000000001</v>
      </c>
      <c r="O38" s="495"/>
      <c r="P38" s="495">
        <v>0.85575380000000001</v>
      </c>
      <c r="Q38" s="495"/>
      <c r="R38" s="495">
        <v>0.85575380000000001</v>
      </c>
      <c r="S38" s="427"/>
      <c r="T38" s="428"/>
      <c r="U38" s="424"/>
      <c r="V38" s="427"/>
      <c r="W38" s="426"/>
      <c r="X38" s="405"/>
    </row>
    <row r="39" spans="1:25"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5" s="513" customFormat="1" x14ac:dyDescent="0.3">
      <c r="A40" s="521"/>
      <c r="B40" s="522" t="s">
        <v>12</v>
      </c>
      <c r="C40" s="522"/>
      <c r="D40" s="540">
        <v>5.3225E-3</v>
      </c>
      <c r="E40" s="522"/>
      <c r="F40" s="540">
        <v>5.3225E-3</v>
      </c>
      <c r="G40" s="539"/>
      <c r="H40" s="540">
        <v>0</v>
      </c>
      <c r="I40" s="540"/>
      <c r="J40" s="540">
        <v>6.1238000000000004E-3</v>
      </c>
      <c r="K40" s="539"/>
      <c r="L40" s="540">
        <v>7.7225000000000002E-3</v>
      </c>
      <c r="M40" s="539"/>
      <c r="N40" s="540">
        <v>2.2699999999999999E-3</v>
      </c>
      <c r="O40" s="539"/>
      <c r="P40" s="540">
        <v>1.21225E-2</v>
      </c>
      <c r="Q40" s="539"/>
      <c r="R40" s="540">
        <v>6.6699999999999997E-3</v>
      </c>
      <c r="S40" s="539"/>
      <c r="T40" s="540"/>
      <c r="U40" s="522"/>
      <c r="V40" s="528"/>
      <c r="W40" s="524"/>
      <c r="X40" s="512"/>
    </row>
    <row r="41" spans="1:25" s="513" customFormat="1" x14ac:dyDescent="0.3">
      <c r="A41" s="521"/>
      <c r="B41" s="522" t="s">
        <v>13</v>
      </c>
      <c r="C41" s="522"/>
      <c r="D41" s="540">
        <v>9.9624999999999991E-3</v>
      </c>
      <c r="E41" s="522"/>
      <c r="F41" s="540">
        <v>9.9624999999999991E-3</v>
      </c>
      <c r="G41" s="539"/>
      <c r="H41" s="540">
        <v>0</v>
      </c>
      <c r="I41" s="540"/>
      <c r="J41" s="540">
        <v>1.9117499999999999E-2</v>
      </c>
      <c r="K41" s="539"/>
      <c r="L41" s="540">
        <v>1.23625E-2</v>
      </c>
      <c r="M41" s="539"/>
      <c r="N41" s="540">
        <v>6.7000000000000002E-4</v>
      </c>
      <c r="O41" s="539"/>
      <c r="P41" s="540">
        <v>1.67625E-2</v>
      </c>
      <c r="Q41" s="539"/>
      <c r="R41" s="540">
        <v>5.0699999999999999E-3</v>
      </c>
      <c r="S41" s="539"/>
      <c r="T41" s="540"/>
      <c r="U41" s="522"/>
      <c r="V41" s="539" t="s">
        <v>199</v>
      </c>
      <c r="W41" s="524"/>
      <c r="X41" s="512"/>
    </row>
    <row r="42" spans="1:25" s="513" customFormat="1" x14ac:dyDescent="0.3">
      <c r="A42" s="521"/>
      <c r="B42" s="522" t="s">
        <v>296</v>
      </c>
      <c r="C42" s="522"/>
      <c r="D42" s="528" t="s">
        <v>237</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5" s="513" customFormat="1" x14ac:dyDescent="0.3">
      <c r="A43" s="521"/>
      <c r="B43" s="522" t="s">
        <v>297</v>
      </c>
      <c r="C43" s="541"/>
      <c r="D43" s="540">
        <f>+D40</f>
        <v>5.3225E-3</v>
      </c>
      <c r="E43" s="540"/>
      <c r="F43" s="540">
        <f>+F40</f>
        <v>5.3225E-3</v>
      </c>
      <c r="G43" s="540"/>
      <c r="H43" s="540">
        <v>5.2445E-3</v>
      </c>
      <c r="I43" s="540"/>
      <c r="J43" s="540">
        <v>5.4865000000000001E-3</v>
      </c>
      <c r="K43" s="540"/>
      <c r="L43" s="540">
        <f>+L40</f>
        <v>7.7225000000000002E-3</v>
      </c>
      <c r="M43" s="540"/>
      <c r="N43" s="540">
        <v>7.9244999999999993E-3</v>
      </c>
      <c r="O43" s="540"/>
      <c r="P43" s="540">
        <f>+P40</f>
        <v>1.21225E-2</v>
      </c>
      <c r="Q43" s="539"/>
      <c r="R43" s="540">
        <v>1.25945E-2</v>
      </c>
      <c r="S43" s="528"/>
      <c r="T43" s="528"/>
      <c r="U43" s="522"/>
      <c r="V43" s="539">
        <f>SUMPRODUCT(D43:R43,D35:R35)/V35</f>
        <v>6.5735648129287057E-3</v>
      </c>
      <c r="W43" s="524"/>
      <c r="X43" s="512"/>
    </row>
    <row r="44" spans="1:25" s="513" customFormat="1" x14ac:dyDescent="0.3">
      <c r="A44" s="521"/>
      <c r="B44" s="522" t="s">
        <v>298</v>
      </c>
      <c r="C44" s="541"/>
      <c r="D44" s="540">
        <f>+D41</f>
        <v>9.9624999999999991E-3</v>
      </c>
      <c r="E44" s="540"/>
      <c r="F44" s="540">
        <f>+F41</f>
        <v>9.9624999999999991E-3</v>
      </c>
      <c r="G44" s="540"/>
      <c r="H44" s="540">
        <v>9.8844999999999992E-3</v>
      </c>
      <c r="I44" s="540"/>
      <c r="J44" s="540">
        <v>1.01265E-2</v>
      </c>
      <c r="K44" s="540"/>
      <c r="L44" s="540">
        <f>+L41</f>
        <v>1.23625E-2</v>
      </c>
      <c r="M44" s="540"/>
      <c r="N44" s="540">
        <v>1.2564499999999999E-2</v>
      </c>
      <c r="O44" s="540"/>
      <c r="P44" s="540">
        <f>+P41</f>
        <v>1.67625E-2</v>
      </c>
      <c r="Q44" s="539"/>
      <c r="R44" s="540">
        <v>1.72345E-2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5" s="513" customFormat="1" x14ac:dyDescent="0.3">
      <c r="A48" s="521"/>
      <c r="B48" s="522" t="s">
        <v>299</v>
      </c>
      <c r="C48" s="522"/>
      <c r="D48" s="528" t="s">
        <v>237</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0.3679901934451616</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44060</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87</v>
      </c>
      <c r="S57" s="522"/>
      <c r="T57" s="549">
        <v>43879</v>
      </c>
      <c r="U57" s="550"/>
      <c r="V57" s="549">
        <v>43965</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94</v>
      </c>
      <c r="S58" s="522"/>
      <c r="T58" s="549">
        <v>43966</v>
      </c>
      <c r="U58" s="550"/>
      <c r="V58" s="549">
        <v>44059</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44046</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405</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642609</v>
      </c>
      <c r="O68" s="562"/>
      <c r="P68" s="562">
        <v>7992</v>
      </c>
      <c r="Q68" s="562"/>
      <c r="R68" s="562">
        <v>0</v>
      </c>
      <c r="S68" s="562"/>
      <c r="T68" s="562">
        <v>0</v>
      </c>
      <c r="U68" s="562"/>
      <c r="V68" s="563">
        <f>+N68-P68+R68-T68</f>
        <v>634617</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642609</v>
      </c>
      <c r="O71" s="562"/>
      <c r="P71" s="562">
        <f>SUM(P68:P70)</f>
        <v>7992</v>
      </c>
      <c r="Q71" s="562"/>
      <c r="R71" s="562">
        <f>SUM(R68:R70)</f>
        <v>0</v>
      </c>
      <c r="S71" s="562"/>
      <c r="T71" s="562">
        <f>SUM(T68:T70)</f>
        <v>0</v>
      </c>
      <c r="U71" s="562"/>
      <c r="V71" s="562">
        <f>SUM(V68:V70)</f>
        <v>634617</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642609</v>
      </c>
      <c r="O84" s="562"/>
      <c r="P84" s="562"/>
      <c r="Q84" s="562"/>
      <c r="R84" s="562"/>
      <c r="S84" s="562"/>
      <c r="T84" s="562"/>
      <c r="U84" s="562"/>
      <c r="V84" s="562">
        <f>SUM(V71:V83)</f>
        <v>634617</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44043</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7992+21</f>
        <v>8013</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3451+1383-1528-365</f>
        <v>2941</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12+15</f>
        <v>27</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38</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199</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8013</v>
      </c>
      <c r="U96" s="522"/>
      <c r="V96" s="562">
        <f>SUM(V88:V95)</f>
        <v>3205</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8013</v>
      </c>
      <c r="U100" s="522"/>
      <c r="V100" s="562">
        <f>V96+V98+V97+V99</f>
        <v>3205</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-246-76-9</f>
        <v>-331</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v>-573</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f>-72</f>
        <v>-72</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-152</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-42</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-203</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-45</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-9</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-21</v>
      </c>
      <c r="U114" s="522"/>
      <c r="V114" s="563">
        <v>21</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-246</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-226</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-199</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-18</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-1105</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-3669</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-653</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-760</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-761</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-266</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-924</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-181</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-778</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-7992</v>
      </c>
      <c r="U137" s="562"/>
      <c r="V137" s="562">
        <f>SUM(V102:V134)</f>
        <v>-3205</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JULY 2020</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-21</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-21</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21</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634617</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634617</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+'April 20'!S188</f>
        <v>57078</v>
      </c>
      <c r="T186" s="563">
        <f>+'April 20'!T188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4.4527131782945739</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11.479381443298969</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7.73</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8.19758064516129</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7.02</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JULY 2020</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44043</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1.9179999999999999E-2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6.5735648129287057E-3</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1.2606435187071293E-2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4.9874807231146782E-3</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7.95</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1.2436800605033544E-2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6.3E-2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0</v>
      </c>
      <c r="T221" s="577">
        <v>0</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72</v>
      </c>
      <c r="T222" s="579">
        <f>+T274</f>
        <v>11502</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+R296</f>
        <v>0</v>
      </c>
      <c r="T223" s="579">
        <f>+T296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-21</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'April 20'!T228+'July 20'!T227</f>
        <v>8572</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1</v>
      </c>
      <c r="T234" s="579">
        <v>63</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0</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4815</v>
      </c>
      <c r="S241" s="588">
        <f t="shared" ref="S241:S248" si="2">R241/$R$250</f>
        <v>0.99462920884114847</v>
      </c>
      <c r="T241" s="589">
        <f t="shared" ref="T241:T248" si="3">+T253+T265+T287</f>
        <v>630778</v>
      </c>
      <c r="U241" s="588">
        <f t="shared" ref="U241:U248" si="4">T241/$T$250</f>
        <v>0.99395068206493054</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10</v>
      </c>
      <c r="S242" s="593">
        <f t="shared" si="2"/>
        <v>2.0656889072505681E-3</v>
      </c>
      <c r="T242" s="563">
        <f t="shared" si="3"/>
        <v>1410</v>
      </c>
      <c r="U242" s="593">
        <f t="shared" si="4"/>
        <v>2.2218125262953876E-3</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4</v>
      </c>
      <c r="S243" s="593">
        <f t="shared" si="2"/>
        <v>8.262755629002272E-4</v>
      </c>
      <c r="T243" s="563">
        <f t="shared" si="3"/>
        <v>818</v>
      </c>
      <c r="U243" s="593">
        <f t="shared" si="4"/>
        <v>1.2889664159642744E-3</v>
      </c>
      <c r="V243" s="582"/>
      <c r="W243" s="583"/>
      <c r="X243" s="512"/>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3</v>
      </c>
      <c r="S244" s="593">
        <f t="shared" si="2"/>
        <v>6.1970667217517037E-4</v>
      </c>
      <c r="T244" s="563">
        <f t="shared" si="3"/>
        <v>531</v>
      </c>
      <c r="U244" s="593">
        <f t="shared" si="4"/>
        <v>8.3672514288145447E-4</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0</v>
      </c>
      <c r="S245" s="593">
        <f t="shared" si="2"/>
        <v>0</v>
      </c>
      <c r="T245" s="563">
        <f t="shared" si="3"/>
        <v>0</v>
      </c>
      <c r="U245" s="593">
        <f t="shared" si="4"/>
        <v>0</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1</v>
      </c>
      <c r="S246" s="593">
        <f t="shared" si="2"/>
        <v>2.065688907250568E-4</v>
      </c>
      <c r="T246" s="563">
        <f t="shared" si="3"/>
        <v>227</v>
      </c>
      <c r="U246" s="593">
        <f t="shared" si="4"/>
        <v>3.5769605919790993E-4</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7</v>
      </c>
      <c r="S247" s="593">
        <f t="shared" si="2"/>
        <v>1.4459822350753977E-3</v>
      </c>
      <c r="T247" s="563">
        <f t="shared" si="3"/>
        <v>760</v>
      </c>
      <c r="U247" s="593">
        <f t="shared" si="4"/>
        <v>1.1975727092088614E-3</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1</v>
      </c>
      <c r="S248" s="593">
        <f t="shared" si="2"/>
        <v>2.065688907250568E-4</v>
      </c>
      <c r="T248" s="563">
        <f t="shared" si="3"/>
        <v>93</v>
      </c>
      <c r="U248" s="593">
        <f t="shared" si="4"/>
        <v>1.4654508152161068E-4</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4841</v>
      </c>
      <c r="S250" s="593">
        <f>SUM(S241:S249)</f>
        <v>0.99999999999999989</v>
      </c>
      <c r="T250" s="563">
        <f>SUM(T241:T249)</f>
        <v>634617</v>
      </c>
      <c r="U250" s="593">
        <f>SUM(U241:U249)</f>
        <v>1</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4747</v>
      </c>
      <c r="S253" s="595">
        <f t="shared" ref="S253:S260" si="5">R253/$R$262</f>
        <v>0.99538687355839794</v>
      </c>
      <c r="T253" s="596">
        <v>619884</v>
      </c>
      <c r="U253" s="595">
        <f t="shared" ref="U253:U260" si="6">T253/$T$262</f>
        <v>0.99481476132014157</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10</v>
      </c>
      <c r="S254" s="593">
        <f t="shared" si="5"/>
        <v>2.0968756552736424E-3</v>
      </c>
      <c r="T254" s="563">
        <v>1410</v>
      </c>
      <c r="U254" s="593">
        <f t="shared" si="6"/>
        <v>2.2628246792325652E-3</v>
      </c>
      <c r="V254" s="582"/>
      <c r="W254" s="583"/>
      <c r="X254" s="512"/>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4</v>
      </c>
      <c r="S255" s="593">
        <f t="shared" si="5"/>
        <v>8.3875026210945695E-4</v>
      </c>
      <c r="T255" s="563">
        <v>818</v>
      </c>
      <c r="U255" s="593">
        <f t="shared" si="6"/>
        <v>1.3127592819944954E-3</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2</v>
      </c>
      <c r="S256" s="593">
        <f t="shared" si="5"/>
        <v>4.1937513105472847E-4</v>
      </c>
      <c r="T256" s="563">
        <v>356</v>
      </c>
      <c r="U256" s="593">
        <f t="shared" si="6"/>
        <v>5.7132311050127186E-4</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0</v>
      </c>
      <c r="S257" s="593">
        <f t="shared" si="5"/>
        <v>0</v>
      </c>
      <c r="T257" s="563">
        <v>0</v>
      </c>
      <c r="U257" s="593">
        <f t="shared" si="6"/>
        <v>0</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1</v>
      </c>
      <c r="S258" s="593">
        <f t="shared" si="5"/>
        <v>2.0968756552736424E-4</v>
      </c>
      <c r="T258" s="563">
        <v>227</v>
      </c>
      <c r="U258" s="593">
        <f t="shared" si="6"/>
        <v>3.6429872495446266E-4</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5</v>
      </c>
      <c r="S259" s="593">
        <f t="shared" si="5"/>
        <v>1.0484378276368212E-3</v>
      </c>
      <c r="T259" s="563">
        <v>420</v>
      </c>
      <c r="U259" s="593">
        <f t="shared" si="6"/>
        <v>6.740328831756578E-4</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0</v>
      </c>
      <c r="S260" s="593">
        <f t="shared" si="5"/>
        <v>0</v>
      </c>
      <c r="T260" s="563">
        <v>0</v>
      </c>
      <c r="U260" s="593">
        <f t="shared" si="6"/>
        <v>0</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4769</v>
      </c>
      <c r="S262" s="593">
        <f>SUM(S253:S261)</f>
        <v>1</v>
      </c>
      <c r="T262" s="563">
        <f>SUM(T253:T261)</f>
        <v>623115</v>
      </c>
      <c r="U262" s="593">
        <f>SUM(U253:U261)</f>
        <v>1</v>
      </c>
      <c r="V262" s="522"/>
      <c r="W262" s="524"/>
      <c r="X262" s="512"/>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68</v>
      </c>
      <c r="S265" s="595">
        <f t="shared" ref="S265:S272" si="7">R265/$R$274</f>
        <v>0.94444444444444442</v>
      </c>
      <c r="T265" s="596">
        <v>10894</v>
      </c>
      <c r="U265" s="595">
        <f t="shared" ref="U265:U272" si="8">T265/$T$274</f>
        <v>0.94713962789080164</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0</v>
      </c>
      <c r="S267" s="593">
        <f t="shared" si="7"/>
        <v>0</v>
      </c>
      <c r="T267" s="563">
        <v>0</v>
      </c>
      <c r="U267" s="593">
        <f t="shared" si="8"/>
        <v>0</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1</v>
      </c>
      <c r="S268" s="593">
        <f t="shared" si="7"/>
        <v>1.3888888888888888E-2</v>
      </c>
      <c r="T268" s="563">
        <v>175</v>
      </c>
      <c r="U268" s="593">
        <f t="shared" si="8"/>
        <v>1.5214745261693618E-2</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0</v>
      </c>
      <c r="S269" s="593">
        <f t="shared" si="7"/>
        <v>0</v>
      </c>
      <c r="T269" s="563">
        <v>0</v>
      </c>
      <c r="U269" s="593">
        <f t="shared" si="8"/>
        <v>0</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0</v>
      </c>
      <c r="S270" s="593">
        <f t="shared" si="7"/>
        <v>0</v>
      </c>
      <c r="T270" s="563">
        <v>0</v>
      </c>
      <c r="U270" s="593">
        <f t="shared" si="8"/>
        <v>0</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2</v>
      </c>
      <c r="S271" s="593">
        <f t="shared" si="7"/>
        <v>2.7777777777777776E-2</v>
      </c>
      <c r="T271" s="563">
        <v>340</v>
      </c>
      <c r="U271" s="593">
        <f t="shared" si="8"/>
        <v>2.9560076508433317E-2</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1</v>
      </c>
      <c r="S272" s="593">
        <f t="shared" si="7"/>
        <v>1.3888888888888888E-2</v>
      </c>
      <c r="T272" s="563">
        <v>93</v>
      </c>
      <c r="U272" s="593">
        <f t="shared" si="8"/>
        <v>8.0855503390714657E-3</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72</v>
      </c>
      <c r="S274" s="593">
        <f>SUM(S265:S273)</f>
        <v>0.99999999999999989</v>
      </c>
      <c r="T274" s="563">
        <f>SUM(T265:T273)</f>
        <v>11502</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60</v>
      </c>
      <c r="S277" s="593">
        <f>R277/R284</f>
        <v>0.83333333333333337</v>
      </c>
      <c r="T277" s="563">
        <v>9766</v>
      </c>
      <c r="U277" s="593">
        <f>T277/T284</f>
        <v>0.8490697270039993</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5</v>
      </c>
      <c r="S278" s="593">
        <f>R278/R284</f>
        <v>6.9444444444444448E-2</v>
      </c>
      <c r="T278" s="563">
        <v>841</v>
      </c>
      <c r="U278" s="593">
        <f>T278/T284</f>
        <v>7.3117718657624758E-2</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3</v>
      </c>
      <c r="S279" s="593">
        <f>R279/R284</f>
        <v>4.1666666666666664E-2</v>
      </c>
      <c r="T279" s="563">
        <v>326</v>
      </c>
      <c r="U279" s="593">
        <f>T279/T284</f>
        <v>2.8342896887497828E-2</v>
      </c>
      <c r="V279" s="522"/>
      <c r="W279" s="524"/>
      <c r="X279" s="512"/>
    </row>
    <row r="280" spans="1:24" s="513" customFormat="1" x14ac:dyDescent="0.3">
      <c r="A280" s="521"/>
      <c r="B280" s="522" t="s">
        <v>413</v>
      </c>
      <c r="C280" s="522"/>
      <c r="D280" s="522"/>
      <c r="E280" s="522"/>
      <c r="F280" s="522"/>
      <c r="G280" s="522"/>
      <c r="H280" s="594"/>
      <c r="I280" s="594"/>
      <c r="J280" s="594"/>
      <c r="K280" s="594"/>
      <c r="L280" s="594"/>
      <c r="M280" s="594"/>
      <c r="N280" s="594"/>
      <c r="O280" s="594"/>
      <c r="P280" s="594"/>
      <c r="Q280" s="594"/>
      <c r="R280" s="562">
        <v>2</v>
      </c>
      <c r="S280" s="593">
        <f>R280/R284</f>
        <v>2.7777777777777776E-2</v>
      </c>
      <c r="T280" s="563">
        <v>303</v>
      </c>
      <c r="U280" s="593">
        <f>T280/T284</f>
        <v>2.6343244653103809E-2</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2</v>
      </c>
      <c r="S281" s="593">
        <f>R281/R284</f>
        <v>2.7777777777777776E-2</v>
      </c>
      <c r="T281" s="563">
        <v>266</v>
      </c>
      <c r="U281" s="593">
        <f>T281/T284</f>
        <v>2.31264127977743E-2</v>
      </c>
      <c r="V281" s="522"/>
      <c r="W281" s="524"/>
      <c r="X281" s="512"/>
    </row>
    <row r="282" spans="1:24" s="513" customFormat="1" x14ac:dyDescent="0.3">
      <c r="A282" s="521"/>
      <c r="B282" s="424" t="s">
        <v>402</v>
      </c>
      <c r="C282" s="522"/>
      <c r="D282" s="522"/>
      <c r="E282" s="522"/>
      <c r="F282" s="522"/>
      <c r="G282" s="522"/>
      <c r="H282" s="594"/>
      <c r="I282" s="594"/>
      <c r="J282" s="594"/>
      <c r="K282" s="594"/>
      <c r="L282" s="594"/>
      <c r="M282" s="594"/>
      <c r="N282" s="594"/>
      <c r="O282" s="594"/>
      <c r="P282" s="594"/>
      <c r="Q282" s="594"/>
      <c r="R282" s="562">
        <v>0</v>
      </c>
      <c r="S282" s="593">
        <f>R282/R284</f>
        <v>0</v>
      </c>
      <c r="T282" s="563">
        <v>0</v>
      </c>
      <c r="U282" s="593">
        <f>T282/T284</f>
        <v>0</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72</v>
      </c>
      <c r="S284" s="593">
        <f>SUM(S277:S282)</f>
        <v>1</v>
      </c>
      <c r="T284" s="563">
        <f>SUM(T277:T282)</f>
        <v>11502</v>
      </c>
      <c r="U284" s="593">
        <f>SUM(U277:U283)</f>
        <v>0.99999999999999989</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0</v>
      </c>
      <c r="S296" s="593">
        <f>SUM(S287:S295)</f>
        <v>0</v>
      </c>
      <c r="T296" s="563">
        <f>SUM(T287:T294)</f>
        <v>0</v>
      </c>
      <c r="U296" s="593">
        <f>SUM(U287:U295)</f>
        <v>0</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4841</v>
      </c>
      <c r="S298" s="593"/>
      <c r="T298" s="599">
        <f>+T296+T274+T262</f>
        <v>634617</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626" t="s">
        <v>381</v>
      </c>
      <c r="B300" s="627" t="s">
        <v>382</v>
      </c>
      <c r="C300" s="628"/>
      <c r="D300" s="628"/>
      <c r="E300" s="628"/>
      <c r="F300" s="628"/>
      <c r="G300" s="628"/>
      <c r="H300" s="629"/>
      <c r="I300" s="629"/>
      <c r="J300" s="629"/>
      <c r="K300" s="629"/>
      <c r="L300" s="629"/>
      <c r="M300" s="629"/>
      <c r="N300" s="629"/>
      <c r="O300" s="629"/>
      <c r="P300" s="629"/>
      <c r="Q300" s="629"/>
      <c r="R300" s="638" t="s">
        <v>104</v>
      </c>
      <c r="S300" s="639" t="s">
        <v>105</v>
      </c>
      <c r="T300" s="638" t="s">
        <v>113</v>
      </c>
      <c r="U300" s="639" t="s">
        <v>105</v>
      </c>
      <c r="V300" s="627" t="s">
        <v>412</v>
      </c>
      <c r="W300" s="468"/>
      <c r="X300" s="512"/>
    </row>
    <row r="301" spans="1:24" s="513" customFormat="1" x14ac:dyDescent="0.3">
      <c r="A301" s="630"/>
      <c r="B301" s="631" t="s">
        <v>90</v>
      </c>
      <c r="C301" s="632"/>
      <c r="D301" s="632"/>
      <c r="E301" s="632"/>
      <c r="F301" s="632"/>
      <c r="G301" s="632"/>
      <c r="H301" s="633"/>
      <c r="I301" s="633"/>
      <c r="J301" s="633"/>
      <c r="K301" s="633"/>
      <c r="L301" s="633"/>
      <c r="M301" s="633"/>
      <c r="N301" s="633"/>
      <c r="O301" s="633"/>
      <c r="P301" s="633"/>
      <c r="Q301" s="633"/>
      <c r="R301" s="631">
        <v>390</v>
      </c>
      <c r="S301" s="640">
        <f>R301/$R$310</f>
        <v>0.99489795918367352</v>
      </c>
      <c r="T301" s="641">
        <v>59207</v>
      </c>
      <c r="U301" s="640">
        <f>T301/$T$310</f>
        <v>0.99340604026845636</v>
      </c>
      <c r="V301" s="552"/>
      <c r="W301" s="552"/>
      <c r="X301" s="512"/>
    </row>
    <row r="302" spans="1:24" s="513" customFormat="1" x14ac:dyDescent="0.3">
      <c r="A302" s="634"/>
      <c r="B302" s="635" t="s">
        <v>91</v>
      </c>
      <c r="C302" s="636"/>
      <c r="D302" s="636"/>
      <c r="E302" s="636"/>
      <c r="F302" s="636"/>
      <c r="G302" s="636"/>
      <c r="H302" s="637"/>
      <c r="I302" s="637"/>
      <c r="J302" s="637"/>
      <c r="K302" s="637"/>
      <c r="L302" s="637"/>
      <c r="M302" s="637"/>
      <c r="N302" s="637"/>
      <c r="O302" s="637"/>
      <c r="P302" s="637"/>
      <c r="Q302" s="637"/>
      <c r="R302" s="635">
        <v>1</v>
      </c>
      <c r="S302" s="646">
        <f t="shared" ref="S302:S308" si="9">R302/$R$310</f>
        <v>2.5510204081632651E-3</v>
      </c>
      <c r="T302" s="643">
        <v>94</v>
      </c>
      <c r="U302" s="646">
        <f t="shared" ref="U302:U308" si="10">T302/$T$310</f>
        <v>1.5771812080536912E-3</v>
      </c>
      <c r="V302" s="522"/>
      <c r="W302" s="524"/>
      <c r="X302" s="512"/>
    </row>
    <row r="303" spans="1:24" s="513" customFormat="1" x14ac:dyDescent="0.3">
      <c r="A303" s="634"/>
      <c r="B303" s="635" t="s">
        <v>92</v>
      </c>
      <c r="C303" s="636"/>
      <c r="D303" s="636"/>
      <c r="E303" s="636"/>
      <c r="F303" s="636"/>
      <c r="G303" s="636"/>
      <c r="H303" s="637"/>
      <c r="I303" s="637"/>
      <c r="J303" s="637"/>
      <c r="K303" s="637"/>
      <c r="L303" s="637"/>
      <c r="M303" s="637"/>
      <c r="N303" s="637"/>
      <c r="O303" s="637"/>
      <c r="P303" s="637"/>
      <c r="Q303" s="637"/>
      <c r="R303" s="635">
        <v>0</v>
      </c>
      <c r="S303" s="646">
        <f t="shared" si="9"/>
        <v>0</v>
      </c>
      <c r="T303" s="643">
        <v>0</v>
      </c>
      <c r="U303" s="646">
        <f t="shared" si="10"/>
        <v>0</v>
      </c>
      <c r="V303" s="522"/>
      <c r="W303" s="524"/>
      <c r="X303" s="512"/>
    </row>
    <row r="304" spans="1:24" s="513" customFormat="1" x14ac:dyDescent="0.3">
      <c r="A304" s="634"/>
      <c r="B304" s="635" t="s">
        <v>161</v>
      </c>
      <c r="C304" s="636"/>
      <c r="D304" s="636"/>
      <c r="E304" s="636"/>
      <c r="F304" s="636"/>
      <c r="G304" s="636"/>
      <c r="H304" s="637"/>
      <c r="I304" s="637"/>
      <c r="J304" s="637"/>
      <c r="K304" s="637"/>
      <c r="L304" s="637"/>
      <c r="M304" s="637"/>
      <c r="N304" s="637"/>
      <c r="O304" s="637"/>
      <c r="P304" s="637"/>
      <c r="Q304" s="637"/>
      <c r="R304" s="635">
        <v>1</v>
      </c>
      <c r="S304" s="646">
        <f t="shared" si="9"/>
        <v>2.5510204081632651E-3</v>
      </c>
      <c r="T304" s="643">
        <v>299</v>
      </c>
      <c r="U304" s="646">
        <f t="shared" si="10"/>
        <v>5.0167785234899332E-3</v>
      </c>
      <c r="V304" s="522"/>
      <c r="W304" s="524"/>
      <c r="X304" s="512"/>
    </row>
    <row r="305" spans="1:24" s="513" customFormat="1" x14ac:dyDescent="0.3">
      <c r="A305" s="634"/>
      <c r="B305" s="635" t="s">
        <v>162</v>
      </c>
      <c r="C305" s="636"/>
      <c r="D305" s="636"/>
      <c r="E305" s="636"/>
      <c r="F305" s="636"/>
      <c r="G305" s="636"/>
      <c r="H305" s="637"/>
      <c r="I305" s="637"/>
      <c r="J305" s="637"/>
      <c r="K305" s="637"/>
      <c r="L305" s="637"/>
      <c r="M305" s="637"/>
      <c r="N305" s="637"/>
      <c r="O305" s="637"/>
      <c r="P305" s="637"/>
      <c r="Q305" s="637"/>
      <c r="R305" s="635">
        <v>0</v>
      </c>
      <c r="S305" s="646">
        <f t="shared" si="9"/>
        <v>0</v>
      </c>
      <c r="T305" s="643">
        <v>0</v>
      </c>
      <c r="U305" s="646">
        <f t="shared" si="10"/>
        <v>0</v>
      </c>
      <c r="V305" s="522"/>
      <c r="W305" s="524"/>
      <c r="X305" s="512"/>
    </row>
    <row r="306" spans="1:24" s="513" customFormat="1" x14ac:dyDescent="0.3">
      <c r="A306" s="634"/>
      <c r="B306" s="635" t="s">
        <v>163</v>
      </c>
      <c r="C306" s="636"/>
      <c r="D306" s="636"/>
      <c r="E306" s="636"/>
      <c r="F306" s="636"/>
      <c r="G306" s="636"/>
      <c r="H306" s="637"/>
      <c r="I306" s="637"/>
      <c r="J306" s="637"/>
      <c r="K306" s="637"/>
      <c r="L306" s="637"/>
      <c r="M306" s="637"/>
      <c r="N306" s="637"/>
      <c r="O306" s="637"/>
      <c r="P306" s="637"/>
      <c r="Q306" s="637"/>
      <c r="R306" s="635">
        <v>0</v>
      </c>
      <c r="S306" s="646">
        <f t="shared" si="9"/>
        <v>0</v>
      </c>
      <c r="T306" s="643">
        <v>0</v>
      </c>
      <c r="U306" s="646">
        <f t="shared" si="10"/>
        <v>0</v>
      </c>
      <c r="V306" s="522"/>
      <c r="W306" s="524"/>
      <c r="X306" s="512"/>
    </row>
    <row r="307" spans="1:24" s="513" customFormat="1" x14ac:dyDescent="0.3">
      <c r="A307" s="634"/>
      <c r="B307" s="635" t="s">
        <v>164</v>
      </c>
      <c r="C307" s="636"/>
      <c r="D307" s="636"/>
      <c r="E307" s="636"/>
      <c r="F307" s="636"/>
      <c r="G307" s="636"/>
      <c r="H307" s="637"/>
      <c r="I307" s="637"/>
      <c r="J307" s="637"/>
      <c r="K307" s="637"/>
      <c r="L307" s="637"/>
      <c r="M307" s="637"/>
      <c r="N307" s="637"/>
      <c r="O307" s="637"/>
      <c r="P307" s="637"/>
      <c r="Q307" s="637"/>
      <c r="R307" s="635">
        <v>0</v>
      </c>
      <c r="S307" s="646">
        <f t="shared" si="9"/>
        <v>0</v>
      </c>
      <c r="T307" s="643">
        <v>0</v>
      </c>
      <c r="U307" s="646">
        <f t="shared" si="10"/>
        <v>0</v>
      </c>
      <c r="V307" s="522"/>
      <c r="W307" s="524"/>
      <c r="X307" s="512"/>
    </row>
    <row r="308" spans="1:24" s="513" customFormat="1" x14ac:dyDescent="0.3">
      <c r="A308" s="634"/>
      <c r="B308" s="635" t="s">
        <v>165</v>
      </c>
      <c r="C308" s="636"/>
      <c r="D308" s="636"/>
      <c r="E308" s="636"/>
      <c r="F308" s="636"/>
      <c r="G308" s="636"/>
      <c r="H308" s="637"/>
      <c r="I308" s="637"/>
      <c r="J308" s="637"/>
      <c r="K308" s="637"/>
      <c r="L308" s="637"/>
      <c r="M308" s="637"/>
      <c r="N308" s="637"/>
      <c r="O308" s="637"/>
      <c r="P308" s="637"/>
      <c r="Q308" s="637"/>
      <c r="R308" s="655">
        <v>0</v>
      </c>
      <c r="S308" s="640">
        <f t="shared" si="9"/>
        <v>0</v>
      </c>
      <c r="T308" s="656">
        <v>0</v>
      </c>
      <c r="U308" s="640">
        <f t="shared" si="10"/>
        <v>0</v>
      </c>
      <c r="V308" s="657"/>
      <c r="W308" s="524"/>
      <c r="X308" s="512"/>
    </row>
    <row r="309" spans="1:24" s="513" customFormat="1" x14ac:dyDescent="0.3">
      <c r="A309" s="634"/>
      <c r="B309" s="635"/>
      <c r="C309" s="636"/>
      <c r="D309" s="636"/>
      <c r="E309" s="636"/>
      <c r="F309" s="636"/>
      <c r="G309" s="636"/>
      <c r="H309" s="637"/>
      <c r="I309" s="637"/>
      <c r="J309" s="637"/>
      <c r="K309" s="637"/>
      <c r="L309" s="637"/>
      <c r="M309" s="637"/>
      <c r="N309" s="637"/>
      <c r="O309" s="637"/>
      <c r="P309" s="670"/>
      <c r="Q309" s="637"/>
      <c r="R309" s="671"/>
      <c r="S309" s="672"/>
      <c r="T309" s="673"/>
      <c r="U309" s="672"/>
      <c r="V309" s="674"/>
      <c r="W309" s="524"/>
      <c r="X309" s="512"/>
    </row>
    <row r="310" spans="1:24" s="513" customFormat="1" x14ac:dyDescent="0.3">
      <c r="A310" s="634"/>
      <c r="B310" s="636" t="s">
        <v>119</v>
      </c>
      <c r="C310" s="636"/>
      <c r="D310" s="636"/>
      <c r="E310" s="636"/>
      <c r="F310" s="636"/>
      <c r="G310" s="636"/>
      <c r="H310" s="637"/>
      <c r="I310" s="637"/>
      <c r="J310" s="637"/>
      <c r="K310" s="637"/>
      <c r="L310" s="637"/>
      <c r="M310" s="637"/>
      <c r="N310" s="637"/>
      <c r="O310" s="637"/>
      <c r="P310" s="637"/>
      <c r="Q310" s="675"/>
      <c r="R310" s="671">
        <f>SUM(R301:R308)</f>
        <v>392</v>
      </c>
      <c r="S310" s="672">
        <f>SUM(S301:S309)</f>
        <v>1</v>
      </c>
      <c r="T310" s="673">
        <f>SUM(T301:T308)</f>
        <v>59600</v>
      </c>
      <c r="U310" s="672">
        <f>SUM(U301:U309)</f>
        <v>1</v>
      </c>
      <c r="V310" s="674"/>
      <c r="W310" s="524"/>
      <c r="X310" s="512"/>
    </row>
    <row r="311" spans="1:24" s="513" customFormat="1" ht="16.2" thickBot="1" x14ac:dyDescent="0.35">
      <c r="A311" s="634"/>
      <c r="B311" s="636" t="s">
        <v>396</v>
      </c>
      <c r="C311" s="636"/>
      <c r="D311" s="636"/>
      <c r="E311" s="636"/>
      <c r="F311" s="636"/>
      <c r="G311" s="636"/>
      <c r="H311" s="637"/>
      <c r="I311" s="637"/>
      <c r="J311" s="637"/>
      <c r="K311" s="637"/>
      <c r="L311" s="637"/>
      <c r="M311" s="637"/>
      <c r="N311" s="637"/>
      <c r="O311" s="637"/>
      <c r="P311" s="637"/>
      <c r="Q311" s="637"/>
      <c r="R311" s="666"/>
      <c r="S311" s="667">
        <f>R310/R298</f>
        <v>8.0975005164222263E-2</v>
      </c>
      <c r="T311" s="668"/>
      <c r="U311" s="667">
        <f>T310/T298</f>
        <v>9.3914912459010708E-2</v>
      </c>
      <c r="V311" s="552"/>
      <c r="W311" s="524"/>
      <c r="X311" s="512"/>
    </row>
    <row r="312" spans="1:24" s="513" customFormat="1" ht="16.2" thickTop="1" x14ac:dyDescent="0.3">
      <c r="A312" s="634"/>
      <c r="B312" s="636" t="s">
        <v>406</v>
      </c>
      <c r="C312" s="636"/>
      <c r="D312" s="636"/>
      <c r="E312" s="636"/>
      <c r="F312" s="636"/>
      <c r="G312" s="636"/>
      <c r="H312" s="637"/>
      <c r="I312" s="637"/>
      <c r="J312" s="637"/>
      <c r="K312" s="637"/>
      <c r="L312" s="637"/>
      <c r="M312" s="637"/>
      <c r="N312" s="637"/>
      <c r="O312" s="637"/>
      <c r="P312" s="637"/>
      <c r="Q312" s="637"/>
      <c r="R312" s="658">
        <v>67</v>
      </c>
      <c r="S312" s="659">
        <f>R312/R310</f>
        <v>0.17091836734693877</v>
      </c>
      <c r="T312" s="660">
        <v>10072</v>
      </c>
      <c r="U312" s="659">
        <f>T312/T310</f>
        <v>0.16899328859060403</v>
      </c>
      <c r="V312" s="669">
        <v>0.29802599903707272</v>
      </c>
      <c r="W312" s="524"/>
      <c r="X312" s="512"/>
    </row>
    <row r="313" spans="1:24" s="513" customFormat="1" ht="16.2" thickBot="1" x14ac:dyDescent="0.35">
      <c r="A313" s="634"/>
      <c r="B313" s="636" t="s">
        <v>407</v>
      </c>
      <c r="C313" s="636"/>
      <c r="D313" s="636"/>
      <c r="E313" s="636"/>
      <c r="F313" s="636"/>
      <c r="G313" s="636"/>
      <c r="H313" s="637"/>
      <c r="I313" s="637"/>
      <c r="J313" s="637"/>
      <c r="K313" s="637"/>
      <c r="L313" s="637"/>
      <c r="M313" s="637"/>
      <c r="N313" s="637"/>
      <c r="O313" s="637"/>
      <c r="P313" s="637"/>
      <c r="Q313" s="637"/>
      <c r="R313" s="661">
        <v>325</v>
      </c>
      <c r="S313" s="662">
        <f>R313/R310</f>
        <v>0.82908163265306123</v>
      </c>
      <c r="T313" s="663">
        <v>49528</v>
      </c>
      <c r="U313" s="664">
        <f>T313/T310</f>
        <v>0.83100671140939597</v>
      </c>
      <c r="V313" s="665">
        <v>1.6582630272952854</v>
      </c>
      <c r="W313" s="524"/>
      <c r="X313" s="512"/>
    </row>
    <row r="314" spans="1:24" s="513" customFormat="1" ht="16.2" thickTop="1" x14ac:dyDescent="0.3">
      <c r="A314" s="509"/>
      <c r="B314" s="591"/>
      <c r="C314" s="552"/>
      <c r="D314" s="552"/>
      <c r="E314" s="552"/>
      <c r="F314" s="552"/>
      <c r="G314" s="552"/>
      <c r="H314" s="597"/>
      <c r="I314" s="597"/>
      <c r="J314" s="597"/>
      <c r="K314" s="597"/>
      <c r="L314" s="597"/>
      <c r="M314" s="597"/>
      <c r="N314" s="597"/>
      <c r="O314" s="597"/>
      <c r="P314" s="597"/>
      <c r="Q314" s="597"/>
      <c r="R314" s="624"/>
      <c r="S314" s="595"/>
      <c r="T314" s="625"/>
      <c r="U314" s="595"/>
      <c r="V314" s="625"/>
      <c r="W314" s="645"/>
      <c r="X314" s="512"/>
    </row>
    <row r="315" spans="1:24" s="513" customFormat="1" x14ac:dyDescent="0.3">
      <c r="A315" s="509"/>
      <c r="B315" s="510"/>
      <c r="C315" s="510"/>
      <c r="D315" s="510"/>
      <c r="E315" s="510"/>
      <c r="F315" s="510"/>
      <c r="G315" s="510"/>
      <c r="H315" s="600"/>
      <c r="I315" s="600"/>
      <c r="J315" s="600"/>
      <c r="K315" s="600"/>
      <c r="L315" s="600"/>
      <c r="M315" s="600"/>
      <c r="N315" s="600"/>
      <c r="O315" s="600"/>
      <c r="P315" s="600"/>
      <c r="Q315" s="600"/>
      <c r="R315" s="600"/>
      <c r="S315" s="600"/>
      <c r="T315" s="601"/>
      <c r="U315" s="600"/>
      <c r="V315" s="510"/>
      <c r="W315" s="510"/>
      <c r="X315" s="512"/>
    </row>
    <row r="316" spans="1:24" s="513" customFormat="1" x14ac:dyDescent="0.3">
      <c r="A316" s="509"/>
      <c r="B316" s="508" t="s">
        <v>93</v>
      </c>
      <c r="C316" s="510"/>
      <c r="D316" s="510"/>
      <c r="E316" s="510"/>
      <c r="F316" s="516" t="s">
        <v>99</v>
      </c>
      <c r="G316" s="510"/>
      <c r="H316" s="508" t="s">
        <v>101</v>
      </c>
      <c r="I316" s="510"/>
      <c r="J316" s="510"/>
      <c r="K316" s="510"/>
      <c r="L316" s="510"/>
      <c r="M316" s="510"/>
      <c r="N316" s="510"/>
      <c r="O316" s="510"/>
      <c r="P316" s="510"/>
      <c r="Q316" s="510"/>
      <c r="R316" s="510"/>
      <c r="S316" s="510"/>
      <c r="T316" s="510"/>
      <c r="U316" s="510"/>
      <c r="V316" s="510"/>
      <c r="W316" s="510"/>
      <c r="X316" s="512"/>
    </row>
    <row r="317" spans="1:24" s="513" customFormat="1" x14ac:dyDescent="0.3">
      <c r="A317" s="509"/>
      <c r="B317" s="508" t="s">
        <v>327</v>
      </c>
      <c r="C317" s="508"/>
      <c r="D317" s="508"/>
      <c r="E317" s="508"/>
      <c r="F317" s="602" t="s">
        <v>278</v>
      </c>
      <c r="G317" s="508"/>
      <c r="H317" s="402" t="s">
        <v>350</v>
      </c>
      <c r="I317" s="510"/>
      <c r="J317" s="510"/>
      <c r="K317" s="510"/>
      <c r="L317" s="510"/>
      <c r="M317" s="510"/>
      <c r="N317" s="510"/>
      <c r="O317" s="510"/>
      <c r="P317" s="510"/>
      <c r="Q317" s="510"/>
      <c r="R317" s="510"/>
      <c r="S317" s="510"/>
      <c r="T317" s="510"/>
      <c r="U317" s="510"/>
      <c r="V317" s="510"/>
      <c r="W317" s="510"/>
      <c r="X317" s="512"/>
    </row>
    <row r="318" spans="1:24" s="513" customFormat="1" x14ac:dyDescent="0.3">
      <c r="A318" s="509"/>
      <c r="B318" s="508" t="s">
        <v>328</v>
      </c>
      <c r="C318" s="508"/>
      <c r="D318" s="508"/>
      <c r="E318" s="508"/>
      <c r="F318" s="602" t="s">
        <v>152</v>
      </c>
      <c r="G318" s="508"/>
      <c r="H318" s="402" t="s">
        <v>351</v>
      </c>
      <c r="I318" s="510"/>
      <c r="J318" s="510"/>
      <c r="K318" s="510"/>
      <c r="L318" s="510"/>
      <c r="M318" s="510"/>
      <c r="N318" s="510"/>
      <c r="O318" s="510"/>
      <c r="P318" s="510"/>
      <c r="Q318" s="510"/>
      <c r="R318" s="510"/>
      <c r="S318" s="510"/>
      <c r="T318" s="510"/>
      <c r="U318" s="510"/>
      <c r="V318" s="510"/>
      <c r="W318" s="510"/>
      <c r="X318" s="512"/>
    </row>
    <row r="319" spans="1:24" s="513" customFormat="1" x14ac:dyDescent="0.3">
      <c r="A319" s="509"/>
      <c r="B319" s="508"/>
      <c r="C319" s="508"/>
      <c r="D319" s="508"/>
      <c r="E319" s="508"/>
      <c r="F319" s="602"/>
      <c r="G319" s="508"/>
      <c r="H319" s="402"/>
      <c r="I319" s="510"/>
      <c r="J319" s="510"/>
      <c r="K319" s="510"/>
      <c r="L319" s="510"/>
      <c r="M319" s="510"/>
      <c r="N319" s="510"/>
      <c r="O319" s="510"/>
      <c r="P319" s="510"/>
      <c r="Q319" s="510"/>
      <c r="R319" s="510"/>
      <c r="S319" s="510"/>
      <c r="T319" s="510"/>
      <c r="U319" s="510"/>
      <c r="V319" s="510"/>
      <c r="W319" s="510"/>
      <c r="X319" s="512"/>
    </row>
    <row r="320" spans="1:24" s="513" customFormat="1" x14ac:dyDescent="0.3">
      <c r="A320" s="509"/>
      <c r="B320" s="644" t="s">
        <v>391</v>
      </c>
      <c r="C320" s="508"/>
      <c r="D320" s="508"/>
      <c r="E320" s="508"/>
      <c r="F320" s="602"/>
      <c r="G320" s="508"/>
      <c r="H320" s="402"/>
      <c r="I320" s="510"/>
      <c r="J320" s="510"/>
      <c r="K320" s="510"/>
      <c r="L320" s="510"/>
      <c r="M320" s="510"/>
      <c r="N320" s="510"/>
      <c r="O320" s="510"/>
      <c r="P320" s="510"/>
      <c r="Q320" s="510"/>
      <c r="R320" s="510"/>
      <c r="S320" s="510"/>
      <c r="T320" s="510"/>
      <c r="U320" s="510"/>
      <c r="V320" s="510"/>
      <c r="W320" s="510"/>
      <c r="X320" s="512"/>
    </row>
    <row r="321" spans="1:24" s="513" customFormat="1" x14ac:dyDescent="0.3">
      <c r="A321" s="509"/>
      <c r="B321" s="508"/>
      <c r="C321" s="508"/>
      <c r="D321" s="508"/>
      <c r="E321" s="508"/>
      <c r="F321" s="602"/>
      <c r="G321" s="508"/>
      <c r="H321" s="402"/>
      <c r="I321" s="510"/>
      <c r="J321" s="510"/>
      <c r="K321" s="510"/>
      <c r="L321" s="510"/>
      <c r="M321" s="510"/>
      <c r="N321" s="510"/>
      <c r="O321" s="510"/>
      <c r="P321" s="510"/>
      <c r="Q321" s="510"/>
      <c r="R321" s="510"/>
      <c r="S321" s="510"/>
      <c r="T321" s="510"/>
      <c r="U321" s="510"/>
      <c r="V321" s="510"/>
      <c r="W321" s="510"/>
      <c r="X321" s="512"/>
    </row>
    <row r="322" spans="1:24" s="513" customFormat="1" ht="18" x14ac:dyDescent="0.35">
      <c r="A322" s="509"/>
      <c r="B322" s="647" t="s">
        <v>174</v>
      </c>
      <c r="C322" s="508"/>
      <c r="D322" s="508"/>
      <c r="E322" s="508"/>
      <c r="F322" s="602"/>
      <c r="G322" s="508"/>
      <c r="H322" s="402"/>
      <c r="I322" s="510"/>
      <c r="J322" s="510"/>
      <c r="K322" s="510"/>
      <c r="L322" s="552"/>
      <c r="M322" s="552"/>
      <c r="N322" s="552"/>
      <c r="O322" s="552"/>
      <c r="P322" s="648" t="s">
        <v>349</v>
      </c>
      <c r="Q322" s="552"/>
      <c r="R322" s="552"/>
      <c r="S322" s="552"/>
      <c r="T322" s="510"/>
      <c r="U322" s="510"/>
      <c r="V322" s="510"/>
      <c r="W322" s="510"/>
      <c r="X322" s="512"/>
    </row>
    <row r="323" spans="1:24" s="513" customFormat="1" x14ac:dyDescent="0.3">
      <c r="A323" s="509"/>
      <c r="B323" s="508"/>
      <c r="C323" s="508"/>
      <c r="D323" s="508"/>
      <c r="E323" s="508"/>
      <c r="F323" s="602"/>
      <c r="G323" s="508"/>
      <c r="H323" s="402"/>
      <c r="I323" s="510"/>
      <c r="J323" s="510"/>
      <c r="K323" s="510"/>
      <c r="L323" s="510"/>
      <c r="M323" s="510"/>
      <c r="N323" s="510"/>
      <c r="O323" s="510"/>
      <c r="P323" s="510"/>
      <c r="Q323" s="510"/>
      <c r="R323" s="510"/>
      <c r="S323" s="510"/>
      <c r="T323" s="510"/>
      <c r="U323" s="510"/>
      <c r="V323" s="510"/>
      <c r="W323" s="510"/>
      <c r="X323" s="512"/>
    </row>
    <row r="324" spans="1:24" s="513" customFormat="1" x14ac:dyDescent="0.3">
      <c r="A324" s="509"/>
      <c r="B324" s="508"/>
      <c r="C324" s="508"/>
      <c r="D324" s="508"/>
      <c r="E324" s="508"/>
      <c r="F324" s="508"/>
      <c r="G324" s="508"/>
      <c r="H324" s="510"/>
      <c r="I324" s="510"/>
      <c r="J324" s="510"/>
      <c r="K324" s="510"/>
      <c r="L324" s="510"/>
      <c r="M324" s="510"/>
      <c r="N324" s="510"/>
      <c r="O324" s="510"/>
      <c r="P324" s="510"/>
      <c r="Q324" s="510"/>
      <c r="R324" s="510"/>
      <c r="S324" s="510"/>
      <c r="T324" s="510"/>
      <c r="U324" s="510"/>
      <c r="V324" s="510"/>
      <c r="W324" s="510"/>
      <c r="X324" s="512"/>
    </row>
    <row r="325" spans="1:24" s="513" customFormat="1" ht="18.600000000000001" thickBot="1" x14ac:dyDescent="0.4">
      <c r="A325" s="509"/>
      <c r="B325" s="603" t="str">
        <f>B202</f>
        <v>PM12 INVESTOR REPORT QUARTER ENDING JULY 2020</v>
      </c>
      <c r="C325" s="508"/>
      <c r="D325" s="508"/>
      <c r="E325" s="508"/>
      <c r="F325" s="508"/>
      <c r="G325" s="508"/>
      <c r="H325" s="510"/>
      <c r="I325" s="510"/>
      <c r="J325" s="510"/>
      <c r="K325" s="510"/>
      <c r="L325" s="510"/>
      <c r="M325" s="510"/>
      <c r="N325" s="510"/>
      <c r="O325" s="510"/>
      <c r="P325" s="510"/>
      <c r="Q325" s="510"/>
      <c r="R325" s="510"/>
      <c r="S325" s="510"/>
      <c r="T325" s="510"/>
      <c r="U325" s="510"/>
      <c r="V325" s="510"/>
      <c r="W325" s="510"/>
      <c r="X325" s="512"/>
    </row>
    <row r="326" spans="1:24" x14ac:dyDescent="0.3">
      <c r="A326" s="492"/>
      <c r="B326" s="492"/>
      <c r="C326" s="492"/>
      <c r="D326" s="492"/>
      <c r="E326" s="492"/>
      <c r="F326" s="492"/>
      <c r="G326" s="492"/>
      <c r="H326" s="492"/>
      <c r="I326" s="492"/>
      <c r="J326" s="492"/>
      <c r="K326" s="492"/>
      <c r="L326" s="492"/>
      <c r="M326" s="492"/>
      <c r="N326" s="492"/>
      <c r="O326" s="492"/>
      <c r="P326" s="492"/>
      <c r="Q326" s="492"/>
      <c r="R326" s="492"/>
      <c r="S326" s="492"/>
      <c r="T326" s="492"/>
      <c r="U326" s="492"/>
      <c r="V326" s="492"/>
      <c r="W326" s="492"/>
    </row>
    <row r="327" spans="1:24" x14ac:dyDescent="0.3">
      <c r="B327" s="406" t="s">
        <v>384</v>
      </c>
    </row>
    <row r="328" spans="1:24" x14ac:dyDescent="0.3">
      <c r="B328" s="623" t="s">
        <v>378</v>
      </c>
    </row>
    <row r="330" spans="1:24" x14ac:dyDescent="0.3">
      <c r="B330" s="649" t="s">
        <v>385</v>
      </c>
    </row>
    <row r="331" spans="1:24" x14ac:dyDescent="0.3">
      <c r="B331" s="406" t="s">
        <v>386</v>
      </c>
    </row>
    <row r="332" spans="1:24" x14ac:dyDescent="0.3">
      <c r="B332" s="406" t="s">
        <v>387</v>
      </c>
    </row>
    <row r="333" spans="1:24" x14ac:dyDescent="0.3">
      <c r="B333" s="406" t="s">
        <v>388</v>
      </c>
    </row>
    <row r="334" spans="1:24" x14ac:dyDescent="0.3">
      <c r="B334" s="406" t="s">
        <v>389</v>
      </c>
    </row>
    <row r="335" spans="1:24" x14ac:dyDescent="0.3">
      <c r="B335" s="406" t="s">
        <v>392</v>
      </c>
    </row>
    <row r="336" spans="1:24" x14ac:dyDescent="0.3">
      <c r="B336" s="652" t="s">
        <v>390</v>
      </c>
    </row>
    <row r="337" spans="2:2" x14ac:dyDescent="0.3">
      <c r="B337" s="652" t="s">
        <v>403</v>
      </c>
    </row>
    <row r="339" spans="2:2" s="652" customFormat="1" x14ac:dyDescent="0.3">
      <c r="B339" s="654" t="s">
        <v>408</v>
      </c>
    </row>
    <row r="340" spans="2:2" s="652" customFormat="1" x14ac:dyDescent="0.3">
      <c r="B340" s="652" t="s">
        <v>409</v>
      </c>
    </row>
    <row r="341" spans="2:2" s="652" customFormat="1" x14ac:dyDescent="0.3">
      <c r="B341" s="652" t="s">
        <v>410</v>
      </c>
    </row>
    <row r="342" spans="2:2" s="652" customFormat="1" x14ac:dyDescent="0.3">
      <c r="B342" s="652" t="s">
        <v>411</v>
      </c>
    </row>
    <row r="344" spans="2:2" x14ac:dyDescent="0.3">
      <c r="B344" s="649" t="s">
        <v>393</v>
      </c>
    </row>
    <row r="345" spans="2:2" x14ac:dyDescent="0.3">
      <c r="B345" s="406" t="s">
        <v>394</v>
      </c>
    </row>
    <row r="346" spans="2:2" x14ac:dyDescent="0.3">
      <c r="B346" s="406" t="s">
        <v>395</v>
      </c>
    </row>
  </sheetData>
  <hyperlinks>
    <hyperlink ref="I9" r:id="rId1" xr:uid="{6CC79D14-C000-4770-8799-79A9A4494338}"/>
    <hyperlink ref="P238" r:id="rId2" xr:uid="{ED865545-2F3D-494E-98ED-F00D8D781537}"/>
    <hyperlink ref="B328" r:id="rId3" xr:uid="{3FB383E6-1D36-492D-8CC3-C5A8435E306A}"/>
    <hyperlink ref="P322" r:id="rId4" xr:uid="{124FB136-351E-437D-999A-D00AE1FB4B44}"/>
  </hyperlinks>
  <printOptions horizontalCentered="1" verticalCentered="1"/>
  <pageMargins left="0.19685039370078741" right="0.19685039370078741" top="0.27559055118110237" bottom="0.27559055118110237" header="0" footer="0"/>
  <pageSetup scale="37" orientation="landscape" r:id="rId5"/>
  <headerFooter alignWithMargins="0"/>
  <rowBreaks count="3" manualBreakCount="3">
    <brk id="64" max="23" man="1"/>
    <brk id="141" max="14" man="1"/>
    <brk id="202" max="14" man="1"/>
  </rowBreaks>
  <drawing r:id="rId6"/>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36F3B-AEF1-40ED-BBE6-F9CD16A08F3E}">
  <sheetPr>
    <tabColor rgb="FF89CB31"/>
  </sheetPr>
  <dimension ref="A1:AA345"/>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0.67810000000000004</v>
      </c>
      <c r="T16" s="516" t="s">
        <v>145</v>
      </c>
      <c r="U16" s="515">
        <v>0.32190000000000002</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44158</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291311.76234419999</v>
      </c>
      <c r="E32" s="529"/>
      <c r="F32" s="530">
        <f>F31*F38</f>
        <v>51815.025000000001</v>
      </c>
      <c r="G32" s="530"/>
      <c r="H32" s="534">
        <f>H31*H38</f>
        <v>87549.525000000009</v>
      </c>
      <c r="I32" s="534"/>
      <c r="J32" s="533">
        <f>J31*J38</f>
        <v>111133.54860000001</v>
      </c>
      <c r="K32" s="530"/>
      <c r="L32" s="530">
        <f>L31*L38</f>
        <v>21127.77</v>
      </c>
      <c r="M32" s="530"/>
      <c r="N32" s="534">
        <f>N31*N38</f>
        <v>106483.9608</v>
      </c>
      <c r="O32" s="530"/>
      <c r="P32" s="530">
        <f>P31*P38</f>
        <v>14366.883600000001</v>
      </c>
      <c r="Q32" s="530"/>
      <c r="R32" s="534">
        <f>R31*R38</f>
        <v>89581.7448</v>
      </c>
      <c r="S32" s="530"/>
      <c r="T32" s="530"/>
      <c r="U32" s="529"/>
      <c r="V32" s="530"/>
      <c r="W32" s="531"/>
      <c r="X32" s="512"/>
    </row>
    <row r="33" spans="1:25" s="513" customFormat="1" x14ac:dyDescent="0.3">
      <c r="A33" s="521"/>
      <c r="B33" s="527" t="s">
        <v>139</v>
      </c>
      <c r="C33" s="529"/>
      <c r="D33" s="619">
        <f>D34*D37</f>
        <v>286053.36812910001</v>
      </c>
      <c r="E33" s="532"/>
      <c r="F33" s="535">
        <f>F37*F31</f>
        <v>50879.745999999999</v>
      </c>
      <c r="G33" s="535"/>
      <c r="H33" s="537">
        <f>H31*H37</f>
        <v>85969.225999999995</v>
      </c>
      <c r="I33" s="537"/>
      <c r="J33" s="536">
        <f>J37*J31</f>
        <v>109127.50529999999</v>
      </c>
      <c r="K33" s="535"/>
      <c r="L33" s="535">
        <f>L37*L31</f>
        <v>20746.400000000001</v>
      </c>
      <c r="M33" s="535"/>
      <c r="N33" s="537">
        <f>N37*N31</f>
        <v>104561.856</v>
      </c>
      <c r="O33" s="535"/>
      <c r="P33" s="535">
        <f>P37*P31</f>
        <v>14107.552000000001</v>
      </c>
      <c r="Q33" s="535"/>
      <c r="R33" s="537">
        <f>R37*R31</f>
        <v>87964.736000000004</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291311.76234419999</v>
      </c>
      <c r="E35" s="529"/>
      <c r="F35" s="530">
        <f>F34*F38</f>
        <v>51815.025000000001</v>
      </c>
      <c r="G35" s="530"/>
      <c r="H35" s="530">
        <f>H34*H38</f>
        <v>60379.155270000003</v>
      </c>
      <c r="I35" s="530"/>
      <c r="J35" s="530">
        <f>J34*J38</f>
        <v>60398.760937200001</v>
      </c>
      <c r="K35" s="530"/>
      <c r="L35" s="530">
        <f>L34*L38</f>
        <v>21127.77</v>
      </c>
      <c r="M35" s="530"/>
      <c r="N35" s="530">
        <f>N34*N38</f>
        <v>73437.59318760001</v>
      </c>
      <c r="O35" s="530"/>
      <c r="P35" s="530">
        <f>P34*P38</f>
        <v>14366.883600000001</v>
      </c>
      <c r="Q35" s="530"/>
      <c r="R35" s="530">
        <f>R34*R38</f>
        <v>61780.134812400007</v>
      </c>
      <c r="S35" s="530"/>
      <c r="T35" s="530"/>
      <c r="U35" s="529"/>
      <c r="V35" s="530">
        <f>SUM(C35:R35)</f>
        <v>634617.08515139995</v>
      </c>
      <c r="W35" s="531"/>
      <c r="X35" s="512"/>
    </row>
    <row r="36" spans="1:25" s="513" customFormat="1" x14ac:dyDescent="0.3">
      <c r="A36" s="525"/>
      <c r="B36" s="527" t="s">
        <v>295</v>
      </c>
      <c r="C36" s="532"/>
      <c r="D36" s="535">
        <f>D34*D37</f>
        <v>286053.36812910001</v>
      </c>
      <c r="E36" s="532"/>
      <c r="F36" s="535">
        <f>F34*F37</f>
        <v>50879.745999999999</v>
      </c>
      <c r="G36" s="535"/>
      <c r="H36" s="535">
        <f>H34*H37</f>
        <v>59289.2907768</v>
      </c>
      <c r="I36" s="535"/>
      <c r="J36" s="535">
        <f>J34*J37</f>
        <v>59308.518330599996</v>
      </c>
      <c r="K36" s="535"/>
      <c r="L36" s="535">
        <f>L34*L37</f>
        <v>20746.400000000001</v>
      </c>
      <c r="M36" s="535"/>
      <c r="N36" s="535">
        <f>N34*N37</f>
        <v>72111.996832000004</v>
      </c>
      <c r="O36" s="535"/>
      <c r="P36" s="535">
        <f>P34*P37</f>
        <v>14107.552000000001</v>
      </c>
      <c r="Q36" s="535"/>
      <c r="R36" s="535">
        <f>R34*R37</f>
        <v>60664.963168000002</v>
      </c>
      <c r="S36" s="538"/>
      <c r="T36" s="538"/>
      <c r="U36" s="529"/>
      <c r="V36" s="535">
        <f>SUM(C36:R36)</f>
        <v>623161.83523650002</v>
      </c>
      <c r="W36" s="531"/>
      <c r="X36" s="512"/>
      <c r="Y36" s="621"/>
    </row>
    <row r="37" spans="1:25" x14ac:dyDescent="0.3">
      <c r="A37" s="420"/>
      <c r="B37" s="493" t="s">
        <v>135</v>
      </c>
      <c r="C37" s="494"/>
      <c r="D37" s="495">
        <v>0.35089229999999999</v>
      </c>
      <c r="E37" s="496"/>
      <c r="F37" s="495">
        <v>0.35089480000000001</v>
      </c>
      <c r="G37" s="495"/>
      <c r="H37" s="495">
        <v>0.35089480000000001</v>
      </c>
      <c r="I37" s="495"/>
      <c r="J37" s="495">
        <v>0.35089229999999999</v>
      </c>
      <c r="K37" s="495"/>
      <c r="L37" s="495">
        <v>0.82985600000000004</v>
      </c>
      <c r="M37" s="495"/>
      <c r="N37" s="495">
        <v>0.82985600000000004</v>
      </c>
      <c r="O37" s="495"/>
      <c r="P37" s="495">
        <v>0.82985600000000004</v>
      </c>
      <c r="Q37" s="495"/>
      <c r="R37" s="495">
        <v>0.82985600000000004</v>
      </c>
      <c r="S37" s="425"/>
      <c r="T37" s="425"/>
      <c r="U37" s="424"/>
      <c r="V37" s="424"/>
      <c r="W37" s="426"/>
      <c r="X37" s="405"/>
    </row>
    <row r="38" spans="1:25" x14ac:dyDescent="0.3">
      <c r="A38" s="420"/>
      <c r="B38" s="493" t="s">
        <v>136</v>
      </c>
      <c r="C38" s="494"/>
      <c r="D38" s="495">
        <v>0.35734260000000001</v>
      </c>
      <c r="E38" s="496"/>
      <c r="F38" s="495">
        <v>0.35734500000000002</v>
      </c>
      <c r="G38" s="495"/>
      <c r="H38" s="495">
        <v>0.35734500000000002</v>
      </c>
      <c r="I38" s="495"/>
      <c r="J38" s="495">
        <v>0.35734260000000001</v>
      </c>
      <c r="K38" s="495"/>
      <c r="L38" s="495">
        <v>0.84511080000000005</v>
      </c>
      <c r="M38" s="495"/>
      <c r="N38" s="495">
        <v>0.84511080000000005</v>
      </c>
      <c r="O38" s="495"/>
      <c r="P38" s="495">
        <v>0.84511080000000005</v>
      </c>
      <c r="Q38" s="495"/>
      <c r="R38" s="495">
        <v>0.84511080000000005</v>
      </c>
      <c r="S38" s="427"/>
      <c r="T38" s="428"/>
      <c r="U38" s="424"/>
      <c r="V38" s="427"/>
      <c r="W38" s="426"/>
      <c r="X38" s="405"/>
    </row>
    <row r="39" spans="1:25"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5" s="513" customFormat="1" x14ac:dyDescent="0.3">
      <c r="A40" s="521"/>
      <c r="B40" s="522" t="s">
        <v>12</v>
      </c>
      <c r="C40" s="522"/>
      <c r="D40" s="540">
        <v>3.1338E-3</v>
      </c>
      <c r="E40" s="522"/>
      <c r="F40" s="540">
        <v>3.1338E-3</v>
      </c>
      <c r="G40" s="539"/>
      <c r="H40" s="540">
        <v>0</v>
      </c>
      <c r="I40" s="540"/>
      <c r="J40" s="540">
        <v>5.0013000000000002E-3</v>
      </c>
      <c r="K40" s="539"/>
      <c r="L40" s="540">
        <v>5.5338000000000002E-3</v>
      </c>
      <c r="M40" s="539"/>
      <c r="N40" s="540">
        <v>0</v>
      </c>
      <c r="O40" s="539"/>
      <c r="P40" s="540">
        <v>9.9337999999999996E-3</v>
      </c>
      <c r="Q40" s="539"/>
      <c r="R40" s="540">
        <v>4.3899999999999998E-3</v>
      </c>
      <c r="S40" s="539"/>
      <c r="T40" s="540"/>
      <c r="U40" s="522"/>
      <c r="V40" s="528"/>
      <c r="W40" s="524"/>
      <c r="X40" s="512"/>
    </row>
    <row r="41" spans="1:25" s="513" customFormat="1" x14ac:dyDescent="0.3">
      <c r="A41" s="521"/>
      <c r="B41" s="522" t="s">
        <v>13</v>
      </c>
      <c r="C41" s="522"/>
      <c r="D41" s="540">
        <v>5.3225E-3</v>
      </c>
      <c r="E41" s="522"/>
      <c r="F41" s="540">
        <v>5.3225E-3</v>
      </c>
      <c r="G41" s="539"/>
      <c r="H41" s="540">
        <v>0</v>
      </c>
      <c r="I41" s="540"/>
      <c r="J41" s="540">
        <v>6.1238000000000004E-3</v>
      </c>
      <c r="K41" s="539"/>
      <c r="L41" s="540">
        <v>7.7225000000000002E-3</v>
      </c>
      <c r="M41" s="539"/>
      <c r="N41" s="540">
        <v>2.2699999999999999E-3</v>
      </c>
      <c r="O41" s="539"/>
      <c r="P41" s="540">
        <v>1.21225E-2</v>
      </c>
      <c r="Q41" s="539"/>
      <c r="R41" s="540">
        <v>6.6699999999999997E-3</v>
      </c>
      <c r="S41" s="539"/>
      <c r="T41" s="540"/>
      <c r="U41" s="522"/>
      <c r="V41" s="539" t="s">
        <v>199</v>
      </c>
      <c r="W41" s="524"/>
      <c r="X41" s="512"/>
    </row>
    <row r="42" spans="1:25" s="513" customFormat="1" x14ac:dyDescent="0.3">
      <c r="A42" s="521"/>
      <c r="B42" s="522" t="s">
        <v>296</v>
      </c>
      <c r="C42" s="522"/>
      <c r="D42" s="528" t="s">
        <v>237</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5" s="513" customFormat="1" x14ac:dyDescent="0.3">
      <c r="A43" s="521"/>
      <c r="B43" s="522" t="s">
        <v>297</v>
      </c>
      <c r="C43" s="541"/>
      <c r="D43" s="540">
        <f>+D40</f>
        <v>3.1338E-3</v>
      </c>
      <c r="E43" s="540"/>
      <c r="F43" s="540">
        <f>+F40</f>
        <v>3.1338E-3</v>
      </c>
      <c r="G43" s="540"/>
      <c r="H43" s="540">
        <v>3.0558E-3</v>
      </c>
      <c r="I43" s="540"/>
      <c r="J43" s="540">
        <v>3.2978E-3</v>
      </c>
      <c r="K43" s="540"/>
      <c r="L43" s="540">
        <f>+L40</f>
        <v>5.5338000000000002E-3</v>
      </c>
      <c r="M43" s="540"/>
      <c r="N43" s="540">
        <v>5.7358000000000001E-3</v>
      </c>
      <c r="O43" s="540"/>
      <c r="P43" s="540">
        <f>+P40</f>
        <v>9.9337999999999996E-3</v>
      </c>
      <c r="Q43" s="539"/>
      <c r="R43" s="540">
        <v>1.04058E-2</v>
      </c>
      <c r="S43" s="528"/>
      <c r="T43" s="528"/>
      <c r="U43" s="522"/>
      <c r="V43" s="539">
        <f>SUMPRODUCT(D43:R43,D35:R35)/V35</f>
        <v>4.3848647058976325E-3</v>
      </c>
      <c r="W43" s="524"/>
      <c r="X43" s="512"/>
    </row>
    <row r="44" spans="1:25" s="513" customFormat="1" x14ac:dyDescent="0.3">
      <c r="A44" s="521"/>
      <c r="B44" s="522" t="s">
        <v>298</v>
      </c>
      <c r="C44" s="541"/>
      <c r="D44" s="540">
        <f>+D41</f>
        <v>5.3225E-3</v>
      </c>
      <c r="E44" s="540"/>
      <c r="F44" s="540">
        <f>+F41</f>
        <v>5.3225E-3</v>
      </c>
      <c r="G44" s="540"/>
      <c r="H44" s="540">
        <v>5.2445E-3</v>
      </c>
      <c r="I44" s="540"/>
      <c r="J44" s="540">
        <v>5.4865000000000001E-3</v>
      </c>
      <c r="K44" s="540"/>
      <c r="L44" s="540">
        <f>+L41</f>
        <v>7.7225000000000002E-3</v>
      </c>
      <c r="M44" s="540"/>
      <c r="N44" s="540">
        <v>7.9244999999999993E-3</v>
      </c>
      <c r="O44" s="540"/>
      <c r="P44" s="540">
        <f>+P41</f>
        <v>1.21225E-2</v>
      </c>
      <c r="Q44" s="539"/>
      <c r="R44" s="540">
        <v>1.25945E-2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5" s="513" customFormat="1" x14ac:dyDescent="0.3">
      <c r="A48" s="521"/>
      <c r="B48" s="522" t="s">
        <v>299</v>
      </c>
      <c r="C48" s="522"/>
      <c r="D48" s="528" t="s">
        <v>237</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0.36799019221132068</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44151</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94</v>
      </c>
      <c r="S57" s="522"/>
      <c r="T57" s="549">
        <v>43966</v>
      </c>
      <c r="U57" s="550"/>
      <c r="V57" s="549">
        <v>44059</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91</v>
      </c>
      <c r="S58" s="522"/>
      <c r="T58" s="549">
        <v>44060</v>
      </c>
      <c r="U58" s="550"/>
      <c r="V58" s="549">
        <v>44150</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44137</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414</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634617</v>
      </c>
      <c r="O68" s="562"/>
      <c r="P68" s="562">
        <v>11455</v>
      </c>
      <c r="Q68" s="562"/>
      <c r="R68" s="562">
        <v>0</v>
      </c>
      <c r="S68" s="562"/>
      <c r="T68" s="562">
        <v>0</v>
      </c>
      <c r="U68" s="562"/>
      <c r="V68" s="563">
        <f>+N68-P68+R68-T68</f>
        <v>623162</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634617</v>
      </c>
      <c r="O71" s="562"/>
      <c r="P71" s="562">
        <f>SUM(P68:P70)</f>
        <v>11455</v>
      </c>
      <c r="Q71" s="562"/>
      <c r="R71" s="562">
        <f>SUM(R68:R70)</f>
        <v>0</v>
      </c>
      <c r="S71" s="562"/>
      <c r="T71" s="562">
        <f>SUM(T68:T70)</f>
        <v>0</v>
      </c>
      <c r="U71" s="562"/>
      <c r="V71" s="562">
        <f>SUM(V68:V70)</f>
        <v>623162</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634617</v>
      </c>
      <c r="O84" s="562"/>
      <c r="P84" s="562"/>
      <c r="Q84" s="562"/>
      <c r="R84" s="562"/>
      <c r="S84" s="562"/>
      <c r="T84" s="562"/>
      <c r="U84" s="562"/>
      <c r="V84" s="562">
        <f>SUM(V71:V83)</f>
        <v>623162</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44134</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11455-59</f>
        <v>11396</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2537+1555-683-551</f>
        <v>2858</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44+24</f>
        <v>68</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21</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244</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11396</v>
      </c>
      <c r="U96" s="522"/>
      <c r="V96" s="562">
        <f>SUM(V88:V95)</f>
        <v>3191</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11396</v>
      </c>
      <c r="U100" s="522"/>
      <c r="V100" s="562">
        <f>V96+V98+V97+V99</f>
        <v>3191</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-244-66-8</f>
        <v>-318</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v>-324</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f>-40</f>
        <v>-40</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-105</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-29</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-160</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-36</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-9</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59</v>
      </c>
      <c r="U114" s="522"/>
      <c r="V114" s="563">
        <v>-59</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-243</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-208</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-244</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-18</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-1393</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-5258</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-935</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-1090</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-1090</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-381</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-1326</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-259</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-1116</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-11455</v>
      </c>
      <c r="U137" s="562"/>
      <c r="V137" s="562">
        <f>SUM(V102:V134)</f>
        <v>-3191</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OCTOBER 2020</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59</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59</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-59</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623162</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623162</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+'July 20'!S188</f>
        <v>57078</v>
      </c>
      <c r="T186" s="563">
        <f>+'July 20'!T188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7.8873626373626378</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2.0099999999999998</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18.708955223880597</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7.78</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12.107142857142858</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7.06</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OCTOBER 2020</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44134</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1.806E-2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4.3848647058976325E-3</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1.3675135294102367E-2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5.0282296251124691E-3</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7.74</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1.8050257084194089E-2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6.3100000000000003E-2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0</v>
      </c>
      <c r="T221" s="577">
        <v>0</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70</v>
      </c>
      <c r="T222" s="579">
        <f>+T274</f>
        <v>11269</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+R296</f>
        <v>0</v>
      </c>
      <c r="T223" s="579">
        <f>+T296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59</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'July 20'!T228+'Oct 20'!T227</f>
        <v>8631</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2</v>
      </c>
      <c r="T234" s="579">
        <v>200</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0</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4726</v>
      </c>
      <c r="S241" s="588">
        <f t="shared" ref="S241:S248" si="2">R241/$R$250</f>
        <v>0.99515687513160667</v>
      </c>
      <c r="T241" s="589">
        <f t="shared" ref="T241:T248" si="3">+T253+T265+T287</f>
        <v>619344</v>
      </c>
      <c r="U241" s="588">
        <f t="shared" ref="U241:U248" si="4">T241/$T$250</f>
        <v>0.99387318225437371</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8</v>
      </c>
      <c r="S242" s="593">
        <f t="shared" si="2"/>
        <v>1.6845651716150768E-3</v>
      </c>
      <c r="T242" s="563">
        <f t="shared" si="3"/>
        <v>1565</v>
      </c>
      <c r="U242" s="593">
        <f t="shared" si="4"/>
        <v>2.5113854824267206E-3</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9</v>
      </c>
      <c r="S243" s="593">
        <f t="shared" si="2"/>
        <v>1.8951358180669614E-3</v>
      </c>
      <c r="T243" s="563">
        <f t="shared" si="3"/>
        <v>1035</v>
      </c>
      <c r="U243" s="593">
        <f t="shared" si="4"/>
        <v>1.6608843286336457E-3</v>
      </c>
      <c r="V243" s="582"/>
      <c r="W243" s="583"/>
      <c r="X243" s="512"/>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2</v>
      </c>
      <c r="S244" s="593">
        <f t="shared" si="2"/>
        <v>4.211412929037692E-4</v>
      </c>
      <c r="T244" s="563">
        <f t="shared" si="3"/>
        <v>412</v>
      </c>
      <c r="U244" s="593">
        <f t="shared" si="4"/>
        <v>6.6114429313725808E-4</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1</v>
      </c>
      <c r="S245" s="593">
        <f t="shared" si="2"/>
        <v>2.105706464518846E-4</v>
      </c>
      <c r="T245" s="563">
        <f t="shared" si="3"/>
        <v>299</v>
      </c>
      <c r="U245" s="593">
        <f t="shared" si="4"/>
        <v>4.7981102827194215E-4</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0</v>
      </c>
      <c r="S246" s="593">
        <f t="shared" si="2"/>
        <v>0</v>
      </c>
      <c r="T246" s="563">
        <f t="shared" si="3"/>
        <v>0</v>
      </c>
      <c r="U246" s="593">
        <f t="shared" si="4"/>
        <v>0</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2</v>
      </c>
      <c r="S247" s="593">
        <f t="shared" si="2"/>
        <v>4.211412929037692E-4</v>
      </c>
      <c r="T247" s="563">
        <f t="shared" si="3"/>
        <v>414</v>
      </c>
      <c r="U247" s="593">
        <f t="shared" si="4"/>
        <v>6.6435373145345836E-4</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1</v>
      </c>
      <c r="S248" s="593">
        <f t="shared" si="2"/>
        <v>2.105706464518846E-4</v>
      </c>
      <c r="T248" s="563">
        <f t="shared" si="3"/>
        <v>93</v>
      </c>
      <c r="U248" s="593">
        <f t="shared" si="4"/>
        <v>1.4923888170331311E-4</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4749</v>
      </c>
      <c r="S250" s="593">
        <f>SUM(S241:S249)</f>
        <v>1</v>
      </c>
      <c r="T250" s="563">
        <f>SUM(T241:T249)</f>
        <v>623162</v>
      </c>
      <c r="U250" s="593">
        <f>SUM(U241:U249)</f>
        <v>1</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4660</v>
      </c>
      <c r="S253" s="595">
        <f t="shared" ref="S253:S260" si="5">R253/$R$262</f>
        <v>0.99593930326992952</v>
      </c>
      <c r="T253" s="596">
        <v>608683</v>
      </c>
      <c r="U253" s="595">
        <f t="shared" ref="U253:U260" si="6">T253/$T$262</f>
        <v>0.9947539847653103</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7</v>
      </c>
      <c r="S254" s="593">
        <f t="shared" si="5"/>
        <v>1.4960461637101945E-3</v>
      </c>
      <c r="T254" s="563">
        <v>1390</v>
      </c>
      <c r="U254" s="593">
        <f t="shared" si="6"/>
        <v>2.2716389957067656E-3</v>
      </c>
      <c r="V254" s="582"/>
      <c r="W254" s="583"/>
      <c r="X254" s="512"/>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9</v>
      </c>
      <c r="S255" s="593">
        <f t="shared" si="5"/>
        <v>1.9234879247702502E-3</v>
      </c>
      <c r="T255" s="563">
        <v>1035</v>
      </c>
      <c r="U255" s="593">
        <f t="shared" si="6"/>
        <v>1.6914722018392103E-3</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1</v>
      </c>
      <c r="S256" s="593">
        <f t="shared" si="5"/>
        <v>2.1372088053002778E-4</v>
      </c>
      <c r="T256" s="563">
        <v>259</v>
      </c>
      <c r="U256" s="593">
        <f t="shared" si="6"/>
        <v>4.2327661862449808E-4</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1</v>
      </c>
      <c r="S257" s="593">
        <f t="shared" si="5"/>
        <v>2.1372088053002778E-4</v>
      </c>
      <c r="T257" s="563">
        <v>299</v>
      </c>
      <c r="U257" s="593">
        <f t="shared" si="6"/>
        <v>4.8864752497577188E-4</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0</v>
      </c>
      <c r="S258" s="593">
        <f t="shared" si="5"/>
        <v>0</v>
      </c>
      <c r="T258" s="563">
        <v>0</v>
      </c>
      <c r="U258" s="593">
        <f t="shared" si="6"/>
        <v>0</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1</v>
      </c>
      <c r="S259" s="593">
        <f t="shared" si="5"/>
        <v>2.1372088053002778E-4</v>
      </c>
      <c r="T259" s="563">
        <v>227</v>
      </c>
      <c r="U259" s="593">
        <f t="shared" si="6"/>
        <v>3.7097989354347902E-4</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0</v>
      </c>
      <c r="S260" s="593">
        <f t="shared" si="5"/>
        <v>0</v>
      </c>
      <c r="T260" s="563">
        <v>0</v>
      </c>
      <c r="U260" s="593">
        <f t="shared" si="6"/>
        <v>0</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4679</v>
      </c>
      <c r="S262" s="593">
        <f>SUM(S253:S261)</f>
        <v>1.0000000000000002</v>
      </c>
      <c r="T262" s="563">
        <f>SUM(T253:T261)</f>
        <v>611893</v>
      </c>
      <c r="U262" s="593">
        <f>SUM(U253:U261)</f>
        <v>1</v>
      </c>
      <c r="V262" s="522"/>
      <c r="W262" s="524"/>
      <c r="X262" s="512"/>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66</v>
      </c>
      <c r="S265" s="595">
        <f t="shared" ref="S265:S272" si="7">R265/$R$274</f>
        <v>0.94285714285714284</v>
      </c>
      <c r="T265" s="596">
        <v>10661</v>
      </c>
      <c r="U265" s="595">
        <f t="shared" ref="U265:U272" si="8">T265/$T$274</f>
        <v>0.94604667672375542</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1</v>
      </c>
      <c r="S266" s="593">
        <f t="shared" si="7"/>
        <v>1.4285714285714285E-2</v>
      </c>
      <c r="T266" s="563">
        <v>175</v>
      </c>
      <c r="U266" s="593">
        <f t="shared" si="8"/>
        <v>1.5529328245629604E-2</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0</v>
      </c>
      <c r="S267" s="593">
        <f t="shared" si="7"/>
        <v>0</v>
      </c>
      <c r="T267" s="563">
        <v>0</v>
      </c>
      <c r="U267" s="593">
        <f t="shared" si="8"/>
        <v>0</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1</v>
      </c>
      <c r="S268" s="593">
        <f t="shared" si="7"/>
        <v>1.4285714285714285E-2</v>
      </c>
      <c r="T268" s="563">
        <v>153</v>
      </c>
      <c r="U268" s="593">
        <f t="shared" si="8"/>
        <v>1.3577069837607597E-2</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0</v>
      </c>
      <c r="S269" s="593">
        <f t="shared" si="7"/>
        <v>0</v>
      </c>
      <c r="T269" s="563">
        <v>0</v>
      </c>
      <c r="U269" s="593">
        <f t="shared" si="8"/>
        <v>0</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0</v>
      </c>
      <c r="S270" s="593">
        <f t="shared" si="7"/>
        <v>0</v>
      </c>
      <c r="T270" s="563">
        <v>0</v>
      </c>
      <c r="U270" s="593">
        <f t="shared" si="8"/>
        <v>0</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1</v>
      </c>
      <c r="S271" s="593">
        <f t="shared" si="7"/>
        <v>1.4285714285714285E-2</v>
      </c>
      <c r="T271" s="563">
        <v>187</v>
      </c>
      <c r="U271" s="593">
        <f t="shared" si="8"/>
        <v>1.6594196468187061E-2</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1</v>
      </c>
      <c r="S272" s="593">
        <f t="shared" si="7"/>
        <v>1.4285714285714285E-2</v>
      </c>
      <c r="T272" s="563">
        <v>93</v>
      </c>
      <c r="U272" s="593">
        <f t="shared" si="8"/>
        <v>8.2527287248203036E-3</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70</v>
      </c>
      <c r="S274" s="593">
        <f>SUM(S265:S273)</f>
        <v>0.99999999999999978</v>
      </c>
      <c r="T274" s="563">
        <f>SUM(T265:T273)</f>
        <v>11269</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64</v>
      </c>
      <c r="S277" s="593">
        <f>R277/R284</f>
        <v>0.91428571428571426</v>
      </c>
      <c r="T277" s="563">
        <v>10328</v>
      </c>
      <c r="U277" s="593">
        <f>T277/T284</f>
        <v>0.91649658354778596</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1</v>
      </c>
      <c r="S278" s="593">
        <f>R278/R284</f>
        <v>1.4285714285714285E-2</v>
      </c>
      <c r="T278" s="563">
        <v>246</v>
      </c>
      <c r="U278" s="593">
        <f>T278/T284</f>
        <v>2.18297985624279E-2</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2</v>
      </c>
      <c r="S279" s="593">
        <f>R279/R284</f>
        <v>2.8571428571428571E-2</v>
      </c>
      <c r="T279" s="563">
        <v>336</v>
      </c>
      <c r="U279" s="593">
        <f>T279/T284</f>
        <v>2.9816310231608838E-2</v>
      </c>
      <c r="V279" s="522"/>
      <c r="W279" s="524"/>
      <c r="X279" s="512"/>
    </row>
    <row r="280" spans="1:24" s="513" customFormat="1" x14ac:dyDescent="0.3">
      <c r="A280" s="521"/>
      <c r="B280" s="522" t="s">
        <v>413</v>
      </c>
      <c r="C280" s="522"/>
      <c r="D280" s="522"/>
      <c r="E280" s="522"/>
      <c r="F280" s="522"/>
      <c r="G280" s="522"/>
      <c r="H280" s="594"/>
      <c r="I280" s="594"/>
      <c r="J280" s="594"/>
      <c r="K280" s="594"/>
      <c r="L280" s="594"/>
      <c r="M280" s="594"/>
      <c r="N280" s="594"/>
      <c r="O280" s="594"/>
      <c r="P280" s="594"/>
      <c r="Q280" s="594"/>
      <c r="R280" s="562">
        <v>0</v>
      </c>
      <c r="S280" s="593">
        <f>R280/R284</f>
        <v>0</v>
      </c>
      <c r="T280" s="563">
        <v>0</v>
      </c>
      <c r="U280" s="593">
        <f>T280/T284</f>
        <v>0</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3</v>
      </c>
      <c r="S281" s="593">
        <f>R281/R284</f>
        <v>4.2857142857142858E-2</v>
      </c>
      <c r="T281" s="563">
        <v>359</v>
      </c>
      <c r="U281" s="593">
        <f>T281/T284</f>
        <v>3.1857307658177299E-2</v>
      </c>
      <c r="V281" s="522"/>
      <c r="W281" s="524"/>
      <c r="X281" s="512"/>
    </row>
    <row r="282" spans="1:24" s="513" customFormat="1" x14ac:dyDescent="0.3">
      <c r="A282" s="521"/>
      <c r="B282" s="424" t="s">
        <v>402</v>
      </c>
      <c r="C282" s="522"/>
      <c r="D282" s="522"/>
      <c r="E282" s="522"/>
      <c r="F282" s="522"/>
      <c r="G282" s="522"/>
      <c r="H282" s="594"/>
      <c r="I282" s="594"/>
      <c r="J282" s="594"/>
      <c r="K282" s="594"/>
      <c r="L282" s="594"/>
      <c r="M282" s="594"/>
      <c r="N282" s="594"/>
      <c r="O282" s="594"/>
      <c r="P282" s="594"/>
      <c r="Q282" s="594"/>
      <c r="R282" s="562">
        <v>0</v>
      </c>
      <c r="S282" s="593">
        <f>R282/R284</f>
        <v>0</v>
      </c>
      <c r="T282" s="563">
        <v>0</v>
      </c>
      <c r="U282" s="593">
        <f>T282/T284</f>
        <v>0</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70</v>
      </c>
      <c r="S284" s="593">
        <f>SUM(S277:S282)</f>
        <v>0.99999999999999989</v>
      </c>
      <c r="T284" s="563">
        <f>SUM(T277:T282)</f>
        <v>11269</v>
      </c>
      <c r="U284" s="593">
        <f>SUM(U277:U283)</f>
        <v>1</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0</v>
      </c>
      <c r="S296" s="593">
        <f>SUM(S287:S295)</f>
        <v>0</v>
      </c>
      <c r="T296" s="563">
        <f>SUM(T287:T294)</f>
        <v>0</v>
      </c>
      <c r="U296" s="593">
        <f>SUM(U287:U295)</f>
        <v>0</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4749</v>
      </c>
      <c r="S298" s="593"/>
      <c r="T298" s="599">
        <f>+T296+T274+T262</f>
        <v>623162</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626" t="s">
        <v>381</v>
      </c>
      <c r="B300" s="627" t="s">
        <v>382</v>
      </c>
      <c r="C300" s="628"/>
      <c r="D300" s="628"/>
      <c r="E300" s="628"/>
      <c r="F300" s="628"/>
      <c r="G300" s="628"/>
      <c r="H300" s="629"/>
      <c r="I300" s="629"/>
      <c r="J300" s="629"/>
      <c r="K300" s="629"/>
      <c r="L300" s="629"/>
      <c r="M300" s="629"/>
      <c r="N300" s="629"/>
      <c r="O300" s="629"/>
      <c r="P300" s="629"/>
      <c r="Q300" s="629"/>
      <c r="R300" s="638" t="s">
        <v>104</v>
      </c>
      <c r="S300" s="639" t="s">
        <v>105</v>
      </c>
      <c r="T300" s="638" t="s">
        <v>113</v>
      </c>
      <c r="U300" s="639" t="s">
        <v>105</v>
      </c>
      <c r="V300" s="627" t="s">
        <v>412</v>
      </c>
      <c r="W300" s="468"/>
      <c r="X300" s="512"/>
    </row>
    <row r="301" spans="1:24" s="513" customFormat="1" x14ac:dyDescent="0.3">
      <c r="A301" s="630"/>
      <c r="B301" s="631" t="s">
        <v>90</v>
      </c>
      <c r="C301" s="632"/>
      <c r="D301" s="632"/>
      <c r="E301" s="632"/>
      <c r="F301" s="632"/>
      <c r="G301" s="632"/>
      <c r="H301" s="633"/>
      <c r="I301" s="633"/>
      <c r="J301" s="633"/>
      <c r="K301" s="633"/>
      <c r="L301" s="633"/>
      <c r="M301" s="633"/>
      <c r="N301" s="633"/>
      <c r="O301" s="633"/>
      <c r="P301" s="633"/>
      <c r="Q301" s="633"/>
      <c r="R301" s="631">
        <v>36</v>
      </c>
      <c r="S301" s="640">
        <f>R301/$R$310</f>
        <v>0.97297297297297303</v>
      </c>
      <c r="T301" s="641">
        <v>5189</v>
      </c>
      <c r="U301" s="640">
        <f>T301/$T$310</f>
        <v>0.9580871491875923</v>
      </c>
      <c r="V301" s="552"/>
      <c r="W301" s="552"/>
      <c r="X301" s="512"/>
    </row>
    <row r="302" spans="1:24" s="513" customFormat="1" x14ac:dyDescent="0.3">
      <c r="A302" s="634"/>
      <c r="B302" s="635" t="s">
        <v>91</v>
      </c>
      <c r="C302" s="636"/>
      <c r="D302" s="636"/>
      <c r="E302" s="636"/>
      <c r="F302" s="636"/>
      <c r="G302" s="636"/>
      <c r="H302" s="637"/>
      <c r="I302" s="637"/>
      <c r="J302" s="637"/>
      <c r="K302" s="637"/>
      <c r="L302" s="637"/>
      <c r="M302" s="637"/>
      <c r="N302" s="637"/>
      <c r="O302" s="637"/>
      <c r="P302" s="637"/>
      <c r="Q302" s="637"/>
      <c r="R302" s="635">
        <v>0</v>
      </c>
      <c r="S302" s="646">
        <f t="shared" ref="S302:S308" si="9">R302/$R$310</f>
        <v>0</v>
      </c>
      <c r="T302" s="643">
        <v>0</v>
      </c>
      <c r="U302" s="646">
        <f t="shared" ref="U302:U308" si="10">T302/$T$310</f>
        <v>0</v>
      </c>
      <c r="V302" s="522"/>
      <c r="W302" s="524"/>
      <c r="X302" s="512"/>
    </row>
    <row r="303" spans="1:24" s="513" customFormat="1" x14ac:dyDescent="0.3">
      <c r="A303" s="634"/>
      <c r="B303" s="635" t="s">
        <v>92</v>
      </c>
      <c r="C303" s="636"/>
      <c r="D303" s="636"/>
      <c r="E303" s="636"/>
      <c r="F303" s="636"/>
      <c r="G303" s="636"/>
      <c r="H303" s="637"/>
      <c r="I303" s="637"/>
      <c r="J303" s="637"/>
      <c r="K303" s="637"/>
      <c r="L303" s="637"/>
      <c r="M303" s="637"/>
      <c r="N303" s="637"/>
      <c r="O303" s="637"/>
      <c r="P303" s="637"/>
      <c r="Q303" s="637"/>
      <c r="R303" s="635">
        <v>0</v>
      </c>
      <c r="S303" s="646">
        <f t="shared" si="9"/>
        <v>0</v>
      </c>
      <c r="T303" s="643">
        <v>0</v>
      </c>
      <c r="U303" s="646">
        <f t="shared" si="10"/>
        <v>0</v>
      </c>
      <c r="V303" s="522"/>
      <c r="W303" s="524"/>
      <c r="X303" s="512"/>
    </row>
    <row r="304" spans="1:24" s="513" customFormat="1" x14ac:dyDescent="0.3">
      <c r="A304" s="634"/>
      <c r="B304" s="635" t="s">
        <v>161</v>
      </c>
      <c r="C304" s="636"/>
      <c r="D304" s="636"/>
      <c r="E304" s="636"/>
      <c r="F304" s="636"/>
      <c r="G304" s="636"/>
      <c r="H304" s="637"/>
      <c r="I304" s="637"/>
      <c r="J304" s="637"/>
      <c r="K304" s="637"/>
      <c r="L304" s="637"/>
      <c r="M304" s="637"/>
      <c r="N304" s="637"/>
      <c r="O304" s="637"/>
      <c r="P304" s="637"/>
      <c r="Q304" s="637"/>
      <c r="R304" s="635">
        <v>0</v>
      </c>
      <c r="S304" s="646">
        <f t="shared" si="9"/>
        <v>0</v>
      </c>
      <c r="T304" s="643">
        <v>0</v>
      </c>
      <c r="U304" s="646">
        <f t="shared" si="10"/>
        <v>0</v>
      </c>
      <c r="V304" s="522"/>
      <c r="W304" s="524"/>
      <c r="X304" s="512"/>
    </row>
    <row r="305" spans="1:24" s="513" customFormat="1" x14ac:dyDescent="0.3">
      <c r="A305" s="634"/>
      <c r="B305" s="635" t="s">
        <v>162</v>
      </c>
      <c r="C305" s="636"/>
      <c r="D305" s="636"/>
      <c r="E305" s="636"/>
      <c r="F305" s="636"/>
      <c r="G305" s="636"/>
      <c r="H305" s="637"/>
      <c r="I305" s="637"/>
      <c r="J305" s="637"/>
      <c r="K305" s="637"/>
      <c r="L305" s="637"/>
      <c r="M305" s="637"/>
      <c r="N305" s="637"/>
      <c r="O305" s="637"/>
      <c r="P305" s="637"/>
      <c r="Q305" s="637"/>
      <c r="R305" s="635">
        <v>0</v>
      </c>
      <c r="S305" s="646">
        <f t="shared" si="9"/>
        <v>0</v>
      </c>
      <c r="T305" s="643">
        <v>0</v>
      </c>
      <c r="U305" s="646">
        <f t="shared" si="10"/>
        <v>0</v>
      </c>
      <c r="V305" s="522"/>
      <c r="W305" s="524"/>
      <c r="X305" s="512"/>
    </row>
    <row r="306" spans="1:24" s="513" customFormat="1" x14ac:dyDescent="0.3">
      <c r="A306" s="634"/>
      <c r="B306" s="635" t="s">
        <v>163</v>
      </c>
      <c r="C306" s="636"/>
      <c r="D306" s="636"/>
      <c r="E306" s="636"/>
      <c r="F306" s="636"/>
      <c r="G306" s="636"/>
      <c r="H306" s="637"/>
      <c r="I306" s="637"/>
      <c r="J306" s="637"/>
      <c r="K306" s="637"/>
      <c r="L306" s="637"/>
      <c r="M306" s="637"/>
      <c r="N306" s="637"/>
      <c r="O306" s="637"/>
      <c r="P306" s="637"/>
      <c r="Q306" s="637"/>
      <c r="R306" s="635">
        <v>0</v>
      </c>
      <c r="S306" s="646">
        <f t="shared" si="9"/>
        <v>0</v>
      </c>
      <c r="T306" s="643">
        <v>0</v>
      </c>
      <c r="U306" s="646">
        <f t="shared" si="10"/>
        <v>0</v>
      </c>
      <c r="V306" s="522"/>
      <c r="W306" s="524"/>
      <c r="X306" s="512"/>
    </row>
    <row r="307" spans="1:24" s="513" customFormat="1" x14ac:dyDescent="0.3">
      <c r="A307" s="634"/>
      <c r="B307" s="635" t="s">
        <v>164</v>
      </c>
      <c r="C307" s="636"/>
      <c r="D307" s="636"/>
      <c r="E307" s="636"/>
      <c r="F307" s="636"/>
      <c r="G307" s="636"/>
      <c r="H307" s="637"/>
      <c r="I307" s="637"/>
      <c r="J307" s="637"/>
      <c r="K307" s="637"/>
      <c r="L307" s="637"/>
      <c r="M307" s="637"/>
      <c r="N307" s="637"/>
      <c r="O307" s="637"/>
      <c r="P307" s="637"/>
      <c r="Q307" s="637"/>
      <c r="R307" s="635">
        <v>1</v>
      </c>
      <c r="S307" s="646">
        <f t="shared" si="9"/>
        <v>2.7027027027027029E-2</v>
      </c>
      <c r="T307" s="643">
        <v>227</v>
      </c>
      <c r="U307" s="646">
        <f t="shared" si="10"/>
        <v>4.1912850812407684E-2</v>
      </c>
      <c r="V307" s="522"/>
      <c r="W307" s="524"/>
      <c r="X307" s="512"/>
    </row>
    <row r="308" spans="1:24" s="513" customFormat="1" x14ac:dyDescent="0.3">
      <c r="A308" s="634"/>
      <c r="B308" s="635" t="s">
        <v>165</v>
      </c>
      <c r="C308" s="636"/>
      <c r="D308" s="636"/>
      <c r="E308" s="636"/>
      <c r="F308" s="636"/>
      <c r="G308" s="636"/>
      <c r="H308" s="637"/>
      <c r="I308" s="637"/>
      <c r="J308" s="637"/>
      <c r="K308" s="637"/>
      <c r="L308" s="637"/>
      <c r="M308" s="637"/>
      <c r="N308" s="637"/>
      <c r="O308" s="637"/>
      <c r="P308" s="637"/>
      <c r="Q308" s="637"/>
      <c r="R308" s="655">
        <v>0</v>
      </c>
      <c r="S308" s="640">
        <f t="shared" si="9"/>
        <v>0</v>
      </c>
      <c r="T308" s="656">
        <v>0</v>
      </c>
      <c r="U308" s="640">
        <f t="shared" si="10"/>
        <v>0</v>
      </c>
      <c r="V308" s="657"/>
      <c r="W308" s="524"/>
      <c r="X308" s="512"/>
    </row>
    <row r="309" spans="1:24" s="513" customFormat="1" x14ac:dyDescent="0.3">
      <c r="A309" s="634"/>
      <c r="B309" s="635"/>
      <c r="C309" s="636"/>
      <c r="D309" s="636"/>
      <c r="E309" s="636"/>
      <c r="F309" s="636"/>
      <c r="G309" s="636"/>
      <c r="H309" s="637"/>
      <c r="I309" s="637"/>
      <c r="J309" s="637"/>
      <c r="K309" s="637"/>
      <c r="L309" s="637"/>
      <c r="M309" s="637"/>
      <c r="N309" s="637"/>
      <c r="O309" s="637"/>
      <c r="P309" s="670"/>
      <c r="Q309" s="637"/>
      <c r="R309" s="671"/>
      <c r="S309" s="672"/>
      <c r="T309" s="673"/>
      <c r="U309" s="672"/>
      <c r="V309" s="674"/>
      <c r="W309" s="524"/>
      <c r="X309" s="512"/>
    </row>
    <row r="310" spans="1:24" s="513" customFormat="1" x14ac:dyDescent="0.3">
      <c r="A310" s="634"/>
      <c r="B310" s="636" t="s">
        <v>119</v>
      </c>
      <c r="C310" s="636"/>
      <c r="D310" s="636"/>
      <c r="E310" s="636"/>
      <c r="F310" s="636"/>
      <c r="G310" s="636"/>
      <c r="H310" s="637"/>
      <c r="I310" s="637"/>
      <c r="J310" s="637"/>
      <c r="K310" s="637"/>
      <c r="L310" s="637"/>
      <c r="M310" s="637"/>
      <c r="N310" s="637"/>
      <c r="O310" s="637"/>
      <c r="P310" s="637"/>
      <c r="Q310" s="675"/>
      <c r="R310" s="671">
        <f>SUM(R301:R308)</f>
        <v>37</v>
      </c>
      <c r="S310" s="672">
        <f>SUM(S301:S309)</f>
        <v>1</v>
      </c>
      <c r="T310" s="673">
        <f>SUM(T301:T308)</f>
        <v>5416</v>
      </c>
      <c r="U310" s="672">
        <f>SUM(U301:U309)</f>
        <v>1</v>
      </c>
      <c r="V310" s="674"/>
      <c r="W310" s="524"/>
      <c r="X310" s="512"/>
    </row>
    <row r="311" spans="1:24" s="513" customFormat="1" ht="16.2" thickBot="1" x14ac:dyDescent="0.35">
      <c r="A311" s="634"/>
      <c r="B311" s="636" t="s">
        <v>396</v>
      </c>
      <c r="C311" s="636"/>
      <c r="D311" s="636"/>
      <c r="E311" s="636"/>
      <c r="F311" s="636"/>
      <c r="G311" s="636"/>
      <c r="H311" s="637"/>
      <c r="I311" s="637"/>
      <c r="J311" s="637"/>
      <c r="K311" s="637"/>
      <c r="L311" s="637"/>
      <c r="M311" s="637"/>
      <c r="N311" s="637"/>
      <c r="O311" s="637"/>
      <c r="P311" s="637"/>
      <c r="Q311" s="637"/>
      <c r="R311" s="666"/>
      <c r="S311" s="667">
        <f>R310/R298</f>
        <v>7.7911139187197302E-3</v>
      </c>
      <c r="T311" s="668"/>
      <c r="U311" s="667">
        <f>T310/T298</f>
        <v>8.6911589602703624E-3</v>
      </c>
      <c r="V311" s="552"/>
      <c r="W311" s="524"/>
      <c r="X311" s="512"/>
    </row>
    <row r="312" spans="1:24" s="513" customFormat="1" ht="16.2" thickTop="1" x14ac:dyDescent="0.3">
      <c r="A312" s="634"/>
      <c r="B312" s="636" t="s">
        <v>406</v>
      </c>
      <c r="C312" s="636"/>
      <c r="D312" s="636"/>
      <c r="E312" s="636"/>
      <c r="F312" s="636"/>
      <c r="G312" s="636"/>
      <c r="H312" s="637"/>
      <c r="I312" s="637"/>
      <c r="J312" s="637"/>
      <c r="K312" s="637"/>
      <c r="L312" s="637"/>
      <c r="M312" s="637"/>
      <c r="N312" s="637"/>
      <c r="O312" s="637"/>
      <c r="P312" s="637"/>
      <c r="Q312" s="637"/>
      <c r="R312" s="658">
        <v>15</v>
      </c>
      <c r="S312" s="659">
        <f>R312/R310</f>
        <v>0.40540540540540543</v>
      </c>
      <c r="T312" s="660">
        <v>1572</v>
      </c>
      <c r="U312" s="659">
        <f>T312/T310</f>
        <v>0.29025110782865582</v>
      </c>
      <c r="V312" s="669">
        <v>1.1053763440860214</v>
      </c>
      <c r="W312" s="524"/>
      <c r="X312" s="512"/>
    </row>
    <row r="313" spans="1:24" s="513" customFormat="1" ht="16.2" thickBot="1" x14ac:dyDescent="0.35">
      <c r="A313" s="634"/>
      <c r="B313" s="636" t="s">
        <v>407</v>
      </c>
      <c r="C313" s="636"/>
      <c r="D313" s="636"/>
      <c r="E313" s="636"/>
      <c r="F313" s="636"/>
      <c r="G313" s="636"/>
      <c r="H313" s="637"/>
      <c r="I313" s="637"/>
      <c r="J313" s="637"/>
      <c r="K313" s="637"/>
      <c r="L313" s="637"/>
      <c r="M313" s="637"/>
      <c r="N313" s="637"/>
      <c r="O313" s="637"/>
      <c r="P313" s="637"/>
      <c r="Q313" s="637"/>
      <c r="R313" s="661">
        <v>22</v>
      </c>
      <c r="S313" s="662">
        <f>R313/R310</f>
        <v>0.59459459459459463</v>
      </c>
      <c r="T313" s="663">
        <v>3844</v>
      </c>
      <c r="U313" s="664">
        <f>T313/T310</f>
        <v>0.70974889217134418</v>
      </c>
      <c r="V313" s="665">
        <v>0.26539589442815248</v>
      </c>
      <c r="W313" s="524"/>
      <c r="X313" s="512"/>
    </row>
    <row r="314" spans="1:24" s="513" customFormat="1" ht="16.2" thickTop="1" x14ac:dyDescent="0.3">
      <c r="A314" s="509"/>
      <c r="B314" s="591"/>
      <c r="C314" s="552"/>
      <c r="D314" s="552"/>
      <c r="E314" s="552"/>
      <c r="F314" s="552"/>
      <c r="G314" s="552"/>
      <c r="H314" s="597"/>
      <c r="I314" s="597"/>
      <c r="J314" s="597"/>
      <c r="K314" s="597"/>
      <c r="L314" s="597"/>
      <c r="M314" s="597"/>
      <c r="N314" s="597"/>
      <c r="O314" s="597"/>
      <c r="P314" s="597"/>
      <c r="Q314" s="597"/>
      <c r="R314" s="624"/>
      <c r="S314" s="595"/>
      <c r="T314" s="625"/>
      <c r="U314" s="595"/>
      <c r="V314" s="625"/>
      <c r="W314" s="645"/>
      <c r="X314" s="512"/>
    </row>
    <row r="315" spans="1:24" s="513" customFormat="1" x14ac:dyDescent="0.3">
      <c r="A315" s="509"/>
      <c r="B315" s="510"/>
      <c r="C315" s="510"/>
      <c r="D315" s="510"/>
      <c r="E315" s="510"/>
      <c r="F315" s="510"/>
      <c r="G315" s="510"/>
      <c r="H315" s="600"/>
      <c r="I315" s="600"/>
      <c r="J315" s="600"/>
      <c r="K315" s="600"/>
      <c r="L315" s="600"/>
      <c r="M315" s="600"/>
      <c r="N315" s="600"/>
      <c r="O315" s="600"/>
      <c r="P315" s="600"/>
      <c r="Q315" s="600"/>
      <c r="R315" s="600"/>
      <c r="S315" s="600"/>
      <c r="T315" s="601"/>
      <c r="U315" s="600"/>
      <c r="V315" s="510"/>
      <c r="W315" s="510"/>
      <c r="X315" s="512"/>
    </row>
    <row r="316" spans="1:24" s="513" customFormat="1" x14ac:dyDescent="0.3">
      <c r="A316" s="509"/>
      <c r="B316" s="508" t="s">
        <v>93</v>
      </c>
      <c r="C316" s="510"/>
      <c r="D316" s="510"/>
      <c r="E316" s="510"/>
      <c r="F316" s="516" t="s">
        <v>99</v>
      </c>
      <c r="G316" s="510"/>
      <c r="H316" s="508" t="s">
        <v>101</v>
      </c>
      <c r="I316" s="510"/>
      <c r="J316" s="510"/>
      <c r="K316" s="510"/>
      <c r="L316" s="510"/>
      <c r="M316" s="510"/>
      <c r="N316" s="510"/>
      <c r="O316" s="510"/>
      <c r="P316" s="510"/>
      <c r="Q316" s="510"/>
      <c r="R316" s="510"/>
      <c r="S316" s="510"/>
      <c r="T316" s="510"/>
      <c r="U316" s="510"/>
      <c r="V316" s="510"/>
      <c r="W316" s="510"/>
      <c r="X316" s="512"/>
    </row>
    <row r="317" spans="1:24" s="513" customFormat="1" x14ac:dyDescent="0.3">
      <c r="A317" s="509"/>
      <c r="B317" s="508" t="s">
        <v>327</v>
      </c>
      <c r="C317" s="508"/>
      <c r="D317" s="508"/>
      <c r="E317" s="508"/>
      <c r="F317" s="602" t="s">
        <v>278</v>
      </c>
      <c r="G317" s="508"/>
      <c r="H317" s="402" t="s">
        <v>350</v>
      </c>
      <c r="I317" s="510"/>
      <c r="J317" s="510"/>
      <c r="K317" s="510"/>
      <c r="L317" s="510"/>
      <c r="M317" s="510"/>
      <c r="N317" s="510"/>
      <c r="O317" s="510"/>
      <c r="P317" s="510"/>
      <c r="Q317" s="510"/>
      <c r="R317" s="510"/>
      <c r="S317" s="510"/>
      <c r="T317" s="510"/>
      <c r="U317" s="510"/>
      <c r="V317" s="510"/>
      <c r="W317" s="510"/>
      <c r="X317" s="512"/>
    </row>
    <row r="318" spans="1:24" s="513" customFormat="1" x14ac:dyDescent="0.3">
      <c r="A318" s="509"/>
      <c r="B318" s="508" t="s">
        <v>328</v>
      </c>
      <c r="C318" s="508"/>
      <c r="D318" s="508"/>
      <c r="E318" s="508"/>
      <c r="F318" s="602" t="s">
        <v>152</v>
      </c>
      <c r="G318" s="508"/>
      <c r="H318" s="402" t="s">
        <v>351</v>
      </c>
      <c r="I318" s="510"/>
      <c r="J318" s="510"/>
      <c r="K318" s="510"/>
      <c r="L318" s="510"/>
      <c r="M318" s="510"/>
      <c r="N318" s="510"/>
      <c r="O318" s="510"/>
      <c r="P318" s="510"/>
      <c r="Q318" s="510"/>
      <c r="R318" s="510"/>
      <c r="S318" s="510"/>
      <c r="T318" s="510"/>
      <c r="U318" s="510"/>
      <c r="V318" s="510"/>
      <c r="W318" s="510"/>
      <c r="X318" s="512"/>
    </row>
    <row r="319" spans="1:24" s="513" customFormat="1" x14ac:dyDescent="0.3">
      <c r="A319" s="509"/>
      <c r="B319" s="508"/>
      <c r="C319" s="508"/>
      <c r="D319" s="508"/>
      <c r="E319" s="508"/>
      <c r="F319" s="602"/>
      <c r="G319" s="508"/>
      <c r="H319" s="402"/>
      <c r="I319" s="510"/>
      <c r="J319" s="510"/>
      <c r="K319" s="510"/>
      <c r="L319" s="510"/>
      <c r="M319" s="510"/>
      <c r="N319" s="510"/>
      <c r="O319" s="510"/>
      <c r="P319" s="510"/>
      <c r="Q319" s="510"/>
      <c r="R319" s="510"/>
      <c r="S319" s="510"/>
      <c r="T319" s="510"/>
      <c r="U319" s="510"/>
      <c r="V319" s="510"/>
      <c r="W319" s="510"/>
      <c r="X319" s="512"/>
    </row>
    <row r="320" spans="1:24" s="513" customFormat="1" x14ac:dyDescent="0.3">
      <c r="A320" s="509"/>
      <c r="B320" s="644" t="s">
        <v>391</v>
      </c>
      <c r="C320" s="508"/>
      <c r="D320" s="508"/>
      <c r="E320" s="508"/>
      <c r="F320" s="602"/>
      <c r="G320" s="508"/>
      <c r="H320" s="402"/>
      <c r="I320" s="510"/>
      <c r="J320" s="510"/>
      <c r="K320" s="510"/>
      <c r="L320" s="510"/>
      <c r="M320" s="510"/>
      <c r="N320" s="510"/>
      <c r="O320" s="510"/>
      <c r="P320" s="510"/>
      <c r="Q320" s="510"/>
      <c r="R320" s="510"/>
      <c r="S320" s="510"/>
      <c r="T320" s="510"/>
      <c r="U320" s="510"/>
      <c r="V320" s="510"/>
      <c r="W320" s="510"/>
      <c r="X320" s="512"/>
    </row>
    <row r="321" spans="1:24" s="513" customFormat="1" x14ac:dyDescent="0.3">
      <c r="A321" s="509"/>
      <c r="B321" s="508"/>
      <c r="C321" s="508"/>
      <c r="D321" s="508"/>
      <c r="E321" s="508"/>
      <c r="F321" s="602"/>
      <c r="G321" s="508"/>
      <c r="H321" s="402"/>
      <c r="I321" s="510"/>
      <c r="J321" s="510"/>
      <c r="K321" s="510"/>
      <c r="L321" s="510"/>
      <c r="M321" s="510"/>
      <c r="N321" s="510"/>
      <c r="O321" s="510"/>
      <c r="P321" s="510"/>
      <c r="Q321" s="510"/>
      <c r="R321" s="510"/>
      <c r="S321" s="510"/>
      <c r="T321" s="510"/>
      <c r="U321" s="510"/>
      <c r="V321" s="510"/>
      <c r="W321" s="510"/>
      <c r="X321" s="512"/>
    </row>
    <row r="322" spans="1:24" s="513" customFormat="1" ht="18" x14ac:dyDescent="0.35">
      <c r="A322" s="509"/>
      <c r="B322" s="647" t="s">
        <v>174</v>
      </c>
      <c r="C322" s="508"/>
      <c r="D322" s="508"/>
      <c r="E322" s="508"/>
      <c r="F322" s="602"/>
      <c r="G322" s="508"/>
      <c r="H322" s="402"/>
      <c r="I322" s="510"/>
      <c r="J322" s="510"/>
      <c r="K322" s="510"/>
      <c r="L322" s="552"/>
      <c r="M322" s="552"/>
      <c r="N322" s="552"/>
      <c r="O322" s="552"/>
      <c r="P322" s="648" t="s">
        <v>349</v>
      </c>
      <c r="Q322" s="552"/>
      <c r="R322" s="552"/>
      <c r="S322" s="552"/>
      <c r="T322" s="510"/>
      <c r="U322" s="510"/>
      <c r="V322" s="510"/>
      <c r="W322" s="510"/>
      <c r="X322" s="512"/>
    </row>
    <row r="323" spans="1:24" s="513" customFormat="1" x14ac:dyDescent="0.3">
      <c r="A323" s="509"/>
      <c r="B323" s="508"/>
      <c r="C323" s="508"/>
      <c r="D323" s="508"/>
      <c r="E323" s="508"/>
      <c r="F323" s="602"/>
      <c r="G323" s="508"/>
      <c r="H323" s="402"/>
      <c r="I323" s="510"/>
      <c r="J323" s="510"/>
      <c r="K323" s="510"/>
      <c r="L323" s="510"/>
      <c r="M323" s="510"/>
      <c r="N323" s="510"/>
      <c r="O323" s="510"/>
      <c r="P323" s="510"/>
      <c r="Q323" s="510"/>
      <c r="R323" s="510"/>
      <c r="S323" s="510"/>
      <c r="T323" s="510"/>
      <c r="U323" s="510"/>
      <c r="V323" s="510"/>
      <c r="W323" s="510"/>
      <c r="X323" s="512"/>
    </row>
    <row r="324" spans="1:24" s="513" customFormat="1" x14ac:dyDescent="0.3">
      <c r="A324" s="509"/>
      <c r="B324" s="508"/>
      <c r="C324" s="508"/>
      <c r="D324" s="508"/>
      <c r="E324" s="508"/>
      <c r="F324" s="508"/>
      <c r="G324" s="508"/>
      <c r="H324" s="510"/>
      <c r="I324" s="510"/>
      <c r="J324" s="510"/>
      <c r="K324" s="510"/>
      <c r="L324" s="510"/>
      <c r="M324" s="510"/>
      <c r="N324" s="510"/>
      <c r="O324" s="510"/>
      <c r="P324" s="510"/>
      <c r="Q324" s="510"/>
      <c r="R324" s="510"/>
      <c r="S324" s="510"/>
      <c r="T324" s="510"/>
      <c r="U324" s="510"/>
      <c r="V324" s="510"/>
      <c r="W324" s="510"/>
      <c r="X324" s="512"/>
    </row>
    <row r="325" spans="1:24" s="513" customFormat="1" ht="18.600000000000001" thickBot="1" x14ac:dyDescent="0.4">
      <c r="A325" s="509"/>
      <c r="B325" s="603" t="str">
        <f>B202</f>
        <v>PM12 INVESTOR REPORT QUARTER ENDING OCTOBER 2020</v>
      </c>
      <c r="C325" s="508"/>
      <c r="D325" s="508"/>
      <c r="E325" s="508"/>
      <c r="F325" s="508"/>
      <c r="G325" s="508"/>
      <c r="H325" s="510"/>
      <c r="I325" s="510"/>
      <c r="J325" s="510"/>
      <c r="K325" s="510"/>
      <c r="L325" s="510"/>
      <c r="M325" s="510"/>
      <c r="N325" s="510"/>
      <c r="O325" s="510"/>
      <c r="P325" s="510"/>
      <c r="Q325" s="510"/>
      <c r="R325" s="510"/>
      <c r="S325" s="510"/>
      <c r="T325" s="510"/>
      <c r="U325" s="510"/>
      <c r="V325" s="510"/>
      <c r="W325" s="510"/>
      <c r="X325" s="512"/>
    </row>
    <row r="326" spans="1:24" x14ac:dyDescent="0.3">
      <c r="A326" s="492"/>
      <c r="B326" s="492"/>
      <c r="C326" s="492"/>
      <c r="D326" s="492"/>
      <c r="E326" s="492"/>
      <c r="F326" s="492"/>
      <c r="G326" s="492"/>
      <c r="H326" s="492"/>
      <c r="I326" s="492"/>
      <c r="J326" s="492"/>
      <c r="K326" s="492"/>
      <c r="L326" s="492"/>
      <c r="M326" s="492"/>
      <c r="N326" s="492"/>
      <c r="O326" s="492"/>
      <c r="P326" s="492"/>
      <c r="Q326" s="492"/>
      <c r="R326" s="492"/>
      <c r="S326" s="492"/>
      <c r="T326" s="492"/>
      <c r="U326" s="492"/>
      <c r="V326" s="492"/>
      <c r="W326" s="492"/>
    </row>
    <row r="327" spans="1:24" x14ac:dyDescent="0.3">
      <c r="B327" s="406" t="s">
        <v>384</v>
      </c>
    </row>
    <row r="328" spans="1:24" x14ac:dyDescent="0.3">
      <c r="B328" s="623" t="s">
        <v>378</v>
      </c>
    </row>
    <row r="330" spans="1:24" x14ac:dyDescent="0.3">
      <c r="B330" s="649" t="s">
        <v>385</v>
      </c>
    </row>
    <row r="331" spans="1:24" x14ac:dyDescent="0.3">
      <c r="B331" s="406" t="s">
        <v>386</v>
      </c>
    </row>
    <row r="332" spans="1:24" x14ac:dyDescent="0.3">
      <c r="B332" s="406" t="s">
        <v>387</v>
      </c>
    </row>
    <row r="333" spans="1:24" x14ac:dyDescent="0.3">
      <c r="B333" s="406" t="s">
        <v>388</v>
      </c>
    </row>
    <row r="334" spans="1:24" x14ac:dyDescent="0.3">
      <c r="B334" s="406" t="s">
        <v>389</v>
      </c>
    </row>
    <row r="335" spans="1:24" x14ac:dyDescent="0.3">
      <c r="B335" s="406" t="s">
        <v>392</v>
      </c>
    </row>
    <row r="336" spans="1:24" x14ac:dyDescent="0.3">
      <c r="B336" s="652" t="s">
        <v>390</v>
      </c>
    </row>
    <row r="337" spans="2:2" x14ac:dyDescent="0.3">
      <c r="B337" s="652" t="s">
        <v>403</v>
      </c>
    </row>
    <row r="339" spans="2:2" s="652" customFormat="1" x14ac:dyDescent="0.3">
      <c r="B339" s="654" t="s">
        <v>408</v>
      </c>
    </row>
    <row r="340" spans="2:2" s="652" customFormat="1" x14ac:dyDescent="0.3">
      <c r="B340" s="652" t="s">
        <v>415</v>
      </c>
    </row>
    <row r="341" spans="2:2" s="652" customFormat="1" x14ac:dyDescent="0.3">
      <c r="B341" s="652" t="s">
        <v>416</v>
      </c>
    </row>
    <row r="343" spans="2:2" x14ac:dyDescent="0.3">
      <c r="B343" s="649" t="s">
        <v>393</v>
      </c>
    </row>
    <row r="344" spans="2:2" x14ac:dyDescent="0.3">
      <c r="B344" s="406" t="s">
        <v>394</v>
      </c>
    </row>
    <row r="345" spans="2:2" x14ac:dyDescent="0.3">
      <c r="B345" s="406" t="s">
        <v>395</v>
      </c>
    </row>
  </sheetData>
  <hyperlinks>
    <hyperlink ref="I9" r:id="rId1" xr:uid="{4C1E42EA-F768-438A-A47F-CE7AD3212347}"/>
    <hyperlink ref="P238" r:id="rId2" xr:uid="{B71ADDF7-4A45-4282-8BB6-BCEEF3A449B2}"/>
    <hyperlink ref="B328" r:id="rId3" xr:uid="{A699EE7D-7BFB-4539-9C4E-AD29EFFCC48C}"/>
    <hyperlink ref="P322" r:id="rId4" xr:uid="{5F0954EA-AA41-4942-8B4C-59B57C0061AC}"/>
  </hyperlinks>
  <printOptions horizontalCentered="1" verticalCentered="1"/>
  <pageMargins left="0.19685039370078741" right="0.19685039370078741" top="0.27559055118110237" bottom="0.27559055118110237" header="0" footer="0"/>
  <pageSetup scale="37" orientation="landscape" r:id="rId5"/>
  <headerFooter alignWithMargins="0"/>
  <rowBreaks count="3" manualBreakCount="3">
    <brk id="64" max="23" man="1"/>
    <brk id="141" max="14" man="1"/>
    <brk id="202" max="14" man="1"/>
  </rowBreaks>
  <drawing r:id="rId6"/>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D1CD0-933D-4952-895A-22422A3DA7E5}">
  <sheetPr>
    <tabColor rgb="FF2D2926"/>
  </sheetPr>
  <dimension ref="A1:AA345"/>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0.67510000000000003</v>
      </c>
      <c r="T16" s="516" t="s">
        <v>145</v>
      </c>
      <c r="U16" s="515">
        <v>0.32490000000000002</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44249</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286053.36812910001</v>
      </c>
      <c r="E32" s="529"/>
      <c r="F32" s="530">
        <f>F31*F38</f>
        <v>50879.745999999999</v>
      </c>
      <c r="G32" s="530"/>
      <c r="H32" s="534">
        <f>H31*H38</f>
        <v>85969.225999999995</v>
      </c>
      <c r="I32" s="534"/>
      <c r="J32" s="533">
        <f>J31*J38</f>
        <v>109127.50529999999</v>
      </c>
      <c r="K32" s="530"/>
      <c r="L32" s="530">
        <f>L31*L38</f>
        <v>20746.400000000001</v>
      </c>
      <c r="M32" s="530"/>
      <c r="N32" s="534">
        <f>N31*N38</f>
        <v>104561.856</v>
      </c>
      <c r="O32" s="530"/>
      <c r="P32" s="530">
        <f>P31*P38</f>
        <v>14107.552000000001</v>
      </c>
      <c r="Q32" s="530"/>
      <c r="R32" s="534">
        <f>R31*R38</f>
        <v>87964.736000000004</v>
      </c>
      <c r="S32" s="530"/>
      <c r="T32" s="530"/>
      <c r="U32" s="529"/>
      <c r="V32" s="530"/>
      <c r="W32" s="531"/>
      <c r="X32" s="512"/>
    </row>
    <row r="33" spans="1:25" s="513" customFormat="1" x14ac:dyDescent="0.3">
      <c r="A33" s="521"/>
      <c r="B33" s="527" t="s">
        <v>139</v>
      </c>
      <c r="C33" s="529"/>
      <c r="D33" s="619">
        <f>D34*D37</f>
        <v>276415.7912334</v>
      </c>
      <c r="E33" s="532"/>
      <c r="F33" s="535">
        <f>F37*F31</f>
        <v>49165.556000000004</v>
      </c>
      <c r="G33" s="535"/>
      <c r="H33" s="537">
        <f>H31*H37</f>
        <v>83072.835999999996</v>
      </c>
      <c r="I33" s="537"/>
      <c r="J33" s="536">
        <f>J37*J31</f>
        <v>105450.83219999999</v>
      </c>
      <c r="K33" s="535"/>
      <c r="L33" s="535">
        <f>L37*L31</f>
        <v>20047.424999999999</v>
      </c>
      <c r="M33" s="535"/>
      <c r="N33" s="537">
        <f>N37*N31</f>
        <v>101039.022</v>
      </c>
      <c r="O33" s="535"/>
      <c r="P33" s="535">
        <f>P37*P31</f>
        <v>13632.249</v>
      </c>
      <c r="Q33" s="535"/>
      <c r="R33" s="537">
        <f>R37*R31</f>
        <v>85001.081999999995</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286053.36812910001</v>
      </c>
      <c r="E35" s="529"/>
      <c r="F35" s="530">
        <f>F34*F38</f>
        <v>50879.745999999999</v>
      </c>
      <c r="G35" s="530"/>
      <c r="H35" s="530">
        <f>H34*H38</f>
        <v>59289.2907768</v>
      </c>
      <c r="I35" s="530"/>
      <c r="J35" s="530">
        <f>J34*J38</f>
        <v>59308.518330599996</v>
      </c>
      <c r="K35" s="530"/>
      <c r="L35" s="530">
        <f>L34*L38</f>
        <v>20746.400000000001</v>
      </c>
      <c r="M35" s="530"/>
      <c r="N35" s="530">
        <f>N34*N38</f>
        <v>72111.996832000004</v>
      </c>
      <c r="O35" s="530"/>
      <c r="P35" s="530">
        <f>P34*P38</f>
        <v>14107.552000000001</v>
      </c>
      <c r="Q35" s="530"/>
      <c r="R35" s="530">
        <f>R34*R38</f>
        <v>60664.963168000002</v>
      </c>
      <c r="S35" s="530"/>
      <c r="T35" s="530"/>
      <c r="U35" s="529"/>
      <c r="V35" s="530">
        <f>SUM(C35:R35)</f>
        <v>623161.83523650002</v>
      </c>
      <c r="W35" s="531"/>
      <c r="X35" s="512"/>
    </row>
    <row r="36" spans="1:25" s="513" customFormat="1" x14ac:dyDescent="0.3">
      <c r="A36" s="525"/>
      <c r="B36" s="527" t="s">
        <v>295</v>
      </c>
      <c r="C36" s="532"/>
      <c r="D36" s="535">
        <f>D34*D37</f>
        <v>276415.7912334</v>
      </c>
      <c r="E36" s="532"/>
      <c r="F36" s="535">
        <f>F34*F37</f>
        <v>49165.556000000004</v>
      </c>
      <c r="G36" s="535"/>
      <c r="H36" s="535">
        <f>H34*H37</f>
        <v>57291.774724800001</v>
      </c>
      <c r="I36" s="535"/>
      <c r="J36" s="535">
        <f>J34*J37</f>
        <v>57310.3233444</v>
      </c>
      <c r="K36" s="535"/>
      <c r="L36" s="535">
        <f>L34*L37</f>
        <v>20047.424999999999</v>
      </c>
      <c r="M36" s="535"/>
      <c r="N36" s="535">
        <f>N34*N37</f>
        <v>69682.443608999994</v>
      </c>
      <c r="O36" s="535"/>
      <c r="P36" s="535">
        <f>P34*P37</f>
        <v>13632.249</v>
      </c>
      <c r="Q36" s="535"/>
      <c r="R36" s="535">
        <f>R34*R37</f>
        <v>58621.076390999995</v>
      </c>
      <c r="S36" s="538"/>
      <c r="T36" s="538"/>
      <c r="U36" s="529"/>
      <c r="V36" s="535">
        <f>SUM(C36:R36)</f>
        <v>602166.63930259983</v>
      </c>
      <c r="W36" s="531"/>
      <c r="X36" s="512"/>
      <c r="Y36" s="621"/>
    </row>
    <row r="37" spans="1:25" x14ac:dyDescent="0.3">
      <c r="A37" s="420"/>
      <c r="B37" s="493" t="s">
        <v>135</v>
      </c>
      <c r="C37" s="494"/>
      <c r="D37" s="495">
        <v>0.33907019999999999</v>
      </c>
      <c r="E37" s="496"/>
      <c r="F37" s="495">
        <v>0.33907280000000001</v>
      </c>
      <c r="G37" s="495"/>
      <c r="H37" s="495">
        <v>0.33907280000000001</v>
      </c>
      <c r="I37" s="495"/>
      <c r="J37" s="495">
        <v>0.33907019999999999</v>
      </c>
      <c r="K37" s="495"/>
      <c r="L37" s="495">
        <v>0.80189699999999997</v>
      </c>
      <c r="M37" s="495"/>
      <c r="N37" s="495">
        <v>0.80189699999999997</v>
      </c>
      <c r="O37" s="495"/>
      <c r="P37" s="495">
        <v>0.80189699999999997</v>
      </c>
      <c r="Q37" s="495"/>
      <c r="R37" s="495">
        <v>0.80189699999999997</v>
      </c>
      <c r="S37" s="425"/>
      <c r="T37" s="425"/>
      <c r="U37" s="424"/>
      <c r="V37" s="424"/>
      <c r="W37" s="426"/>
      <c r="X37" s="405"/>
    </row>
    <row r="38" spans="1:25" x14ac:dyDescent="0.3">
      <c r="A38" s="420"/>
      <c r="B38" s="493" t="s">
        <v>136</v>
      </c>
      <c r="C38" s="494"/>
      <c r="D38" s="495">
        <v>0.35089229999999999</v>
      </c>
      <c r="E38" s="496"/>
      <c r="F38" s="495">
        <v>0.35089480000000001</v>
      </c>
      <c r="G38" s="495"/>
      <c r="H38" s="495">
        <v>0.35089480000000001</v>
      </c>
      <c r="I38" s="495"/>
      <c r="J38" s="495">
        <v>0.35089229999999999</v>
      </c>
      <c r="K38" s="495"/>
      <c r="L38" s="495">
        <v>0.82985600000000004</v>
      </c>
      <c r="M38" s="495"/>
      <c r="N38" s="495">
        <v>0.82985600000000004</v>
      </c>
      <c r="O38" s="495"/>
      <c r="P38" s="495">
        <v>0.82985600000000004</v>
      </c>
      <c r="Q38" s="495"/>
      <c r="R38" s="495">
        <v>0.82985600000000004</v>
      </c>
      <c r="S38" s="427"/>
      <c r="T38" s="428"/>
      <c r="U38" s="424"/>
      <c r="V38" s="427"/>
      <c r="W38" s="426"/>
      <c r="X38" s="405"/>
    </row>
    <row r="39" spans="1:25"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5" s="513" customFormat="1" x14ac:dyDescent="0.3">
      <c r="A40" s="521"/>
      <c r="B40" s="522" t="s">
        <v>12</v>
      </c>
      <c r="C40" s="522"/>
      <c r="D40" s="540">
        <v>2.8774999999999998E-3</v>
      </c>
      <c r="E40" s="522"/>
      <c r="F40" s="540">
        <v>2.8774999999999998E-3</v>
      </c>
      <c r="G40" s="539"/>
      <c r="H40" s="540">
        <v>0</v>
      </c>
      <c r="I40" s="540"/>
      <c r="J40" s="540">
        <v>4.4099999999999999E-3</v>
      </c>
      <c r="K40" s="539"/>
      <c r="L40" s="540">
        <v>5.2775000000000001E-3</v>
      </c>
      <c r="M40" s="539"/>
      <c r="N40" s="540">
        <v>0</v>
      </c>
      <c r="O40" s="539"/>
      <c r="P40" s="540">
        <v>9.6775000000000003E-3</v>
      </c>
      <c r="Q40" s="539"/>
      <c r="R40" s="540">
        <v>4.0699999999999998E-3</v>
      </c>
      <c r="S40" s="539"/>
      <c r="T40" s="540"/>
      <c r="U40" s="522"/>
      <c r="V40" s="528"/>
      <c r="W40" s="524"/>
      <c r="X40" s="512"/>
    </row>
    <row r="41" spans="1:25" s="513" customFormat="1" x14ac:dyDescent="0.3">
      <c r="A41" s="521"/>
      <c r="B41" s="522" t="s">
        <v>13</v>
      </c>
      <c r="C41" s="522"/>
      <c r="D41" s="540">
        <v>3.1338E-3</v>
      </c>
      <c r="E41" s="522"/>
      <c r="F41" s="540">
        <v>3.1338E-3</v>
      </c>
      <c r="G41" s="539"/>
      <c r="H41" s="540">
        <v>0</v>
      </c>
      <c r="I41" s="540"/>
      <c r="J41" s="540">
        <v>5.0013000000000002E-3</v>
      </c>
      <c r="K41" s="539"/>
      <c r="L41" s="540">
        <v>5.5338000000000002E-3</v>
      </c>
      <c r="M41" s="539"/>
      <c r="N41" s="540">
        <v>0</v>
      </c>
      <c r="O41" s="539"/>
      <c r="P41" s="540">
        <v>9.9337999999999996E-3</v>
      </c>
      <c r="Q41" s="539"/>
      <c r="R41" s="540">
        <v>4.3899999999999998E-3</v>
      </c>
      <c r="S41" s="539"/>
      <c r="T41" s="540"/>
      <c r="U41" s="522"/>
      <c r="V41" s="539" t="s">
        <v>199</v>
      </c>
      <c r="W41" s="524"/>
      <c r="X41" s="512"/>
    </row>
    <row r="42" spans="1:25" s="513" customFormat="1" x14ac:dyDescent="0.3">
      <c r="A42" s="521"/>
      <c r="B42" s="522" t="s">
        <v>296</v>
      </c>
      <c r="C42" s="522"/>
      <c r="D42" s="528" t="s">
        <v>237</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5" s="513" customFormat="1" x14ac:dyDescent="0.3">
      <c r="A43" s="521"/>
      <c r="B43" s="522" t="s">
        <v>297</v>
      </c>
      <c r="C43" s="541"/>
      <c r="D43" s="540">
        <f>+D40</f>
        <v>2.8774999999999998E-3</v>
      </c>
      <c r="E43" s="540"/>
      <c r="F43" s="540">
        <f>+F40</f>
        <v>2.8774999999999998E-3</v>
      </c>
      <c r="G43" s="540"/>
      <c r="H43" s="540">
        <v>2.7994999999999999E-3</v>
      </c>
      <c r="I43" s="540"/>
      <c r="J43" s="540">
        <v>3.0414999999999999E-3</v>
      </c>
      <c r="K43" s="540"/>
      <c r="L43" s="540">
        <f>+L40</f>
        <v>5.2775000000000001E-3</v>
      </c>
      <c r="M43" s="540"/>
      <c r="N43" s="540">
        <v>5.4795E-3</v>
      </c>
      <c r="O43" s="540"/>
      <c r="P43" s="540">
        <f>+P40</f>
        <v>9.6775000000000003E-3</v>
      </c>
      <c r="Q43" s="539"/>
      <c r="R43" s="540">
        <v>1.0149500000000001E-2</v>
      </c>
      <c r="S43" s="528"/>
      <c r="T43" s="528"/>
      <c r="U43" s="522"/>
      <c r="V43" s="539">
        <f>SUMPRODUCT(D43:R43,D35:R35)/V35</f>
        <v>4.1285646990188536E-3</v>
      </c>
      <c r="W43" s="524"/>
      <c r="X43" s="512"/>
    </row>
    <row r="44" spans="1:25" s="513" customFormat="1" x14ac:dyDescent="0.3">
      <c r="A44" s="521"/>
      <c r="B44" s="522" t="s">
        <v>298</v>
      </c>
      <c r="C44" s="541"/>
      <c r="D44" s="540">
        <f>+D41</f>
        <v>3.1338E-3</v>
      </c>
      <c r="E44" s="540"/>
      <c r="F44" s="540">
        <f>+F41</f>
        <v>3.1338E-3</v>
      </c>
      <c r="G44" s="540"/>
      <c r="H44" s="540">
        <v>3.0558E-3</v>
      </c>
      <c r="I44" s="540"/>
      <c r="J44" s="540">
        <v>3.2978E-3</v>
      </c>
      <c r="K44" s="540"/>
      <c r="L44" s="540">
        <f>+L41</f>
        <v>5.5338000000000002E-3</v>
      </c>
      <c r="M44" s="540"/>
      <c r="N44" s="540">
        <v>5.7358000000000001E-3</v>
      </c>
      <c r="O44" s="540"/>
      <c r="P44" s="540">
        <f>+P41</f>
        <v>9.9337999999999996E-3</v>
      </c>
      <c r="Q44" s="539"/>
      <c r="R44" s="540">
        <v>1.04058E-2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5" s="513" customFormat="1" x14ac:dyDescent="0.3">
      <c r="A48" s="521"/>
      <c r="B48" s="522" t="s">
        <v>299</v>
      </c>
      <c r="C48" s="522"/>
      <c r="D48" s="528" t="s">
        <v>237</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0.36799019983281323</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44243</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91</v>
      </c>
      <c r="S57" s="522"/>
      <c r="T57" s="549">
        <v>44060</v>
      </c>
      <c r="U57" s="550"/>
      <c r="V57" s="549">
        <v>44150</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44151</v>
      </c>
      <c r="U58" s="550"/>
      <c r="V58" s="549">
        <v>44242</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44228</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417</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623162</v>
      </c>
      <c r="O68" s="562"/>
      <c r="P68" s="562">
        <v>20995</v>
      </c>
      <c r="Q68" s="562"/>
      <c r="R68" s="562">
        <v>0</v>
      </c>
      <c r="S68" s="562"/>
      <c r="T68" s="562">
        <v>0</v>
      </c>
      <c r="U68" s="562"/>
      <c r="V68" s="563">
        <f>+N68-P68+R68-T68</f>
        <v>602167</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623162</v>
      </c>
      <c r="O71" s="562"/>
      <c r="P71" s="562">
        <f>SUM(P68:P70)</f>
        <v>20995</v>
      </c>
      <c r="Q71" s="562"/>
      <c r="R71" s="562">
        <f>SUM(R68:R70)</f>
        <v>0</v>
      </c>
      <c r="S71" s="562"/>
      <c r="T71" s="562">
        <f>SUM(T68:T70)</f>
        <v>0</v>
      </c>
      <c r="U71" s="562"/>
      <c r="V71" s="562">
        <f>SUM(V68:V70)</f>
        <v>602167</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623162</v>
      </c>
      <c r="O84" s="562"/>
      <c r="P84" s="562"/>
      <c r="Q84" s="562"/>
      <c r="R84" s="562"/>
      <c r="S84" s="562"/>
      <c r="T84" s="562"/>
      <c r="U84" s="562"/>
      <c r="V84" s="562">
        <f>SUM(V71:V83)</f>
        <v>602167</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44225</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20995-66</f>
        <v>20929</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3396+1541-1450-600</f>
        <v>2887</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148+15</f>
        <v>163</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6</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216</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20929</v>
      </c>
      <c r="U96" s="522"/>
      <c r="V96" s="562">
        <f>SUM(V88:V95)</f>
        <v>3272</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20929</v>
      </c>
      <c r="U100" s="522"/>
      <c r="V100" s="562">
        <f>V96+V98+V97+V99</f>
        <v>3272</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-239-105-8</f>
        <v>-352</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v>-295</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-37</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-100</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-27</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-156</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-34</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-9</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66</v>
      </c>
      <c r="U114" s="522"/>
      <c r="V114" s="563">
        <v>-66</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-239</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-209</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-216</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-18</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-1509</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-9638</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-1714</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-1997</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-1998</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-699</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-2430</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-475</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-2044</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-20995</v>
      </c>
      <c r="U137" s="562"/>
      <c r="V137" s="562">
        <f>SUM(V102:V134)</f>
        <v>-3272</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JANUARY 2021</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66</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66</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-66</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602167</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602167</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+'Oct 20'!S188</f>
        <v>57078</v>
      </c>
      <c r="T186" s="563">
        <f>+'Oct 20'!T188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8.7891566265060241</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2.02</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20.362204724409448</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7.83</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12.942105263157895</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7.1</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JANUARY 2021</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44225</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1.8020000000000001E-2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4.1285646990188536E-3</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1.3891435300981147E-2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5.2506410853036612E-3</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7.66</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3.3691078724312457E-2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6.4299999999999996E-2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0</v>
      </c>
      <c r="T221" s="577">
        <v>0</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69</v>
      </c>
      <c r="T222" s="579">
        <f>+T274</f>
        <v>11130</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+R296</f>
        <v>0</v>
      </c>
      <c r="T223" s="579">
        <f>+T296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66</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'Oct 20'!T228+'Jan 21'!T227</f>
        <v>8697</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1</v>
      </c>
      <c r="T234" s="579">
        <v>113</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0</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4590</v>
      </c>
      <c r="S241" s="588">
        <f t="shared" ref="S241:S248" si="2">R241/$R$250</f>
        <v>0.99221789883268485</v>
      </c>
      <c r="T241" s="589">
        <f t="shared" ref="T241:T248" si="3">+T253+T265+T287</f>
        <v>595758</v>
      </c>
      <c r="U241" s="588">
        <f t="shared" ref="U241:U248" si="4">T241/$T$250</f>
        <v>0.98935677312107773</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24</v>
      </c>
      <c r="S242" s="593">
        <f t="shared" si="2"/>
        <v>5.1880674448767832E-3</v>
      </c>
      <c r="T242" s="563">
        <f t="shared" si="3"/>
        <v>4725</v>
      </c>
      <c r="U242" s="593">
        <f t="shared" si="4"/>
        <v>7.846660477907292E-3</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5</v>
      </c>
      <c r="S243" s="593">
        <f t="shared" si="2"/>
        <v>1.0808473843493299E-3</v>
      </c>
      <c r="T243" s="563">
        <f t="shared" si="3"/>
        <v>498</v>
      </c>
      <c r="U243" s="593">
        <f t="shared" si="4"/>
        <v>8.2701310433816531E-4</v>
      </c>
      <c r="V243" s="582"/>
      <c r="W243" s="583"/>
      <c r="X243" s="512"/>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1</v>
      </c>
      <c r="S244" s="593">
        <f t="shared" si="2"/>
        <v>2.1616947686986597E-4</v>
      </c>
      <c r="T244" s="563">
        <f t="shared" si="3"/>
        <v>103</v>
      </c>
      <c r="U244" s="593">
        <f t="shared" si="4"/>
        <v>1.7104889507395788E-4</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1</v>
      </c>
      <c r="S245" s="593">
        <f t="shared" si="2"/>
        <v>2.1616947686986597E-4</v>
      </c>
      <c r="T245" s="563">
        <f t="shared" si="3"/>
        <v>299</v>
      </c>
      <c r="U245" s="593">
        <f t="shared" si="4"/>
        <v>4.9653999637974179E-4</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1</v>
      </c>
      <c r="S246" s="593">
        <f t="shared" si="2"/>
        <v>2.1616947686986597E-4</v>
      </c>
      <c r="T246" s="563">
        <f t="shared" si="3"/>
        <v>53</v>
      </c>
      <c r="U246" s="593">
        <f t="shared" si="4"/>
        <v>8.8015450863298725E-5</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3</v>
      </c>
      <c r="S247" s="593">
        <f t="shared" si="2"/>
        <v>6.485084306095979E-4</v>
      </c>
      <c r="T247" s="563">
        <f t="shared" si="3"/>
        <v>638</v>
      </c>
      <c r="U247" s="593">
        <f t="shared" si="4"/>
        <v>1.0595067481280109E-3</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1</v>
      </c>
      <c r="S248" s="593">
        <f t="shared" si="2"/>
        <v>2.1616947686986597E-4</v>
      </c>
      <c r="T248" s="563">
        <f t="shared" si="3"/>
        <v>93</v>
      </c>
      <c r="U248" s="593">
        <f t="shared" si="4"/>
        <v>1.5444220623182605E-4</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4626</v>
      </c>
      <c r="S250" s="593">
        <f>SUM(S241:S249)</f>
        <v>1</v>
      </c>
      <c r="T250" s="563">
        <f>SUM(T241:T249)</f>
        <v>602167</v>
      </c>
      <c r="U250" s="593">
        <f>SUM(U241:U249)</f>
        <v>1</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4524</v>
      </c>
      <c r="S253" s="595">
        <f t="shared" ref="S253:S260" si="5">R253/$R$262</f>
        <v>0.9927583936800527</v>
      </c>
      <c r="T253" s="596">
        <v>585049</v>
      </c>
      <c r="U253" s="595">
        <f t="shared" ref="U253:U260" si="6">T253/$T$262</f>
        <v>0.98986865458507678</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23</v>
      </c>
      <c r="S254" s="593">
        <f t="shared" si="5"/>
        <v>5.0471801623875358E-3</v>
      </c>
      <c r="T254" s="563">
        <v>4550</v>
      </c>
      <c r="U254" s="593">
        <f t="shared" si="6"/>
        <v>7.6983336068638681E-3</v>
      </c>
      <c r="V254" s="582"/>
      <c r="W254" s="583"/>
      <c r="X254" s="512"/>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5</v>
      </c>
      <c r="S255" s="593">
        <f t="shared" si="5"/>
        <v>1.0972130787798991E-3</v>
      </c>
      <c r="T255" s="563">
        <v>498</v>
      </c>
      <c r="U255" s="593">
        <f t="shared" si="6"/>
        <v>8.4258684312488055E-4</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1</v>
      </c>
      <c r="S256" s="593">
        <f t="shared" si="5"/>
        <v>2.1944261575597982E-4</v>
      </c>
      <c r="T256" s="563">
        <v>103</v>
      </c>
      <c r="U256" s="593">
        <f t="shared" si="6"/>
        <v>1.7426996956197328E-4</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1</v>
      </c>
      <c r="S257" s="593">
        <f t="shared" si="5"/>
        <v>2.1944261575597982E-4</v>
      </c>
      <c r="T257" s="563">
        <v>299</v>
      </c>
      <c r="U257" s="593">
        <f t="shared" si="6"/>
        <v>5.0589049416533988E-4</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1</v>
      </c>
      <c r="S258" s="593">
        <f t="shared" si="5"/>
        <v>2.1944261575597982E-4</v>
      </c>
      <c r="T258" s="563">
        <v>53</v>
      </c>
      <c r="U258" s="593">
        <f t="shared" si="6"/>
        <v>8.967289695907363E-5</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2</v>
      </c>
      <c r="S259" s="593">
        <f t="shared" si="5"/>
        <v>4.3888523151195964E-4</v>
      </c>
      <c r="T259" s="563">
        <v>485</v>
      </c>
      <c r="U259" s="593">
        <f t="shared" si="6"/>
        <v>8.2059160424812665E-4</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0</v>
      </c>
      <c r="S260" s="593">
        <f t="shared" si="5"/>
        <v>0</v>
      </c>
      <c r="T260" s="563">
        <v>0</v>
      </c>
      <c r="U260" s="593">
        <f t="shared" si="6"/>
        <v>0</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4557</v>
      </c>
      <c r="S262" s="593">
        <f>SUM(S253:S261)</f>
        <v>1.0000000000000002</v>
      </c>
      <c r="T262" s="563">
        <f>SUM(T253:T261)</f>
        <v>591037</v>
      </c>
      <c r="U262" s="593">
        <f>SUM(U253:U261)</f>
        <v>1</v>
      </c>
      <c r="V262" s="522"/>
      <c r="W262" s="524"/>
      <c r="X262" s="512"/>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66</v>
      </c>
      <c r="S265" s="595">
        <f t="shared" ref="S265:S272" si="7">R265/$R$274</f>
        <v>0.95652173913043481</v>
      </c>
      <c r="T265" s="596">
        <v>10709</v>
      </c>
      <c r="U265" s="595">
        <f t="shared" ref="U265:U272" si="8">T265/$T$274</f>
        <v>0.96217430368373769</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1</v>
      </c>
      <c r="S266" s="593">
        <f t="shared" si="7"/>
        <v>1.4492753623188406E-2</v>
      </c>
      <c r="T266" s="563">
        <v>175</v>
      </c>
      <c r="U266" s="593">
        <f t="shared" si="8"/>
        <v>1.5723270440251572E-2</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0</v>
      </c>
      <c r="S267" s="593">
        <f t="shared" si="7"/>
        <v>0</v>
      </c>
      <c r="T267" s="563">
        <v>0</v>
      </c>
      <c r="U267" s="593">
        <f t="shared" si="8"/>
        <v>0</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0</v>
      </c>
      <c r="S268" s="593">
        <f t="shared" si="7"/>
        <v>0</v>
      </c>
      <c r="T268" s="563">
        <v>0</v>
      </c>
      <c r="U268" s="593">
        <f t="shared" si="8"/>
        <v>0</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0</v>
      </c>
      <c r="S269" s="593">
        <f t="shared" si="7"/>
        <v>0</v>
      </c>
      <c r="T269" s="563">
        <v>0</v>
      </c>
      <c r="U269" s="593">
        <f t="shared" si="8"/>
        <v>0</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0</v>
      </c>
      <c r="S270" s="593">
        <f t="shared" si="7"/>
        <v>0</v>
      </c>
      <c r="T270" s="563">
        <v>0</v>
      </c>
      <c r="U270" s="593">
        <f t="shared" si="8"/>
        <v>0</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1</v>
      </c>
      <c r="S271" s="593">
        <f t="shared" si="7"/>
        <v>1.4492753623188406E-2</v>
      </c>
      <c r="T271" s="563">
        <v>153</v>
      </c>
      <c r="U271" s="593">
        <f t="shared" si="8"/>
        <v>1.3746630727762802E-2</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1</v>
      </c>
      <c r="S272" s="593">
        <f t="shared" si="7"/>
        <v>1.4492753623188406E-2</v>
      </c>
      <c r="T272" s="563">
        <v>93</v>
      </c>
      <c r="U272" s="593">
        <f t="shared" si="8"/>
        <v>8.3557951482479791E-3</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69</v>
      </c>
      <c r="S274" s="593">
        <f>SUM(S265:S273)</f>
        <v>0.99999999999999989</v>
      </c>
      <c r="T274" s="563">
        <f>SUM(T265:T273)</f>
        <v>11130</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63</v>
      </c>
      <c r="S277" s="593">
        <f>R277/R284</f>
        <v>0.91304347826086951</v>
      </c>
      <c r="T277" s="563">
        <v>10309</v>
      </c>
      <c r="U277" s="593">
        <f>T277/T284</f>
        <v>0.92623539982030545</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0</v>
      </c>
      <c r="S278" s="593">
        <f>R278/R284</f>
        <v>0</v>
      </c>
      <c r="T278" s="563">
        <v>0</v>
      </c>
      <c r="U278" s="593">
        <f>T278/T284</f>
        <v>0</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3</v>
      </c>
      <c r="S279" s="593">
        <f>R279/R284</f>
        <v>4.3478260869565216E-2</v>
      </c>
      <c r="T279" s="563">
        <v>426</v>
      </c>
      <c r="U279" s="593">
        <f>T279/T284</f>
        <v>3.8274932614555258E-2</v>
      </c>
      <c r="V279" s="522"/>
      <c r="W279" s="524"/>
      <c r="X279" s="512"/>
    </row>
    <row r="280" spans="1:24" s="513" customFormat="1" x14ac:dyDescent="0.3">
      <c r="A280" s="521"/>
      <c r="B280" s="522" t="s">
        <v>413</v>
      </c>
      <c r="C280" s="522"/>
      <c r="D280" s="522"/>
      <c r="E280" s="522"/>
      <c r="F280" s="522"/>
      <c r="G280" s="522"/>
      <c r="H280" s="594"/>
      <c r="I280" s="594"/>
      <c r="J280" s="594"/>
      <c r="K280" s="594"/>
      <c r="L280" s="594"/>
      <c r="M280" s="594"/>
      <c r="N280" s="594"/>
      <c r="O280" s="594"/>
      <c r="P280" s="594"/>
      <c r="Q280" s="594"/>
      <c r="R280" s="562">
        <v>0</v>
      </c>
      <c r="S280" s="593">
        <f>R280/R284</f>
        <v>0</v>
      </c>
      <c r="T280" s="563">
        <v>0</v>
      </c>
      <c r="U280" s="593">
        <f>T280/T284</f>
        <v>0</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3</v>
      </c>
      <c r="S281" s="593">
        <f>R281/R284</f>
        <v>4.3478260869565216E-2</v>
      </c>
      <c r="T281" s="563">
        <v>395</v>
      </c>
      <c r="U281" s="593">
        <f>T281/T284</f>
        <v>3.5489667565139264E-2</v>
      </c>
      <c r="V281" s="522"/>
      <c r="W281" s="524"/>
      <c r="X281" s="512"/>
    </row>
    <row r="282" spans="1:24" s="513" customFormat="1" x14ac:dyDescent="0.3">
      <c r="A282" s="521"/>
      <c r="B282" s="424" t="s">
        <v>402</v>
      </c>
      <c r="C282" s="522"/>
      <c r="D282" s="522"/>
      <c r="E282" s="522"/>
      <c r="F282" s="522"/>
      <c r="G282" s="522"/>
      <c r="H282" s="594"/>
      <c r="I282" s="594"/>
      <c r="J282" s="594"/>
      <c r="K282" s="594"/>
      <c r="L282" s="594"/>
      <c r="M282" s="594"/>
      <c r="N282" s="594"/>
      <c r="O282" s="594"/>
      <c r="P282" s="594"/>
      <c r="Q282" s="594"/>
      <c r="R282" s="562">
        <v>0</v>
      </c>
      <c r="S282" s="593">
        <f>R282/R284</f>
        <v>0</v>
      </c>
      <c r="T282" s="563">
        <v>0</v>
      </c>
      <c r="U282" s="593">
        <f>T282/T284</f>
        <v>0</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69</v>
      </c>
      <c r="S284" s="593">
        <f>SUM(S277:S282)</f>
        <v>0.99999999999999989</v>
      </c>
      <c r="T284" s="563">
        <f>SUM(T277:T282)</f>
        <v>11130</v>
      </c>
      <c r="U284" s="593">
        <f>SUM(U277:U283)</f>
        <v>1</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0</v>
      </c>
      <c r="S296" s="593">
        <f>SUM(S287:S295)</f>
        <v>0</v>
      </c>
      <c r="T296" s="563">
        <f>SUM(T287:T294)</f>
        <v>0</v>
      </c>
      <c r="U296" s="593">
        <f>SUM(U287:U295)</f>
        <v>0</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4626</v>
      </c>
      <c r="S298" s="593"/>
      <c r="T298" s="599">
        <f>+T296+T274+T262</f>
        <v>602167</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626" t="s">
        <v>381</v>
      </c>
      <c r="B300" s="627" t="s">
        <v>382</v>
      </c>
      <c r="C300" s="628"/>
      <c r="D300" s="628"/>
      <c r="E300" s="628"/>
      <c r="F300" s="628"/>
      <c r="G300" s="628"/>
      <c r="H300" s="629"/>
      <c r="I300" s="629"/>
      <c r="J300" s="629"/>
      <c r="K300" s="629"/>
      <c r="L300" s="629"/>
      <c r="M300" s="629"/>
      <c r="N300" s="629"/>
      <c r="O300" s="629"/>
      <c r="P300" s="629"/>
      <c r="Q300" s="629"/>
      <c r="R300" s="638" t="s">
        <v>104</v>
      </c>
      <c r="S300" s="639" t="s">
        <v>105</v>
      </c>
      <c r="T300" s="638" t="s">
        <v>113</v>
      </c>
      <c r="U300" s="639" t="s">
        <v>105</v>
      </c>
      <c r="V300" s="627" t="s">
        <v>412</v>
      </c>
      <c r="W300" s="468"/>
      <c r="X300" s="512"/>
    </row>
    <row r="301" spans="1:24" s="513" customFormat="1" x14ac:dyDescent="0.3">
      <c r="A301" s="630"/>
      <c r="B301" s="631" t="s">
        <v>90</v>
      </c>
      <c r="C301" s="632"/>
      <c r="D301" s="632"/>
      <c r="E301" s="632"/>
      <c r="F301" s="632"/>
      <c r="G301" s="632"/>
      <c r="H301" s="633"/>
      <c r="I301" s="633"/>
      <c r="J301" s="633"/>
      <c r="K301" s="633"/>
      <c r="L301" s="633"/>
      <c r="M301" s="633"/>
      <c r="N301" s="633"/>
      <c r="O301" s="633"/>
      <c r="P301" s="633"/>
      <c r="Q301" s="633"/>
      <c r="R301" s="631">
        <v>43</v>
      </c>
      <c r="S301" s="640">
        <f>R301/$R$310</f>
        <v>1</v>
      </c>
      <c r="T301" s="641">
        <v>5860</v>
      </c>
      <c r="U301" s="640">
        <f>T301/$T$310</f>
        <v>1</v>
      </c>
      <c r="V301" s="552"/>
      <c r="W301" s="552"/>
      <c r="X301" s="512"/>
    </row>
    <row r="302" spans="1:24" s="513" customFormat="1" x14ac:dyDescent="0.3">
      <c r="A302" s="634"/>
      <c r="B302" s="635" t="s">
        <v>91</v>
      </c>
      <c r="C302" s="636"/>
      <c r="D302" s="636"/>
      <c r="E302" s="636"/>
      <c r="F302" s="636"/>
      <c r="G302" s="636"/>
      <c r="H302" s="637"/>
      <c r="I302" s="637"/>
      <c r="J302" s="637"/>
      <c r="K302" s="637"/>
      <c r="L302" s="637"/>
      <c r="M302" s="637"/>
      <c r="N302" s="637"/>
      <c r="O302" s="637"/>
      <c r="P302" s="637"/>
      <c r="Q302" s="637"/>
      <c r="R302" s="635">
        <v>0</v>
      </c>
      <c r="S302" s="646">
        <f t="shared" ref="S302:S308" si="9">R302/$R$310</f>
        <v>0</v>
      </c>
      <c r="T302" s="643">
        <v>0</v>
      </c>
      <c r="U302" s="646">
        <f t="shared" ref="U302:U308" si="10">T302/$T$310</f>
        <v>0</v>
      </c>
      <c r="V302" s="522"/>
      <c r="W302" s="524"/>
      <c r="X302" s="512"/>
    </row>
    <row r="303" spans="1:24" s="513" customFormat="1" x14ac:dyDescent="0.3">
      <c r="A303" s="634"/>
      <c r="B303" s="635" t="s">
        <v>92</v>
      </c>
      <c r="C303" s="636"/>
      <c r="D303" s="636"/>
      <c r="E303" s="636"/>
      <c r="F303" s="636"/>
      <c r="G303" s="636"/>
      <c r="H303" s="637"/>
      <c r="I303" s="637"/>
      <c r="J303" s="637"/>
      <c r="K303" s="637"/>
      <c r="L303" s="637"/>
      <c r="M303" s="637"/>
      <c r="N303" s="637"/>
      <c r="O303" s="637"/>
      <c r="P303" s="637"/>
      <c r="Q303" s="637"/>
      <c r="R303" s="635">
        <v>0</v>
      </c>
      <c r="S303" s="646">
        <f t="shared" si="9"/>
        <v>0</v>
      </c>
      <c r="T303" s="643">
        <v>0</v>
      </c>
      <c r="U303" s="646">
        <f t="shared" si="10"/>
        <v>0</v>
      </c>
      <c r="V303" s="522"/>
      <c r="W303" s="524"/>
      <c r="X303" s="512"/>
    </row>
    <row r="304" spans="1:24" s="513" customFormat="1" x14ac:dyDescent="0.3">
      <c r="A304" s="634"/>
      <c r="B304" s="635" t="s">
        <v>161</v>
      </c>
      <c r="C304" s="636"/>
      <c r="D304" s="636"/>
      <c r="E304" s="636"/>
      <c r="F304" s="636"/>
      <c r="G304" s="636"/>
      <c r="H304" s="637"/>
      <c r="I304" s="637"/>
      <c r="J304" s="637"/>
      <c r="K304" s="637"/>
      <c r="L304" s="637"/>
      <c r="M304" s="637"/>
      <c r="N304" s="637"/>
      <c r="O304" s="637"/>
      <c r="P304" s="637"/>
      <c r="Q304" s="637"/>
      <c r="R304" s="635">
        <v>0</v>
      </c>
      <c r="S304" s="646">
        <f t="shared" si="9"/>
        <v>0</v>
      </c>
      <c r="T304" s="643">
        <v>0</v>
      </c>
      <c r="U304" s="646">
        <f t="shared" si="10"/>
        <v>0</v>
      </c>
      <c r="V304" s="522"/>
      <c r="W304" s="524"/>
      <c r="X304" s="512"/>
    </row>
    <row r="305" spans="1:24" s="513" customFormat="1" x14ac:dyDescent="0.3">
      <c r="A305" s="634"/>
      <c r="B305" s="635" t="s">
        <v>162</v>
      </c>
      <c r="C305" s="636"/>
      <c r="D305" s="636"/>
      <c r="E305" s="636"/>
      <c r="F305" s="636"/>
      <c r="G305" s="636"/>
      <c r="H305" s="637"/>
      <c r="I305" s="637"/>
      <c r="J305" s="637"/>
      <c r="K305" s="637"/>
      <c r="L305" s="637"/>
      <c r="M305" s="637"/>
      <c r="N305" s="637"/>
      <c r="O305" s="637"/>
      <c r="P305" s="637"/>
      <c r="Q305" s="637"/>
      <c r="R305" s="635">
        <v>0</v>
      </c>
      <c r="S305" s="646">
        <f t="shared" si="9"/>
        <v>0</v>
      </c>
      <c r="T305" s="643">
        <v>0</v>
      </c>
      <c r="U305" s="646">
        <f t="shared" si="10"/>
        <v>0</v>
      </c>
      <c r="V305" s="522"/>
      <c r="W305" s="524"/>
      <c r="X305" s="512"/>
    </row>
    <row r="306" spans="1:24" s="513" customFormat="1" x14ac:dyDescent="0.3">
      <c r="A306" s="634"/>
      <c r="B306" s="635" t="s">
        <v>163</v>
      </c>
      <c r="C306" s="636"/>
      <c r="D306" s="636"/>
      <c r="E306" s="636"/>
      <c r="F306" s="636"/>
      <c r="G306" s="636"/>
      <c r="H306" s="637"/>
      <c r="I306" s="637"/>
      <c r="J306" s="637"/>
      <c r="K306" s="637"/>
      <c r="L306" s="637"/>
      <c r="M306" s="637"/>
      <c r="N306" s="637"/>
      <c r="O306" s="637"/>
      <c r="P306" s="637"/>
      <c r="Q306" s="637"/>
      <c r="R306" s="635">
        <v>0</v>
      </c>
      <c r="S306" s="646">
        <f t="shared" si="9"/>
        <v>0</v>
      </c>
      <c r="T306" s="643">
        <v>0</v>
      </c>
      <c r="U306" s="646">
        <f t="shared" si="10"/>
        <v>0</v>
      </c>
      <c r="V306" s="522"/>
      <c r="W306" s="524"/>
      <c r="X306" s="512"/>
    </row>
    <row r="307" spans="1:24" s="513" customFormat="1" x14ac:dyDescent="0.3">
      <c r="A307" s="634"/>
      <c r="B307" s="635" t="s">
        <v>164</v>
      </c>
      <c r="C307" s="636"/>
      <c r="D307" s="636"/>
      <c r="E307" s="636"/>
      <c r="F307" s="636"/>
      <c r="G307" s="636"/>
      <c r="H307" s="637"/>
      <c r="I307" s="637"/>
      <c r="J307" s="637"/>
      <c r="K307" s="637"/>
      <c r="L307" s="637"/>
      <c r="M307" s="637"/>
      <c r="N307" s="637"/>
      <c r="O307" s="637"/>
      <c r="P307" s="637"/>
      <c r="Q307" s="637"/>
      <c r="R307" s="635">
        <v>0</v>
      </c>
      <c r="S307" s="646">
        <f t="shared" si="9"/>
        <v>0</v>
      </c>
      <c r="T307" s="643">
        <v>0</v>
      </c>
      <c r="U307" s="646">
        <f t="shared" si="10"/>
        <v>0</v>
      </c>
      <c r="V307" s="522"/>
      <c r="W307" s="524"/>
      <c r="X307" s="512"/>
    </row>
    <row r="308" spans="1:24" s="513" customFormat="1" x14ac:dyDescent="0.3">
      <c r="A308" s="634"/>
      <c r="B308" s="635" t="s">
        <v>165</v>
      </c>
      <c r="C308" s="636"/>
      <c r="D308" s="636"/>
      <c r="E308" s="636"/>
      <c r="F308" s="636"/>
      <c r="G308" s="636"/>
      <c r="H308" s="637"/>
      <c r="I308" s="637"/>
      <c r="J308" s="637"/>
      <c r="K308" s="637"/>
      <c r="L308" s="637"/>
      <c r="M308" s="637"/>
      <c r="N308" s="637"/>
      <c r="O308" s="637"/>
      <c r="P308" s="637"/>
      <c r="Q308" s="637"/>
      <c r="R308" s="655">
        <v>0</v>
      </c>
      <c r="S308" s="640">
        <f t="shared" si="9"/>
        <v>0</v>
      </c>
      <c r="T308" s="656">
        <v>0</v>
      </c>
      <c r="U308" s="640">
        <f t="shared" si="10"/>
        <v>0</v>
      </c>
      <c r="V308" s="657"/>
      <c r="W308" s="524"/>
      <c r="X308" s="512"/>
    </row>
    <row r="309" spans="1:24" s="513" customFormat="1" x14ac:dyDescent="0.3">
      <c r="A309" s="634"/>
      <c r="B309" s="635"/>
      <c r="C309" s="636"/>
      <c r="D309" s="636"/>
      <c r="E309" s="636"/>
      <c r="F309" s="636"/>
      <c r="G309" s="636"/>
      <c r="H309" s="637"/>
      <c r="I309" s="637"/>
      <c r="J309" s="637"/>
      <c r="K309" s="637"/>
      <c r="L309" s="637"/>
      <c r="M309" s="637"/>
      <c r="N309" s="637"/>
      <c r="O309" s="637"/>
      <c r="P309" s="670"/>
      <c r="Q309" s="637"/>
      <c r="R309" s="671"/>
      <c r="S309" s="672"/>
      <c r="T309" s="673"/>
      <c r="U309" s="672"/>
      <c r="V309" s="674"/>
      <c r="W309" s="524"/>
      <c r="X309" s="512"/>
    </row>
    <row r="310" spans="1:24" s="513" customFormat="1" x14ac:dyDescent="0.3">
      <c r="A310" s="634"/>
      <c r="B310" s="636" t="s">
        <v>119</v>
      </c>
      <c r="C310" s="636"/>
      <c r="D310" s="636"/>
      <c r="E310" s="636"/>
      <c r="F310" s="636"/>
      <c r="G310" s="636"/>
      <c r="H310" s="637"/>
      <c r="I310" s="637"/>
      <c r="J310" s="637"/>
      <c r="K310" s="637"/>
      <c r="L310" s="637"/>
      <c r="M310" s="637"/>
      <c r="N310" s="637"/>
      <c r="O310" s="637"/>
      <c r="P310" s="637"/>
      <c r="Q310" s="675"/>
      <c r="R310" s="671">
        <f>SUM(R301:R308)</f>
        <v>43</v>
      </c>
      <c r="S310" s="672">
        <f>SUM(S301:S309)</f>
        <v>1</v>
      </c>
      <c r="T310" s="673">
        <f>SUM(T301:T308)</f>
        <v>5860</v>
      </c>
      <c r="U310" s="672">
        <f>SUM(U301:U309)</f>
        <v>1</v>
      </c>
      <c r="V310" s="674"/>
      <c r="W310" s="524"/>
      <c r="X310" s="512"/>
    </row>
    <row r="311" spans="1:24" s="513" customFormat="1" ht="16.2" thickBot="1" x14ac:dyDescent="0.35">
      <c r="A311" s="634"/>
      <c r="B311" s="636" t="s">
        <v>396</v>
      </c>
      <c r="C311" s="636"/>
      <c r="D311" s="636"/>
      <c r="E311" s="636"/>
      <c r="F311" s="636"/>
      <c r="G311" s="636"/>
      <c r="H311" s="637"/>
      <c r="I311" s="637"/>
      <c r="J311" s="637"/>
      <c r="K311" s="637"/>
      <c r="L311" s="637"/>
      <c r="M311" s="637"/>
      <c r="N311" s="637"/>
      <c r="O311" s="637"/>
      <c r="P311" s="637"/>
      <c r="Q311" s="637"/>
      <c r="R311" s="666"/>
      <c r="S311" s="667">
        <f>R310/R298</f>
        <v>9.2952875054042369E-3</v>
      </c>
      <c r="T311" s="668"/>
      <c r="U311" s="667">
        <f>T310/T298</f>
        <v>9.731519661489255E-3</v>
      </c>
      <c r="V311" s="552"/>
      <c r="W311" s="524"/>
      <c r="X311" s="512"/>
    </row>
    <row r="312" spans="1:24" s="513" customFormat="1" ht="16.2" thickTop="1" x14ac:dyDescent="0.3">
      <c r="A312" s="634"/>
      <c r="B312" s="636" t="s">
        <v>406</v>
      </c>
      <c r="C312" s="636"/>
      <c r="D312" s="636"/>
      <c r="E312" s="636"/>
      <c r="F312" s="636"/>
      <c r="G312" s="636"/>
      <c r="H312" s="637"/>
      <c r="I312" s="637"/>
      <c r="J312" s="637"/>
      <c r="K312" s="637"/>
      <c r="L312" s="637"/>
      <c r="M312" s="637"/>
      <c r="N312" s="637"/>
      <c r="O312" s="637"/>
      <c r="P312" s="637"/>
      <c r="Q312" s="637"/>
      <c r="R312" s="658">
        <v>4</v>
      </c>
      <c r="S312" s="659">
        <f>R312/R310</f>
        <v>9.3023255813953487E-2</v>
      </c>
      <c r="T312" s="660">
        <v>480</v>
      </c>
      <c r="U312" s="659">
        <f>T312/T310</f>
        <v>8.191126279863481E-2</v>
      </c>
      <c r="V312" s="669">
        <v>0.70161290322580649</v>
      </c>
      <c r="W312" s="524"/>
      <c r="X312" s="512"/>
    </row>
    <row r="313" spans="1:24" s="513" customFormat="1" ht="16.2" thickBot="1" x14ac:dyDescent="0.35">
      <c r="A313" s="634"/>
      <c r="B313" s="636" t="s">
        <v>407</v>
      </c>
      <c r="C313" s="636"/>
      <c r="D313" s="636"/>
      <c r="E313" s="636"/>
      <c r="F313" s="636"/>
      <c r="G313" s="636"/>
      <c r="H313" s="637"/>
      <c r="I313" s="637"/>
      <c r="J313" s="637"/>
      <c r="K313" s="637"/>
      <c r="L313" s="637"/>
      <c r="M313" s="637"/>
      <c r="N313" s="637"/>
      <c r="O313" s="637"/>
      <c r="P313" s="637"/>
      <c r="Q313" s="637"/>
      <c r="R313" s="661">
        <v>39</v>
      </c>
      <c r="S313" s="662">
        <f>R313/R310</f>
        <v>0.90697674418604646</v>
      </c>
      <c r="T313" s="663">
        <v>5380</v>
      </c>
      <c r="U313" s="664">
        <f>T313/T310</f>
        <v>0.91808873720136519</v>
      </c>
      <c r="V313" s="665">
        <v>0.71629445822994209</v>
      </c>
      <c r="W313" s="524"/>
      <c r="X313" s="512"/>
    </row>
    <row r="314" spans="1:24" s="513" customFormat="1" ht="16.2" thickTop="1" x14ac:dyDescent="0.3">
      <c r="A314" s="509"/>
      <c r="B314" s="591"/>
      <c r="C314" s="552"/>
      <c r="D314" s="552"/>
      <c r="E314" s="552"/>
      <c r="F314" s="552"/>
      <c r="G314" s="552"/>
      <c r="H314" s="597"/>
      <c r="I314" s="597"/>
      <c r="J314" s="597"/>
      <c r="K314" s="597"/>
      <c r="L314" s="597"/>
      <c r="M314" s="597"/>
      <c r="N314" s="597"/>
      <c r="O314" s="597"/>
      <c r="P314" s="597"/>
      <c r="Q314" s="597"/>
      <c r="R314" s="624"/>
      <c r="S314" s="595"/>
      <c r="T314" s="625"/>
      <c r="U314" s="595"/>
      <c r="V314" s="625"/>
      <c r="W314" s="645"/>
      <c r="X314" s="512"/>
    </row>
    <row r="315" spans="1:24" s="513" customFormat="1" x14ac:dyDescent="0.3">
      <c r="A315" s="509"/>
      <c r="B315" s="510"/>
      <c r="C315" s="510"/>
      <c r="D315" s="510"/>
      <c r="E315" s="510"/>
      <c r="F315" s="510"/>
      <c r="G315" s="510"/>
      <c r="H315" s="600"/>
      <c r="I315" s="600"/>
      <c r="J315" s="600"/>
      <c r="K315" s="600"/>
      <c r="L315" s="600"/>
      <c r="M315" s="600"/>
      <c r="N315" s="600"/>
      <c r="O315" s="600"/>
      <c r="P315" s="600"/>
      <c r="Q315" s="600"/>
      <c r="R315" s="600"/>
      <c r="S315" s="600"/>
      <c r="T315" s="601"/>
      <c r="U315" s="600"/>
      <c r="V315" s="510"/>
      <c r="W315" s="510"/>
      <c r="X315" s="512"/>
    </row>
    <row r="316" spans="1:24" s="513" customFormat="1" x14ac:dyDescent="0.3">
      <c r="A316" s="509"/>
      <c r="B316" s="508" t="s">
        <v>93</v>
      </c>
      <c r="C316" s="510"/>
      <c r="D316" s="510"/>
      <c r="E316" s="510"/>
      <c r="F316" s="516" t="s">
        <v>99</v>
      </c>
      <c r="G316" s="510"/>
      <c r="H316" s="508" t="s">
        <v>101</v>
      </c>
      <c r="I316" s="510"/>
      <c r="J316" s="510"/>
      <c r="K316" s="510"/>
      <c r="L316" s="510"/>
      <c r="M316" s="510"/>
      <c r="N316" s="510"/>
      <c r="O316" s="510"/>
      <c r="P316" s="510"/>
      <c r="Q316" s="510"/>
      <c r="R316" s="510"/>
      <c r="S316" s="510"/>
      <c r="T316" s="510"/>
      <c r="U316" s="510"/>
      <c r="V316" s="510"/>
      <c r="W316" s="510"/>
      <c r="X316" s="512"/>
    </row>
    <row r="317" spans="1:24" s="513" customFormat="1" x14ac:dyDescent="0.3">
      <c r="A317" s="509"/>
      <c r="B317" s="508" t="s">
        <v>327</v>
      </c>
      <c r="C317" s="508"/>
      <c r="D317" s="508"/>
      <c r="E317" s="508"/>
      <c r="F317" s="602" t="s">
        <v>278</v>
      </c>
      <c r="G317" s="508"/>
      <c r="H317" s="402" t="s">
        <v>350</v>
      </c>
      <c r="I317" s="510"/>
      <c r="J317" s="510"/>
      <c r="K317" s="510"/>
      <c r="L317" s="510"/>
      <c r="M317" s="510"/>
      <c r="N317" s="510"/>
      <c r="O317" s="510"/>
      <c r="P317" s="510"/>
      <c r="Q317" s="510"/>
      <c r="R317" s="510"/>
      <c r="S317" s="510"/>
      <c r="T317" s="510"/>
      <c r="U317" s="510"/>
      <c r="V317" s="510"/>
      <c r="W317" s="510"/>
      <c r="X317" s="512"/>
    </row>
    <row r="318" spans="1:24" s="513" customFormat="1" x14ac:dyDescent="0.3">
      <c r="A318" s="509"/>
      <c r="B318" s="508" t="s">
        <v>328</v>
      </c>
      <c r="C318" s="508"/>
      <c r="D318" s="508"/>
      <c r="E318" s="508"/>
      <c r="F318" s="602" t="s">
        <v>152</v>
      </c>
      <c r="G318" s="508"/>
      <c r="H318" s="402" t="s">
        <v>351</v>
      </c>
      <c r="I318" s="510"/>
      <c r="J318" s="510"/>
      <c r="K318" s="510"/>
      <c r="L318" s="510"/>
      <c r="M318" s="510"/>
      <c r="N318" s="510"/>
      <c r="O318" s="510"/>
      <c r="P318" s="510"/>
      <c r="Q318" s="510"/>
      <c r="R318" s="510"/>
      <c r="S318" s="510"/>
      <c r="T318" s="510"/>
      <c r="U318" s="510"/>
      <c r="V318" s="510"/>
      <c r="W318" s="510"/>
      <c r="X318" s="512"/>
    </row>
    <row r="319" spans="1:24" s="513" customFormat="1" x14ac:dyDescent="0.3">
      <c r="A319" s="509"/>
      <c r="B319" s="508"/>
      <c r="C319" s="508"/>
      <c r="D319" s="508"/>
      <c r="E319" s="508"/>
      <c r="F319" s="602"/>
      <c r="G319" s="508"/>
      <c r="H319" s="402"/>
      <c r="I319" s="510"/>
      <c r="J319" s="510"/>
      <c r="K319" s="510"/>
      <c r="L319" s="510"/>
      <c r="M319" s="510"/>
      <c r="N319" s="510"/>
      <c r="O319" s="510"/>
      <c r="P319" s="510"/>
      <c r="Q319" s="510"/>
      <c r="R319" s="510"/>
      <c r="S319" s="510"/>
      <c r="T319" s="510"/>
      <c r="U319" s="510"/>
      <c r="V319" s="510"/>
      <c r="W319" s="510"/>
      <c r="X319" s="512"/>
    </row>
    <row r="320" spans="1:24" s="513" customFormat="1" x14ac:dyDescent="0.3">
      <c r="A320" s="509"/>
      <c r="B320" s="644" t="s">
        <v>391</v>
      </c>
      <c r="C320" s="508"/>
      <c r="D320" s="508"/>
      <c r="E320" s="508"/>
      <c r="F320" s="602"/>
      <c r="G320" s="508"/>
      <c r="H320" s="402"/>
      <c r="I320" s="510"/>
      <c r="J320" s="510"/>
      <c r="K320" s="510"/>
      <c r="L320" s="510"/>
      <c r="M320" s="510"/>
      <c r="N320" s="510"/>
      <c r="O320" s="510"/>
      <c r="P320" s="510"/>
      <c r="Q320" s="510"/>
      <c r="R320" s="510"/>
      <c r="S320" s="510"/>
      <c r="T320" s="510"/>
      <c r="U320" s="510"/>
      <c r="V320" s="510"/>
      <c r="W320" s="510"/>
      <c r="X320" s="512"/>
    </row>
    <row r="321" spans="1:24" s="513" customFormat="1" x14ac:dyDescent="0.3">
      <c r="A321" s="509"/>
      <c r="B321" s="508"/>
      <c r="C321" s="508"/>
      <c r="D321" s="508"/>
      <c r="E321" s="508"/>
      <c r="F321" s="602"/>
      <c r="G321" s="508"/>
      <c r="H321" s="402"/>
      <c r="I321" s="510"/>
      <c r="J321" s="510"/>
      <c r="K321" s="510"/>
      <c r="L321" s="510"/>
      <c r="M321" s="510"/>
      <c r="N321" s="510"/>
      <c r="O321" s="510"/>
      <c r="P321" s="510"/>
      <c r="Q321" s="510"/>
      <c r="R321" s="510"/>
      <c r="S321" s="510"/>
      <c r="T321" s="510"/>
      <c r="U321" s="510"/>
      <c r="V321" s="510"/>
      <c r="W321" s="510"/>
      <c r="X321" s="512"/>
    </row>
    <row r="322" spans="1:24" s="513" customFormat="1" ht="18" x14ac:dyDescent="0.35">
      <c r="A322" s="509"/>
      <c r="B322" s="647" t="s">
        <v>174</v>
      </c>
      <c r="C322" s="508"/>
      <c r="D322" s="508"/>
      <c r="E322" s="508"/>
      <c r="F322" s="602"/>
      <c r="G322" s="508"/>
      <c r="H322" s="402"/>
      <c r="I322" s="510"/>
      <c r="J322" s="510"/>
      <c r="K322" s="510"/>
      <c r="L322" s="552"/>
      <c r="M322" s="552"/>
      <c r="N322" s="552"/>
      <c r="O322" s="552"/>
      <c r="P322" s="648" t="s">
        <v>349</v>
      </c>
      <c r="Q322" s="552"/>
      <c r="R322" s="552"/>
      <c r="S322" s="552"/>
      <c r="T322" s="510"/>
      <c r="U322" s="510"/>
      <c r="V322" s="510"/>
      <c r="W322" s="510"/>
      <c r="X322" s="512"/>
    </row>
    <row r="323" spans="1:24" s="513" customFormat="1" x14ac:dyDescent="0.3">
      <c r="A323" s="509"/>
      <c r="B323" s="508"/>
      <c r="C323" s="508"/>
      <c r="D323" s="508"/>
      <c r="E323" s="508"/>
      <c r="F323" s="602"/>
      <c r="G323" s="508"/>
      <c r="H323" s="402"/>
      <c r="I323" s="510"/>
      <c r="J323" s="510"/>
      <c r="K323" s="510"/>
      <c r="L323" s="510"/>
      <c r="M323" s="510"/>
      <c r="N323" s="510"/>
      <c r="O323" s="510"/>
      <c r="P323" s="510"/>
      <c r="Q323" s="510"/>
      <c r="R323" s="510"/>
      <c r="S323" s="510"/>
      <c r="T323" s="510"/>
      <c r="U323" s="510"/>
      <c r="V323" s="510"/>
      <c r="W323" s="510"/>
      <c r="X323" s="512"/>
    </row>
    <row r="324" spans="1:24" s="513" customFormat="1" x14ac:dyDescent="0.3">
      <c r="A324" s="509"/>
      <c r="B324" s="508"/>
      <c r="C324" s="508"/>
      <c r="D324" s="508"/>
      <c r="E324" s="508"/>
      <c r="F324" s="508"/>
      <c r="G324" s="508"/>
      <c r="H324" s="510"/>
      <c r="I324" s="510"/>
      <c r="J324" s="510"/>
      <c r="K324" s="510"/>
      <c r="L324" s="510"/>
      <c r="M324" s="510"/>
      <c r="N324" s="510"/>
      <c r="O324" s="510"/>
      <c r="P324" s="510"/>
      <c r="Q324" s="510"/>
      <c r="R324" s="510"/>
      <c r="S324" s="510"/>
      <c r="T324" s="510"/>
      <c r="U324" s="510"/>
      <c r="V324" s="510"/>
      <c r="W324" s="510"/>
      <c r="X324" s="512"/>
    </row>
    <row r="325" spans="1:24" s="513" customFormat="1" ht="18.600000000000001" thickBot="1" x14ac:dyDescent="0.4">
      <c r="A325" s="509"/>
      <c r="B325" s="603" t="str">
        <f>B202</f>
        <v>PM12 INVESTOR REPORT QUARTER ENDING JANUARY 2021</v>
      </c>
      <c r="C325" s="508"/>
      <c r="D325" s="508"/>
      <c r="E325" s="508"/>
      <c r="F325" s="508"/>
      <c r="G325" s="508"/>
      <c r="H325" s="510"/>
      <c r="I325" s="510"/>
      <c r="J325" s="510"/>
      <c r="K325" s="510"/>
      <c r="L325" s="510"/>
      <c r="M325" s="510"/>
      <c r="N325" s="510"/>
      <c r="O325" s="510"/>
      <c r="P325" s="510"/>
      <c r="Q325" s="510"/>
      <c r="R325" s="510"/>
      <c r="S325" s="510"/>
      <c r="T325" s="510"/>
      <c r="U325" s="510"/>
      <c r="V325" s="510"/>
      <c r="W325" s="510"/>
      <c r="X325" s="512"/>
    </row>
    <row r="326" spans="1:24" x14ac:dyDescent="0.3">
      <c r="A326" s="492"/>
      <c r="B326" s="492"/>
      <c r="C326" s="492"/>
      <c r="D326" s="492"/>
      <c r="E326" s="492"/>
      <c r="F326" s="492"/>
      <c r="G326" s="492"/>
      <c r="H326" s="492"/>
      <c r="I326" s="492"/>
      <c r="J326" s="492"/>
      <c r="K326" s="492"/>
      <c r="L326" s="492"/>
      <c r="M326" s="492"/>
      <c r="N326" s="492"/>
      <c r="O326" s="492"/>
      <c r="P326" s="492"/>
      <c r="Q326" s="492"/>
      <c r="R326" s="492"/>
      <c r="S326" s="492"/>
      <c r="T326" s="492"/>
      <c r="U326" s="492"/>
      <c r="V326" s="492"/>
      <c r="W326" s="492"/>
    </row>
    <row r="327" spans="1:24" x14ac:dyDescent="0.3">
      <c r="B327" s="406" t="s">
        <v>384</v>
      </c>
    </row>
    <row r="328" spans="1:24" x14ac:dyDescent="0.3">
      <c r="B328" s="623" t="s">
        <v>378</v>
      </c>
    </row>
    <row r="330" spans="1:24" x14ac:dyDescent="0.3">
      <c r="B330" s="649" t="s">
        <v>385</v>
      </c>
    </row>
    <row r="331" spans="1:24" x14ac:dyDescent="0.3">
      <c r="B331" s="406" t="s">
        <v>386</v>
      </c>
    </row>
    <row r="332" spans="1:24" x14ac:dyDescent="0.3">
      <c r="B332" s="406" t="s">
        <v>387</v>
      </c>
    </row>
    <row r="333" spans="1:24" x14ac:dyDescent="0.3">
      <c r="B333" s="406" t="s">
        <v>388</v>
      </c>
    </row>
    <row r="334" spans="1:24" x14ac:dyDescent="0.3">
      <c r="B334" s="406" t="s">
        <v>389</v>
      </c>
    </row>
    <row r="335" spans="1:24" x14ac:dyDescent="0.3">
      <c r="B335" s="406" t="s">
        <v>392</v>
      </c>
    </row>
    <row r="336" spans="1:24" x14ac:dyDescent="0.3">
      <c r="B336" s="652" t="s">
        <v>390</v>
      </c>
    </row>
    <row r="337" spans="2:2" x14ac:dyDescent="0.3">
      <c r="B337" s="652" t="s">
        <v>403</v>
      </c>
    </row>
    <row r="339" spans="2:2" s="652" customFormat="1" x14ac:dyDescent="0.3">
      <c r="B339" s="654" t="s">
        <v>408</v>
      </c>
    </row>
    <row r="340" spans="2:2" s="652" customFormat="1" x14ac:dyDescent="0.3">
      <c r="B340" s="652" t="s">
        <v>415</v>
      </c>
    </row>
    <row r="341" spans="2:2" s="652" customFormat="1" x14ac:dyDescent="0.3">
      <c r="B341" s="652" t="s">
        <v>416</v>
      </c>
    </row>
    <row r="343" spans="2:2" x14ac:dyDescent="0.3">
      <c r="B343" s="649" t="s">
        <v>393</v>
      </c>
    </row>
    <row r="344" spans="2:2" x14ac:dyDescent="0.3">
      <c r="B344" s="406" t="s">
        <v>394</v>
      </c>
    </row>
    <row r="345" spans="2:2" x14ac:dyDescent="0.3">
      <c r="B345" s="406" t="s">
        <v>395</v>
      </c>
    </row>
  </sheetData>
  <hyperlinks>
    <hyperlink ref="I9" r:id="rId1" xr:uid="{E61104C7-4D73-4DDB-BF1E-1249550A056B}"/>
    <hyperlink ref="P238" r:id="rId2" xr:uid="{A5BB5418-2365-44A0-BC80-2E6245831C31}"/>
    <hyperlink ref="B328" r:id="rId3" xr:uid="{88CFB641-F776-4A4A-A5E6-AC008F9B6B7C}"/>
    <hyperlink ref="P322" r:id="rId4" xr:uid="{B5D70B8A-FC77-4939-84FE-00A88CF4DCE5}"/>
  </hyperlinks>
  <printOptions horizontalCentered="1" verticalCentered="1"/>
  <pageMargins left="0.19685039370078741" right="0.19685039370078741" top="0.27559055118110237" bottom="0.27559055118110237" header="0" footer="0"/>
  <pageSetup scale="37" orientation="landscape" r:id="rId5"/>
  <headerFooter alignWithMargins="0"/>
  <rowBreaks count="3" manualBreakCount="3">
    <brk id="64" max="23" man="1"/>
    <brk id="141" max="14" man="1"/>
    <brk id="202" max="14" man="1"/>
  </rowBreaks>
  <drawing r:id="rId6"/>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7B802-44E0-4D71-8CD5-57C3F60907A0}">
  <sheetPr>
    <tabColor rgb="FF89CB31"/>
  </sheetPr>
  <dimension ref="A1:AA345"/>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0.67920000000000003</v>
      </c>
      <c r="T16" s="516" t="s">
        <v>145</v>
      </c>
      <c r="U16" s="515">
        <v>0.32079999999999997</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44340</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276415.7912334</v>
      </c>
      <c r="E32" s="529"/>
      <c r="F32" s="530">
        <f>F31*F38</f>
        <v>49165.556000000004</v>
      </c>
      <c r="G32" s="530"/>
      <c r="H32" s="534">
        <f>H31*H38</f>
        <v>83072.835999999996</v>
      </c>
      <c r="I32" s="534"/>
      <c r="J32" s="533">
        <f>J31*J38</f>
        <v>105450.83219999999</v>
      </c>
      <c r="K32" s="530"/>
      <c r="L32" s="530">
        <f>L31*L38</f>
        <v>20047.424999999999</v>
      </c>
      <c r="M32" s="530"/>
      <c r="N32" s="534">
        <f>N31*N38</f>
        <v>101039.022</v>
      </c>
      <c r="O32" s="530"/>
      <c r="P32" s="530">
        <f>P31*P38</f>
        <v>13632.249</v>
      </c>
      <c r="Q32" s="530"/>
      <c r="R32" s="534">
        <f>R31*R38</f>
        <v>85001.081999999995</v>
      </c>
      <c r="S32" s="530"/>
      <c r="T32" s="530"/>
      <c r="U32" s="529"/>
      <c r="V32" s="530"/>
      <c r="W32" s="531"/>
      <c r="X32" s="512"/>
    </row>
    <row r="33" spans="1:25" s="513" customFormat="1" x14ac:dyDescent="0.3">
      <c r="A33" s="521"/>
      <c r="B33" s="527" t="s">
        <v>139</v>
      </c>
      <c r="C33" s="529"/>
      <c r="D33" s="619">
        <f>D34*D37</f>
        <v>264057.59064359998</v>
      </c>
      <c r="E33" s="532"/>
      <c r="F33" s="535">
        <f>F37*F31</f>
        <v>46967.442999999999</v>
      </c>
      <c r="G33" s="535"/>
      <c r="H33" s="537">
        <f>H31*H37</f>
        <v>79358.78300000001</v>
      </c>
      <c r="I33" s="537"/>
      <c r="J33" s="536">
        <f>J37*J31</f>
        <v>100736.2588</v>
      </c>
      <c r="K33" s="535"/>
      <c r="L33" s="535">
        <f>L37*L31</f>
        <v>19151.134999999998</v>
      </c>
      <c r="M33" s="535"/>
      <c r="N33" s="537">
        <f>N37*N31</f>
        <v>96521.720400000006</v>
      </c>
      <c r="O33" s="535"/>
      <c r="P33" s="535">
        <f>P37*P31</f>
        <v>13022.7718</v>
      </c>
      <c r="Q33" s="535"/>
      <c r="R33" s="537">
        <f>R37*R31</f>
        <v>81200.812399999995</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276415.7912334</v>
      </c>
      <c r="E35" s="529"/>
      <c r="F35" s="530">
        <f>F34*F38</f>
        <v>49165.556000000004</v>
      </c>
      <c r="G35" s="530"/>
      <c r="H35" s="530">
        <f>H34*H38</f>
        <v>57291.774724800001</v>
      </c>
      <c r="I35" s="530"/>
      <c r="J35" s="530">
        <f>J34*J38</f>
        <v>57310.3233444</v>
      </c>
      <c r="K35" s="530"/>
      <c r="L35" s="530">
        <f>L34*L38</f>
        <v>20047.424999999999</v>
      </c>
      <c r="M35" s="530"/>
      <c r="N35" s="530">
        <f>N34*N38</f>
        <v>69682.443608999994</v>
      </c>
      <c r="O35" s="530"/>
      <c r="P35" s="530">
        <f>P34*P38</f>
        <v>13632.249</v>
      </c>
      <c r="Q35" s="530"/>
      <c r="R35" s="530">
        <f>R34*R38</f>
        <v>58621.076390999995</v>
      </c>
      <c r="S35" s="530"/>
      <c r="T35" s="530"/>
      <c r="U35" s="529"/>
      <c r="V35" s="530">
        <f>SUM(C35:R35)</f>
        <v>602166.63930259983</v>
      </c>
      <c r="W35" s="531"/>
      <c r="X35" s="512"/>
    </row>
    <row r="36" spans="1:25" s="513" customFormat="1" x14ac:dyDescent="0.3">
      <c r="A36" s="525"/>
      <c r="B36" s="527" t="s">
        <v>295</v>
      </c>
      <c r="C36" s="532"/>
      <c r="D36" s="535">
        <f>D34*D37</f>
        <v>264057.59064359998</v>
      </c>
      <c r="E36" s="532"/>
      <c r="F36" s="535">
        <f>F34*F37</f>
        <v>46967.442999999999</v>
      </c>
      <c r="G36" s="535"/>
      <c r="H36" s="535">
        <f>H34*H37</f>
        <v>54730.3515444</v>
      </c>
      <c r="I36" s="535"/>
      <c r="J36" s="535">
        <f>J34*J37</f>
        <v>54748.051237599997</v>
      </c>
      <c r="K36" s="535"/>
      <c r="L36" s="535">
        <f>L34*L37</f>
        <v>19151.134999999998</v>
      </c>
      <c r="M36" s="535"/>
      <c r="N36" s="535">
        <f>N34*N37</f>
        <v>66567.047123800003</v>
      </c>
      <c r="O36" s="535"/>
      <c r="P36" s="535">
        <f>P34*P37</f>
        <v>13022.7718</v>
      </c>
      <c r="Q36" s="535"/>
      <c r="R36" s="535">
        <f>R34*R37</f>
        <v>56000.2168762</v>
      </c>
      <c r="S36" s="538"/>
      <c r="T36" s="538"/>
      <c r="U36" s="529"/>
      <c r="V36" s="535">
        <f>SUM(C36:R36)</f>
        <v>575244.60722559993</v>
      </c>
      <c r="W36" s="531"/>
      <c r="X36" s="512"/>
      <c r="Y36" s="621"/>
    </row>
    <row r="37" spans="1:25" x14ac:dyDescent="0.3">
      <c r="A37" s="420"/>
      <c r="B37" s="493" t="s">
        <v>135</v>
      </c>
      <c r="C37" s="494"/>
      <c r="D37" s="495">
        <v>0.3239108</v>
      </c>
      <c r="E37" s="496"/>
      <c r="F37" s="495">
        <v>0.32391340000000002</v>
      </c>
      <c r="G37" s="495"/>
      <c r="H37" s="495">
        <v>0.32391340000000002</v>
      </c>
      <c r="I37" s="495"/>
      <c r="J37" s="495">
        <v>0.3239108</v>
      </c>
      <c r="K37" s="495"/>
      <c r="L37" s="495">
        <v>0.76604539999999999</v>
      </c>
      <c r="M37" s="495"/>
      <c r="N37" s="495">
        <v>0.76604539999999999</v>
      </c>
      <c r="O37" s="495"/>
      <c r="P37" s="495">
        <v>0.76604539999999999</v>
      </c>
      <c r="Q37" s="495"/>
      <c r="R37" s="495">
        <v>0.76604539999999999</v>
      </c>
      <c r="S37" s="425"/>
      <c r="T37" s="425"/>
      <c r="U37" s="424"/>
      <c r="V37" s="424"/>
      <c r="W37" s="426"/>
      <c r="X37" s="405"/>
    </row>
    <row r="38" spans="1:25" x14ac:dyDescent="0.3">
      <c r="A38" s="420"/>
      <c r="B38" s="493" t="s">
        <v>136</v>
      </c>
      <c r="C38" s="494"/>
      <c r="D38" s="495">
        <v>0.33907019999999999</v>
      </c>
      <c r="E38" s="496"/>
      <c r="F38" s="495">
        <v>0.33907280000000001</v>
      </c>
      <c r="G38" s="495"/>
      <c r="H38" s="495">
        <v>0.33907280000000001</v>
      </c>
      <c r="I38" s="495"/>
      <c r="J38" s="495">
        <v>0.33907019999999999</v>
      </c>
      <c r="K38" s="495"/>
      <c r="L38" s="495">
        <v>0.80189699999999997</v>
      </c>
      <c r="M38" s="495"/>
      <c r="N38" s="495">
        <v>0.80189699999999997</v>
      </c>
      <c r="O38" s="495"/>
      <c r="P38" s="495">
        <v>0.80189699999999997</v>
      </c>
      <c r="Q38" s="495"/>
      <c r="R38" s="495">
        <v>0.80189699999999997</v>
      </c>
      <c r="S38" s="427"/>
      <c r="T38" s="428"/>
      <c r="U38" s="424"/>
      <c r="V38" s="427"/>
      <c r="W38" s="426"/>
      <c r="X38" s="405"/>
    </row>
    <row r="39" spans="1:25"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5" s="513" customFormat="1" x14ac:dyDescent="0.3">
      <c r="A40" s="521"/>
      <c r="B40" s="522" t="s">
        <v>12</v>
      </c>
      <c r="C40" s="522"/>
      <c r="D40" s="540">
        <v>2.9575000000000001E-3</v>
      </c>
      <c r="E40" s="522"/>
      <c r="F40" s="540">
        <v>2.9575000000000001E-3</v>
      </c>
      <c r="G40" s="539"/>
      <c r="H40" s="540">
        <v>0</v>
      </c>
      <c r="I40" s="540"/>
      <c r="J40" s="540">
        <v>4.1374999999999997E-3</v>
      </c>
      <c r="K40" s="539"/>
      <c r="L40" s="540">
        <v>5.3575000000000003E-3</v>
      </c>
      <c r="M40" s="539"/>
      <c r="N40" s="540">
        <v>0</v>
      </c>
      <c r="O40" s="539"/>
      <c r="P40" s="540">
        <v>9.7575000000000005E-3</v>
      </c>
      <c r="Q40" s="539"/>
      <c r="R40" s="540">
        <v>3.7299999999999998E-3</v>
      </c>
      <c r="S40" s="539"/>
      <c r="T40" s="540"/>
      <c r="U40" s="522"/>
      <c r="V40" s="528"/>
      <c r="W40" s="524"/>
      <c r="X40" s="512"/>
    </row>
    <row r="41" spans="1:25" s="513" customFormat="1" x14ac:dyDescent="0.3">
      <c r="A41" s="521"/>
      <c r="B41" s="522" t="s">
        <v>13</v>
      </c>
      <c r="C41" s="522"/>
      <c r="D41" s="540">
        <v>2.8774999999999998E-3</v>
      </c>
      <c r="E41" s="522"/>
      <c r="F41" s="540">
        <v>2.8774999999999998E-3</v>
      </c>
      <c r="G41" s="539"/>
      <c r="H41" s="540">
        <v>0</v>
      </c>
      <c r="I41" s="540"/>
      <c r="J41" s="540">
        <v>4.4099999999999999E-3</v>
      </c>
      <c r="K41" s="539"/>
      <c r="L41" s="540">
        <v>5.2775000000000001E-3</v>
      </c>
      <c r="M41" s="539"/>
      <c r="N41" s="540">
        <v>0</v>
      </c>
      <c r="O41" s="539"/>
      <c r="P41" s="540">
        <v>9.6775000000000003E-3</v>
      </c>
      <c r="Q41" s="539"/>
      <c r="R41" s="540">
        <v>4.0699999999999998E-3</v>
      </c>
      <c r="S41" s="539"/>
      <c r="T41" s="540"/>
      <c r="U41" s="522"/>
      <c r="V41" s="539" t="s">
        <v>199</v>
      </c>
      <c r="W41" s="524"/>
      <c r="X41" s="512"/>
    </row>
    <row r="42" spans="1:25" s="513" customFormat="1" x14ac:dyDescent="0.3">
      <c r="A42" s="521"/>
      <c r="B42" s="522" t="s">
        <v>296</v>
      </c>
      <c r="C42" s="522"/>
      <c r="D42" s="528" t="s">
        <v>237</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5" s="513" customFormat="1" x14ac:dyDescent="0.3">
      <c r="A43" s="521"/>
      <c r="B43" s="522" t="s">
        <v>297</v>
      </c>
      <c r="C43" s="541"/>
      <c r="D43" s="540">
        <f>+D40</f>
        <v>2.9575000000000001E-3</v>
      </c>
      <c r="E43" s="540"/>
      <c r="F43" s="540">
        <f>+F40</f>
        <v>2.9575000000000001E-3</v>
      </c>
      <c r="G43" s="540"/>
      <c r="H43" s="540">
        <v>2.8795000000000001E-3</v>
      </c>
      <c r="I43" s="540"/>
      <c r="J43" s="540">
        <v>3.1215000000000001E-3</v>
      </c>
      <c r="K43" s="540"/>
      <c r="L43" s="540">
        <f>+L40</f>
        <v>5.3575000000000003E-3</v>
      </c>
      <c r="M43" s="540"/>
      <c r="N43" s="540">
        <v>5.5595000000000002E-3</v>
      </c>
      <c r="O43" s="540"/>
      <c r="P43" s="540">
        <f>+P40</f>
        <v>9.7575000000000005E-3</v>
      </c>
      <c r="Q43" s="539"/>
      <c r="R43" s="540">
        <v>1.0229500000000001E-2</v>
      </c>
      <c r="S43" s="528"/>
      <c r="T43" s="528"/>
      <c r="U43" s="522"/>
      <c r="V43" s="539">
        <f>SUMPRODUCT(D43:R43,D35:R35)/V35</f>
        <v>4.2085647126822081E-3</v>
      </c>
      <c r="W43" s="524"/>
      <c r="X43" s="512"/>
    </row>
    <row r="44" spans="1:25" s="513" customFormat="1" x14ac:dyDescent="0.3">
      <c r="A44" s="521"/>
      <c r="B44" s="522" t="s">
        <v>298</v>
      </c>
      <c r="C44" s="541"/>
      <c r="D44" s="540">
        <f>+D41</f>
        <v>2.8774999999999998E-3</v>
      </c>
      <c r="E44" s="540"/>
      <c r="F44" s="540">
        <f>+F41</f>
        <v>2.8774999999999998E-3</v>
      </c>
      <c r="G44" s="540"/>
      <c r="H44" s="540">
        <v>2.7994999999999999E-3</v>
      </c>
      <c r="I44" s="540"/>
      <c r="J44" s="540">
        <v>3.0414999999999999E-3</v>
      </c>
      <c r="K44" s="540"/>
      <c r="L44" s="540">
        <f>+L41</f>
        <v>5.2775000000000001E-3</v>
      </c>
      <c r="M44" s="540"/>
      <c r="N44" s="540">
        <v>5.4795E-3</v>
      </c>
      <c r="O44" s="540"/>
      <c r="P44" s="540">
        <f>+P41</f>
        <v>9.6775000000000003E-3</v>
      </c>
      <c r="Q44" s="539"/>
      <c r="R44" s="540">
        <v>1.0149500000000001E-2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5" s="513" customFormat="1" x14ac:dyDescent="0.3">
      <c r="A48" s="521"/>
      <c r="B48" s="522" t="s">
        <v>299</v>
      </c>
      <c r="C48" s="522"/>
      <c r="D48" s="528" t="s">
        <v>237</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0.36799026451565875</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44333</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44151</v>
      </c>
      <c r="U57" s="550"/>
      <c r="V57" s="549">
        <v>44242</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90</v>
      </c>
      <c r="S58" s="522"/>
      <c r="T58" s="549">
        <v>44243</v>
      </c>
      <c r="U58" s="550"/>
      <c r="V58" s="549">
        <v>44332</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44320</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418</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602167</v>
      </c>
      <c r="O68" s="562"/>
      <c r="P68" s="562">
        <v>26922</v>
      </c>
      <c r="Q68" s="562"/>
      <c r="R68" s="562">
        <v>0</v>
      </c>
      <c r="S68" s="562"/>
      <c r="T68" s="562">
        <v>0</v>
      </c>
      <c r="U68" s="562"/>
      <c r="V68" s="563">
        <f>+N68-P68+R68-T68</f>
        <v>575245</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602167</v>
      </c>
      <c r="O71" s="562"/>
      <c r="P71" s="562">
        <f>SUM(P68:P70)</f>
        <v>26922</v>
      </c>
      <c r="Q71" s="562"/>
      <c r="R71" s="562">
        <f>SUM(R68:R70)</f>
        <v>0</v>
      </c>
      <c r="S71" s="562"/>
      <c r="T71" s="562">
        <f>SUM(T68:T70)</f>
        <v>0</v>
      </c>
      <c r="U71" s="562"/>
      <c r="V71" s="562">
        <f>SUM(V68:V70)</f>
        <v>575245</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602167</v>
      </c>
      <c r="O84" s="562"/>
      <c r="P84" s="562"/>
      <c r="Q84" s="562"/>
      <c r="R84" s="562"/>
      <c r="S84" s="562"/>
      <c r="T84" s="562"/>
      <c r="U84" s="562"/>
      <c r="V84" s="562">
        <f>SUM(V71:V83)</f>
        <v>575245</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44316</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26922-127</f>
        <v>26795</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2924+1838-981-893</f>
        <v>2888</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77+59</f>
        <v>136</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3</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216</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26795</v>
      </c>
      <c r="U96" s="522"/>
      <c r="V96" s="562">
        <f>SUM(V88:V95)</f>
        <v>3243</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26795</v>
      </c>
      <c r="U100" s="522"/>
      <c r="V100" s="562">
        <f>V96+V98+V97+V99</f>
        <v>3243</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-224-95-8</f>
        <v>-327</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v>-286</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f>-36</f>
        <v>-36</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-95</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-27</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-148</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-33</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-9</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127</v>
      </c>
      <c r="U114" s="522"/>
      <c r="V114" s="563">
        <v>-127</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-224</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-205</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-216</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-18</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-1487</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-12358</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-2198</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-2561</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-2562</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-896</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-3116</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-610</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-2621</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-26922</v>
      </c>
      <c r="U137" s="562"/>
      <c r="V137" s="562">
        <f>SUM(V102:V134)</f>
        <v>-3243</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APRIL 2021</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127</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127</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-127</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575245</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575245</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+'Jan 21'!S188</f>
        <v>57078</v>
      </c>
      <c r="T186" s="563">
        <f>+'Jan 21'!T188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9.049689440993788</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2.0299999999999998</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21.245901639344261</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7.88</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13.646408839779005</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7.13</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APRIL 2021</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44316</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1.806E-2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4.2085647126822081E-3</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1.3851435287317792E-2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5.3855491915033539E-3</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7.65</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4.4708527700787322E-2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6.6100000000000006E-2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0</v>
      </c>
      <c r="T221" s="577">
        <v>0</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64</v>
      </c>
      <c r="T222" s="579">
        <f>+T274</f>
        <v>10412</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+R296</f>
        <v>0</v>
      </c>
      <c r="T223" s="579">
        <f>+T296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127</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'Jan 21'!T228+'April 21'!T227</f>
        <v>8824</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4</v>
      </c>
      <c r="T234" s="579">
        <v>554</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6.44</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4365</v>
      </c>
      <c r="S241" s="588">
        <f t="shared" ref="S241:S248" si="2">R241/$R$250</f>
        <v>0.99272231066636341</v>
      </c>
      <c r="T241" s="589">
        <f t="shared" ref="T241:T248" si="3">+T253+T265+T287</f>
        <v>569072</v>
      </c>
      <c r="U241" s="588">
        <f t="shared" ref="U241:U248" si="4">T241/$T$250</f>
        <v>0.98926892019921941</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15</v>
      </c>
      <c r="S242" s="593">
        <f t="shared" si="2"/>
        <v>3.4114168751421424E-3</v>
      </c>
      <c r="T242" s="563">
        <f t="shared" si="3"/>
        <v>2634</v>
      </c>
      <c r="U242" s="593">
        <f t="shared" si="4"/>
        <v>4.5789185477492196E-3</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2</v>
      </c>
      <c r="S243" s="593">
        <f t="shared" si="2"/>
        <v>4.5485558335228563E-4</v>
      </c>
      <c r="T243" s="563">
        <f t="shared" si="3"/>
        <v>280</v>
      </c>
      <c r="U243" s="593">
        <f t="shared" si="4"/>
        <v>4.8674912428617372E-4</v>
      </c>
      <c r="V243" s="582"/>
      <c r="W243" s="583"/>
      <c r="X243" s="512"/>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11</v>
      </c>
      <c r="S244" s="593">
        <f t="shared" si="2"/>
        <v>2.5017057084375711E-3</v>
      </c>
      <c r="T244" s="563">
        <f t="shared" si="3"/>
        <v>2401</v>
      </c>
      <c r="U244" s="593">
        <f t="shared" si="4"/>
        <v>4.1738737407539398E-3</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1</v>
      </c>
      <c r="S245" s="593">
        <f t="shared" si="2"/>
        <v>2.2742779167614282E-4</v>
      </c>
      <c r="T245" s="563">
        <f t="shared" si="3"/>
        <v>73</v>
      </c>
      <c r="U245" s="593">
        <f t="shared" si="4"/>
        <v>1.2690245026032387E-4</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1</v>
      </c>
      <c r="S246" s="593">
        <f t="shared" si="2"/>
        <v>2.2742779167614282E-4</v>
      </c>
      <c r="T246" s="563">
        <f t="shared" si="3"/>
        <v>299</v>
      </c>
      <c r="U246" s="593">
        <f t="shared" si="4"/>
        <v>5.1977852914844981E-4</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1</v>
      </c>
      <c r="S247" s="593">
        <f t="shared" si="2"/>
        <v>2.2742779167614282E-4</v>
      </c>
      <c r="T247" s="563">
        <f t="shared" si="3"/>
        <v>259</v>
      </c>
      <c r="U247" s="593">
        <f t="shared" si="4"/>
        <v>4.5024293996471067E-4</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1</v>
      </c>
      <c r="S248" s="593">
        <f t="shared" si="2"/>
        <v>2.2742779167614282E-4</v>
      </c>
      <c r="T248" s="563">
        <f t="shared" si="3"/>
        <v>227</v>
      </c>
      <c r="U248" s="593">
        <f t="shared" si="4"/>
        <v>3.9461446861771939E-4</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4397</v>
      </c>
      <c r="S250" s="593">
        <f>SUM(S241:S249)</f>
        <v>1</v>
      </c>
      <c r="T250" s="563">
        <f>SUM(T241:T249)</f>
        <v>575245</v>
      </c>
      <c r="U250" s="593">
        <f>SUM(U241:U249)</f>
        <v>1</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4302</v>
      </c>
      <c r="S253" s="595">
        <f t="shared" ref="S253:S260" si="5">R253/$R$262</f>
        <v>0.99284560350796214</v>
      </c>
      <c r="T253" s="596">
        <v>558847</v>
      </c>
      <c r="U253" s="595">
        <f t="shared" ref="U253:U260" si="6">T253/$T$262</f>
        <v>0.98940217728071833</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15</v>
      </c>
      <c r="S254" s="593">
        <f t="shared" si="5"/>
        <v>3.4618047542118624E-3</v>
      </c>
      <c r="T254" s="563">
        <v>2634</v>
      </c>
      <c r="U254" s="593">
        <f t="shared" si="6"/>
        <v>4.6633252660520895E-3</v>
      </c>
      <c r="V254" s="582"/>
      <c r="W254" s="583"/>
      <c r="X254" s="512"/>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1</v>
      </c>
      <c r="S255" s="593">
        <f t="shared" si="5"/>
        <v>2.3078698361412417E-4</v>
      </c>
      <c r="T255" s="563">
        <v>93</v>
      </c>
      <c r="U255" s="593">
        <f t="shared" si="6"/>
        <v>1.6465043650070021E-4</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11</v>
      </c>
      <c r="S256" s="593">
        <f t="shared" si="5"/>
        <v>2.5386568197553658E-3</v>
      </c>
      <c r="T256" s="563">
        <v>2401</v>
      </c>
      <c r="U256" s="593">
        <f t="shared" si="6"/>
        <v>4.2508139573997974E-3</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1</v>
      </c>
      <c r="S257" s="593">
        <f t="shared" si="5"/>
        <v>2.3078698361412417E-4</v>
      </c>
      <c r="T257" s="563">
        <v>73</v>
      </c>
      <c r="U257" s="593">
        <f t="shared" si="6"/>
        <v>1.2924174047904426E-4</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1</v>
      </c>
      <c r="S258" s="593">
        <f t="shared" si="5"/>
        <v>2.3078698361412417E-4</v>
      </c>
      <c r="T258" s="563">
        <v>299</v>
      </c>
      <c r="U258" s="593">
        <f t="shared" si="6"/>
        <v>5.2936000552375657E-4</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1</v>
      </c>
      <c r="S259" s="593">
        <f t="shared" si="5"/>
        <v>2.3078698361412417E-4</v>
      </c>
      <c r="T259" s="563">
        <v>259</v>
      </c>
      <c r="U259" s="593">
        <f t="shared" si="6"/>
        <v>4.5854261348044466E-4</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1</v>
      </c>
      <c r="S260" s="593">
        <f t="shared" si="5"/>
        <v>2.3078698361412417E-4</v>
      </c>
      <c r="T260" s="563">
        <v>227</v>
      </c>
      <c r="U260" s="593">
        <f t="shared" si="6"/>
        <v>4.0188869984579512E-4</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4333</v>
      </c>
      <c r="S262" s="593">
        <f>SUM(S253:S261)</f>
        <v>1</v>
      </c>
      <c r="T262" s="563">
        <f>SUM(T253:T261)</f>
        <v>564833</v>
      </c>
      <c r="U262" s="593">
        <f>SUM(U253:U261)</f>
        <v>0.99999999999999989</v>
      </c>
      <c r="V262" s="522"/>
      <c r="W262" s="524"/>
      <c r="X262" s="512"/>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63</v>
      </c>
      <c r="S265" s="595">
        <f t="shared" ref="S265:S272" si="7">R265/$R$274</f>
        <v>0.984375</v>
      </c>
      <c r="T265" s="596">
        <v>10225</v>
      </c>
      <c r="U265" s="595">
        <f t="shared" ref="U265:U272" si="8">T265/$T$274</f>
        <v>0.98203995389934695</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1</v>
      </c>
      <c r="S267" s="593">
        <f t="shared" si="7"/>
        <v>1.5625E-2</v>
      </c>
      <c r="T267" s="563">
        <v>187</v>
      </c>
      <c r="U267" s="593">
        <f t="shared" si="8"/>
        <v>1.7960046100653094E-2</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0</v>
      </c>
      <c r="S268" s="593">
        <f t="shared" si="7"/>
        <v>0</v>
      </c>
      <c r="T268" s="563">
        <v>0</v>
      </c>
      <c r="U268" s="593">
        <f t="shared" si="8"/>
        <v>0</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0</v>
      </c>
      <c r="S269" s="593">
        <f t="shared" si="7"/>
        <v>0</v>
      </c>
      <c r="T269" s="563">
        <v>0</v>
      </c>
      <c r="U269" s="593">
        <f t="shared" si="8"/>
        <v>0</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0</v>
      </c>
      <c r="S270" s="593">
        <f t="shared" si="7"/>
        <v>0</v>
      </c>
      <c r="T270" s="563">
        <v>0</v>
      </c>
      <c r="U270" s="593">
        <f t="shared" si="8"/>
        <v>0</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0</v>
      </c>
      <c r="S271" s="593">
        <f t="shared" si="7"/>
        <v>0</v>
      </c>
      <c r="T271" s="563">
        <v>0</v>
      </c>
      <c r="U271" s="593">
        <f t="shared" si="8"/>
        <v>0</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0</v>
      </c>
      <c r="S272" s="593">
        <f t="shared" si="7"/>
        <v>0</v>
      </c>
      <c r="T272" s="563">
        <v>0</v>
      </c>
      <c r="U272" s="593">
        <f t="shared" si="8"/>
        <v>0</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64</v>
      </c>
      <c r="S274" s="593">
        <f>SUM(S265:S273)</f>
        <v>1</v>
      </c>
      <c r="T274" s="563">
        <f>SUM(T265:T273)</f>
        <v>10412</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57</v>
      </c>
      <c r="S277" s="593">
        <f>R277/R284</f>
        <v>0.890625</v>
      </c>
      <c r="T277" s="563">
        <v>9470</v>
      </c>
      <c r="U277" s="593">
        <f>T277/T284</f>
        <v>0.909527468305801</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2</v>
      </c>
      <c r="S278" s="593">
        <f>R278/R284</f>
        <v>3.125E-2</v>
      </c>
      <c r="T278" s="563">
        <v>328</v>
      </c>
      <c r="U278" s="593">
        <f>T278/T284</f>
        <v>3.1502112946600075E-2</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0</v>
      </c>
      <c r="S279" s="593">
        <f>R279/R284</f>
        <v>0</v>
      </c>
      <c r="T279" s="563">
        <v>0</v>
      </c>
      <c r="U279" s="593">
        <f>T279/T284</f>
        <v>0</v>
      </c>
      <c r="V279" s="522"/>
      <c r="W279" s="524"/>
      <c r="X279" s="512"/>
    </row>
    <row r="280" spans="1:24" s="513" customFormat="1" x14ac:dyDescent="0.3">
      <c r="A280" s="521"/>
      <c r="B280" s="522" t="s">
        <v>413</v>
      </c>
      <c r="C280" s="522"/>
      <c r="D280" s="522"/>
      <c r="E280" s="522"/>
      <c r="F280" s="522"/>
      <c r="G280" s="522"/>
      <c r="H280" s="594"/>
      <c r="I280" s="594"/>
      <c r="J280" s="594"/>
      <c r="K280" s="594"/>
      <c r="L280" s="594"/>
      <c r="M280" s="594"/>
      <c r="N280" s="594"/>
      <c r="O280" s="594"/>
      <c r="P280" s="594"/>
      <c r="Q280" s="594"/>
      <c r="R280" s="562">
        <v>3</v>
      </c>
      <c r="S280" s="593">
        <f>R280/R284</f>
        <v>4.6875E-2</v>
      </c>
      <c r="T280" s="563">
        <v>347</v>
      </c>
      <c r="U280" s="593">
        <f>T280/T284</f>
        <v>3.3326930464848255E-2</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2</v>
      </c>
      <c r="S281" s="593">
        <f>R281/R284</f>
        <v>3.125E-2</v>
      </c>
      <c r="T281" s="563">
        <v>267</v>
      </c>
      <c r="U281" s="593">
        <f>T281/T284</f>
        <v>2.5643488282750673E-2</v>
      </c>
      <c r="V281" s="522"/>
      <c r="W281" s="524"/>
      <c r="X281" s="512"/>
    </row>
    <row r="282" spans="1:24" s="513" customFormat="1" x14ac:dyDescent="0.3">
      <c r="A282" s="521"/>
      <c r="B282" s="424" t="s">
        <v>402</v>
      </c>
      <c r="C282" s="522"/>
      <c r="D282" s="522"/>
      <c r="E282" s="522"/>
      <c r="F282" s="522"/>
      <c r="G282" s="522"/>
      <c r="H282" s="594"/>
      <c r="I282" s="594"/>
      <c r="J282" s="594"/>
      <c r="K282" s="594"/>
      <c r="L282" s="594"/>
      <c r="M282" s="594"/>
      <c r="N282" s="594"/>
      <c r="O282" s="594"/>
      <c r="P282" s="594"/>
      <c r="Q282" s="594"/>
      <c r="R282" s="562">
        <v>0</v>
      </c>
      <c r="S282" s="593">
        <f>R282/R284</f>
        <v>0</v>
      </c>
      <c r="T282" s="563">
        <v>0</v>
      </c>
      <c r="U282" s="593">
        <f>T282/T284</f>
        <v>0</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64</v>
      </c>
      <c r="S284" s="593">
        <f>SUM(S277:S282)</f>
        <v>1</v>
      </c>
      <c r="T284" s="563">
        <f>SUM(T277:T282)</f>
        <v>10412</v>
      </c>
      <c r="U284" s="593">
        <f>SUM(U277:U283)</f>
        <v>1</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0</v>
      </c>
      <c r="S296" s="593">
        <f>SUM(S287:S295)</f>
        <v>0</v>
      </c>
      <c r="T296" s="563">
        <f>SUM(T287:T294)</f>
        <v>0</v>
      </c>
      <c r="U296" s="593">
        <f>SUM(U287:U295)</f>
        <v>0</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4397</v>
      </c>
      <c r="S298" s="593"/>
      <c r="T298" s="599">
        <f>+T296+T274+T262</f>
        <v>575245</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626" t="s">
        <v>381</v>
      </c>
      <c r="B300" s="627" t="s">
        <v>382</v>
      </c>
      <c r="C300" s="628"/>
      <c r="D300" s="628"/>
      <c r="E300" s="628"/>
      <c r="F300" s="628"/>
      <c r="G300" s="628"/>
      <c r="H300" s="629"/>
      <c r="I300" s="629"/>
      <c r="J300" s="629"/>
      <c r="K300" s="629"/>
      <c r="L300" s="629"/>
      <c r="M300" s="629"/>
      <c r="N300" s="629"/>
      <c r="O300" s="629"/>
      <c r="P300" s="629"/>
      <c r="Q300" s="629"/>
      <c r="R300" s="638" t="s">
        <v>104</v>
      </c>
      <c r="S300" s="639" t="s">
        <v>105</v>
      </c>
      <c r="T300" s="638" t="s">
        <v>113</v>
      </c>
      <c r="U300" s="639" t="s">
        <v>105</v>
      </c>
      <c r="V300" s="627" t="s">
        <v>412</v>
      </c>
      <c r="W300" s="468"/>
      <c r="X300" s="512"/>
    </row>
    <row r="301" spans="1:24" s="513" customFormat="1" x14ac:dyDescent="0.3">
      <c r="A301" s="630"/>
      <c r="B301" s="631" t="s">
        <v>90</v>
      </c>
      <c r="C301" s="632"/>
      <c r="D301" s="632"/>
      <c r="E301" s="632"/>
      <c r="F301" s="632"/>
      <c r="G301" s="632"/>
      <c r="H301" s="633"/>
      <c r="I301" s="633"/>
      <c r="J301" s="633"/>
      <c r="K301" s="633"/>
      <c r="L301" s="633"/>
      <c r="M301" s="633"/>
      <c r="N301" s="633"/>
      <c r="O301" s="633"/>
      <c r="P301" s="633"/>
      <c r="Q301" s="633"/>
      <c r="R301" s="631">
        <v>11</v>
      </c>
      <c r="S301" s="640">
        <f>R301/$R$310</f>
        <v>1</v>
      </c>
      <c r="T301" s="641">
        <v>3466</v>
      </c>
      <c r="U301" s="640">
        <f>T301/$T$310</f>
        <v>1</v>
      </c>
      <c r="V301" s="552"/>
      <c r="W301" s="552"/>
      <c r="X301" s="512"/>
    </row>
    <row r="302" spans="1:24" s="513" customFormat="1" x14ac:dyDescent="0.3">
      <c r="A302" s="634"/>
      <c r="B302" s="635" t="s">
        <v>91</v>
      </c>
      <c r="C302" s="636"/>
      <c r="D302" s="636"/>
      <c r="E302" s="636"/>
      <c r="F302" s="636"/>
      <c r="G302" s="636"/>
      <c r="H302" s="637"/>
      <c r="I302" s="637"/>
      <c r="J302" s="637"/>
      <c r="K302" s="637"/>
      <c r="L302" s="637"/>
      <c r="M302" s="637"/>
      <c r="N302" s="637"/>
      <c r="O302" s="637"/>
      <c r="P302" s="637"/>
      <c r="Q302" s="637"/>
      <c r="R302" s="635">
        <v>0</v>
      </c>
      <c r="S302" s="646">
        <f t="shared" ref="S302:S308" si="9">R302/$R$310</f>
        <v>0</v>
      </c>
      <c r="T302" s="643">
        <v>0</v>
      </c>
      <c r="U302" s="646">
        <f t="shared" ref="U302:U308" si="10">T302/$T$310</f>
        <v>0</v>
      </c>
      <c r="V302" s="522"/>
      <c r="W302" s="524"/>
      <c r="X302" s="512"/>
    </row>
    <row r="303" spans="1:24" s="513" customFormat="1" x14ac:dyDescent="0.3">
      <c r="A303" s="634"/>
      <c r="B303" s="635" t="s">
        <v>92</v>
      </c>
      <c r="C303" s="636"/>
      <c r="D303" s="636"/>
      <c r="E303" s="636"/>
      <c r="F303" s="636"/>
      <c r="G303" s="636"/>
      <c r="H303" s="637"/>
      <c r="I303" s="637"/>
      <c r="J303" s="637"/>
      <c r="K303" s="637"/>
      <c r="L303" s="637"/>
      <c r="M303" s="637"/>
      <c r="N303" s="637"/>
      <c r="O303" s="637"/>
      <c r="P303" s="637"/>
      <c r="Q303" s="637"/>
      <c r="R303" s="635">
        <v>0</v>
      </c>
      <c r="S303" s="646">
        <f t="shared" si="9"/>
        <v>0</v>
      </c>
      <c r="T303" s="643">
        <v>0</v>
      </c>
      <c r="U303" s="646">
        <f t="shared" si="10"/>
        <v>0</v>
      </c>
      <c r="V303" s="522"/>
      <c r="W303" s="524"/>
      <c r="X303" s="512"/>
    </row>
    <row r="304" spans="1:24" s="513" customFormat="1" x14ac:dyDescent="0.3">
      <c r="A304" s="634"/>
      <c r="B304" s="635" t="s">
        <v>161</v>
      </c>
      <c r="C304" s="636"/>
      <c r="D304" s="636"/>
      <c r="E304" s="636"/>
      <c r="F304" s="636"/>
      <c r="G304" s="636"/>
      <c r="H304" s="637"/>
      <c r="I304" s="637"/>
      <c r="J304" s="637"/>
      <c r="K304" s="637"/>
      <c r="L304" s="637"/>
      <c r="M304" s="637"/>
      <c r="N304" s="637"/>
      <c r="O304" s="637"/>
      <c r="P304" s="637"/>
      <c r="Q304" s="637"/>
      <c r="R304" s="635">
        <v>0</v>
      </c>
      <c r="S304" s="646">
        <f t="shared" si="9"/>
        <v>0</v>
      </c>
      <c r="T304" s="643">
        <v>0</v>
      </c>
      <c r="U304" s="646">
        <f t="shared" si="10"/>
        <v>0</v>
      </c>
      <c r="V304" s="522"/>
      <c r="W304" s="524"/>
      <c r="X304" s="512"/>
    </row>
    <row r="305" spans="1:24" s="513" customFormat="1" x14ac:dyDescent="0.3">
      <c r="A305" s="634"/>
      <c r="B305" s="635" t="s">
        <v>162</v>
      </c>
      <c r="C305" s="636"/>
      <c r="D305" s="636"/>
      <c r="E305" s="636"/>
      <c r="F305" s="636"/>
      <c r="G305" s="636"/>
      <c r="H305" s="637"/>
      <c r="I305" s="637"/>
      <c r="J305" s="637"/>
      <c r="K305" s="637"/>
      <c r="L305" s="637"/>
      <c r="M305" s="637"/>
      <c r="N305" s="637"/>
      <c r="O305" s="637"/>
      <c r="P305" s="637"/>
      <c r="Q305" s="637"/>
      <c r="R305" s="635">
        <v>0</v>
      </c>
      <c r="S305" s="646">
        <f t="shared" si="9"/>
        <v>0</v>
      </c>
      <c r="T305" s="643">
        <v>0</v>
      </c>
      <c r="U305" s="646">
        <f t="shared" si="10"/>
        <v>0</v>
      </c>
      <c r="V305" s="522"/>
      <c r="W305" s="524"/>
      <c r="X305" s="512"/>
    </row>
    <row r="306" spans="1:24" s="513" customFormat="1" x14ac:dyDescent="0.3">
      <c r="A306" s="634"/>
      <c r="B306" s="635" t="s">
        <v>163</v>
      </c>
      <c r="C306" s="636"/>
      <c r="D306" s="636"/>
      <c r="E306" s="636"/>
      <c r="F306" s="636"/>
      <c r="G306" s="636"/>
      <c r="H306" s="637"/>
      <c r="I306" s="637"/>
      <c r="J306" s="637"/>
      <c r="K306" s="637"/>
      <c r="L306" s="637"/>
      <c r="M306" s="637"/>
      <c r="N306" s="637"/>
      <c r="O306" s="637"/>
      <c r="P306" s="637"/>
      <c r="Q306" s="637"/>
      <c r="R306" s="635">
        <v>0</v>
      </c>
      <c r="S306" s="646">
        <f t="shared" si="9"/>
        <v>0</v>
      </c>
      <c r="T306" s="643">
        <v>0</v>
      </c>
      <c r="U306" s="646">
        <f t="shared" si="10"/>
        <v>0</v>
      </c>
      <c r="V306" s="522"/>
      <c r="W306" s="524"/>
      <c r="X306" s="512"/>
    </row>
    <row r="307" spans="1:24" s="513" customFormat="1" x14ac:dyDescent="0.3">
      <c r="A307" s="634"/>
      <c r="B307" s="635" t="s">
        <v>164</v>
      </c>
      <c r="C307" s="636"/>
      <c r="D307" s="636"/>
      <c r="E307" s="636"/>
      <c r="F307" s="636"/>
      <c r="G307" s="636"/>
      <c r="H307" s="637"/>
      <c r="I307" s="637"/>
      <c r="J307" s="637"/>
      <c r="K307" s="637"/>
      <c r="L307" s="637"/>
      <c r="M307" s="637"/>
      <c r="N307" s="637"/>
      <c r="O307" s="637"/>
      <c r="P307" s="637"/>
      <c r="Q307" s="637"/>
      <c r="R307" s="635">
        <v>0</v>
      </c>
      <c r="S307" s="646">
        <f t="shared" si="9"/>
        <v>0</v>
      </c>
      <c r="T307" s="643">
        <v>0</v>
      </c>
      <c r="U307" s="646">
        <f t="shared" si="10"/>
        <v>0</v>
      </c>
      <c r="V307" s="522"/>
      <c r="W307" s="524"/>
      <c r="X307" s="512"/>
    </row>
    <row r="308" spans="1:24" s="513" customFormat="1" x14ac:dyDescent="0.3">
      <c r="A308" s="634"/>
      <c r="B308" s="635" t="s">
        <v>165</v>
      </c>
      <c r="C308" s="636"/>
      <c r="D308" s="636"/>
      <c r="E308" s="636"/>
      <c r="F308" s="636"/>
      <c r="G308" s="636"/>
      <c r="H308" s="637"/>
      <c r="I308" s="637"/>
      <c r="J308" s="637"/>
      <c r="K308" s="637"/>
      <c r="L308" s="637"/>
      <c r="M308" s="637"/>
      <c r="N308" s="637"/>
      <c r="O308" s="637"/>
      <c r="P308" s="637"/>
      <c r="Q308" s="637"/>
      <c r="R308" s="655">
        <v>0</v>
      </c>
      <c r="S308" s="640">
        <f t="shared" si="9"/>
        <v>0</v>
      </c>
      <c r="T308" s="656">
        <v>0</v>
      </c>
      <c r="U308" s="640">
        <f t="shared" si="10"/>
        <v>0</v>
      </c>
      <c r="V308" s="657"/>
      <c r="W308" s="524"/>
      <c r="X308" s="512"/>
    </row>
    <row r="309" spans="1:24" s="513" customFormat="1" x14ac:dyDescent="0.3">
      <c r="A309" s="634"/>
      <c r="B309" s="635"/>
      <c r="C309" s="636"/>
      <c r="D309" s="636"/>
      <c r="E309" s="636"/>
      <c r="F309" s="636"/>
      <c r="G309" s="636"/>
      <c r="H309" s="637"/>
      <c r="I309" s="637"/>
      <c r="J309" s="637"/>
      <c r="K309" s="637"/>
      <c r="L309" s="637"/>
      <c r="M309" s="637"/>
      <c r="N309" s="637"/>
      <c r="O309" s="637"/>
      <c r="P309" s="670"/>
      <c r="Q309" s="637"/>
      <c r="R309" s="671"/>
      <c r="S309" s="672"/>
      <c r="T309" s="673"/>
      <c r="U309" s="672"/>
      <c r="V309" s="674"/>
      <c r="W309" s="524"/>
      <c r="X309" s="512"/>
    </row>
    <row r="310" spans="1:24" s="513" customFormat="1" x14ac:dyDescent="0.3">
      <c r="A310" s="634"/>
      <c r="B310" s="636" t="s">
        <v>119</v>
      </c>
      <c r="C310" s="636"/>
      <c r="D310" s="636"/>
      <c r="E310" s="636"/>
      <c r="F310" s="636"/>
      <c r="G310" s="636"/>
      <c r="H310" s="637"/>
      <c r="I310" s="637"/>
      <c r="J310" s="637"/>
      <c r="K310" s="637"/>
      <c r="L310" s="637"/>
      <c r="M310" s="637"/>
      <c r="N310" s="637"/>
      <c r="O310" s="637"/>
      <c r="P310" s="637"/>
      <c r="Q310" s="675"/>
      <c r="R310" s="671">
        <f>SUM(R301:R308)</f>
        <v>11</v>
      </c>
      <c r="S310" s="672">
        <f>SUM(S301:S309)</f>
        <v>1</v>
      </c>
      <c r="T310" s="673">
        <f>SUM(T301:T308)</f>
        <v>3466</v>
      </c>
      <c r="U310" s="672">
        <f>SUM(U301:U309)</f>
        <v>1</v>
      </c>
      <c r="V310" s="674"/>
      <c r="W310" s="524"/>
      <c r="X310" s="512"/>
    </row>
    <row r="311" spans="1:24" s="513" customFormat="1" ht="16.2" thickBot="1" x14ac:dyDescent="0.35">
      <c r="A311" s="634"/>
      <c r="B311" s="636" t="s">
        <v>396</v>
      </c>
      <c r="C311" s="636"/>
      <c r="D311" s="636"/>
      <c r="E311" s="636"/>
      <c r="F311" s="636"/>
      <c r="G311" s="636"/>
      <c r="H311" s="637"/>
      <c r="I311" s="637"/>
      <c r="J311" s="637"/>
      <c r="K311" s="637"/>
      <c r="L311" s="637"/>
      <c r="M311" s="637"/>
      <c r="N311" s="637"/>
      <c r="O311" s="637"/>
      <c r="P311" s="637"/>
      <c r="Q311" s="637"/>
      <c r="R311" s="666"/>
      <c r="S311" s="667">
        <f>R310/R298</f>
        <v>2.5017057084375711E-3</v>
      </c>
      <c r="T311" s="668"/>
      <c r="U311" s="667">
        <f>T310/T298</f>
        <v>6.0252588027709933E-3</v>
      </c>
      <c r="V311" s="552"/>
      <c r="W311" s="524"/>
      <c r="X311" s="512"/>
    </row>
    <row r="312" spans="1:24" s="513" customFormat="1" ht="16.2" thickTop="1" x14ac:dyDescent="0.3">
      <c r="A312" s="634"/>
      <c r="B312" s="636" t="s">
        <v>406</v>
      </c>
      <c r="C312" s="636"/>
      <c r="D312" s="636"/>
      <c r="E312" s="636"/>
      <c r="F312" s="636"/>
      <c r="G312" s="636"/>
      <c r="H312" s="637"/>
      <c r="I312" s="637"/>
      <c r="J312" s="637"/>
      <c r="K312" s="637"/>
      <c r="L312" s="637"/>
      <c r="M312" s="637"/>
      <c r="N312" s="637"/>
      <c r="O312" s="637"/>
      <c r="P312" s="637"/>
      <c r="Q312" s="637"/>
      <c r="R312" s="658">
        <v>4</v>
      </c>
      <c r="S312" s="659">
        <f>R312/R310</f>
        <v>0.36363636363636365</v>
      </c>
      <c r="T312" s="660">
        <v>458</v>
      </c>
      <c r="U312" s="659">
        <f>T312/T310</f>
        <v>0.13214079630698211</v>
      </c>
      <c r="V312" s="669">
        <v>0</v>
      </c>
      <c r="W312" s="524"/>
      <c r="X312" s="512"/>
    </row>
    <row r="313" spans="1:24" s="513" customFormat="1" ht="16.2" thickBot="1" x14ac:dyDescent="0.35">
      <c r="A313" s="634"/>
      <c r="B313" s="636" t="s">
        <v>407</v>
      </c>
      <c r="C313" s="636"/>
      <c r="D313" s="636"/>
      <c r="E313" s="636"/>
      <c r="F313" s="636"/>
      <c r="G313" s="636"/>
      <c r="H313" s="637"/>
      <c r="I313" s="637"/>
      <c r="J313" s="637"/>
      <c r="K313" s="637"/>
      <c r="L313" s="637"/>
      <c r="M313" s="637"/>
      <c r="N313" s="637"/>
      <c r="O313" s="637"/>
      <c r="P313" s="637"/>
      <c r="Q313" s="637"/>
      <c r="R313" s="661">
        <v>7</v>
      </c>
      <c r="S313" s="662">
        <f>R313/R310</f>
        <v>0.63636363636363635</v>
      </c>
      <c r="T313" s="663">
        <v>3008</v>
      </c>
      <c r="U313" s="664">
        <f>T313/T310</f>
        <v>0.86785920369301783</v>
      </c>
      <c r="V313" s="665">
        <v>0.99539170506912444</v>
      </c>
      <c r="W313" s="524"/>
      <c r="X313" s="512"/>
    </row>
    <row r="314" spans="1:24" s="513" customFormat="1" ht="16.2" thickTop="1" x14ac:dyDescent="0.3">
      <c r="A314" s="509"/>
      <c r="B314" s="591"/>
      <c r="C314" s="552"/>
      <c r="D314" s="552"/>
      <c r="E314" s="552"/>
      <c r="F314" s="552"/>
      <c r="G314" s="552"/>
      <c r="H314" s="597"/>
      <c r="I314" s="597"/>
      <c r="J314" s="597"/>
      <c r="K314" s="597"/>
      <c r="L314" s="597"/>
      <c r="M314" s="597"/>
      <c r="N314" s="597"/>
      <c r="O314" s="597"/>
      <c r="P314" s="597"/>
      <c r="Q314" s="597"/>
      <c r="R314" s="624"/>
      <c r="S314" s="595"/>
      <c r="T314" s="625"/>
      <c r="U314" s="595"/>
      <c r="V314" s="625"/>
      <c r="W314" s="645"/>
      <c r="X314" s="512"/>
    </row>
    <row r="315" spans="1:24" s="513" customFormat="1" x14ac:dyDescent="0.3">
      <c r="A315" s="509"/>
      <c r="B315" s="510"/>
      <c r="C315" s="510"/>
      <c r="D315" s="510"/>
      <c r="E315" s="510"/>
      <c r="F315" s="510"/>
      <c r="G315" s="510"/>
      <c r="H315" s="600"/>
      <c r="I315" s="600"/>
      <c r="J315" s="600"/>
      <c r="K315" s="600"/>
      <c r="L315" s="600"/>
      <c r="M315" s="600"/>
      <c r="N315" s="600"/>
      <c r="O315" s="600"/>
      <c r="P315" s="600"/>
      <c r="Q315" s="600"/>
      <c r="R315" s="600"/>
      <c r="S315" s="600"/>
      <c r="T315" s="601"/>
      <c r="U315" s="600"/>
      <c r="V315" s="510"/>
      <c r="W315" s="510"/>
      <c r="X315" s="512"/>
    </row>
    <row r="316" spans="1:24" s="513" customFormat="1" x14ac:dyDescent="0.3">
      <c r="A316" s="509"/>
      <c r="B316" s="508" t="s">
        <v>93</v>
      </c>
      <c r="C316" s="510"/>
      <c r="D316" s="510"/>
      <c r="E316" s="510"/>
      <c r="F316" s="516" t="s">
        <v>99</v>
      </c>
      <c r="G316" s="510"/>
      <c r="H316" s="508" t="s">
        <v>101</v>
      </c>
      <c r="I316" s="510"/>
      <c r="J316" s="510"/>
      <c r="K316" s="510"/>
      <c r="L316" s="510"/>
      <c r="M316" s="510"/>
      <c r="N316" s="510"/>
      <c r="O316" s="510"/>
      <c r="P316" s="510"/>
      <c r="Q316" s="510"/>
      <c r="R316" s="510"/>
      <c r="S316" s="510"/>
      <c r="T316" s="510"/>
      <c r="U316" s="510"/>
      <c r="V316" s="510"/>
      <c r="W316" s="510"/>
      <c r="X316" s="512"/>
    </row>
    <row r="317" spans="1:24" s="513" customFormat="1" x14ac:dyDescent="0.3">
      <c r="A317" s="509"/>
      <c r="B317" s="508" t="s">
        <v>327</v>
      </c>
      <c r="C317" s="508"/>
      <c r="D317" s="508"/>
      <c r="E317" s="508"/>
      <c r="F317" s="602" t="s">
        <v>278</v>
      </c>
      <c r="G317" s="508"/>
      <c r="H317" s="402" t="s">
        <v>350</v>
      </c>
      <c r="I317" s="510"/>
      <c r="J317" s="510"/>
      <c r="K317" s="510"/>
      <c r="L317" s="510"/>
      <c r="M317" s="510"/>
      <c r="N317" s="510"/>
      <c r="O317" s="510"/>
      <c r="P317" s="510"/>
      <c r="Q317" s="510"/>
      <c r="R317" s="510"/>
      <c r="S317" s="510"/>
      <c r="T317" s="510"/>
      <c r="U317" s="510"/>
      <c r="V317" s="510"/>
      <c r="W317" s="510"/>
      <c r="X317" s="512"/>
    </row>
    <row r="318" spans="1:24" s="513" customFormat="1" x14ac:dyDescent="0.3">
      <c r="A318" s="509"/>
      <c r="B318" s="508" t="s">
        <v>328</v>
      </c>
      <c r="C318" s="508"/>
      <c r="D318" s="508"/>
      <c r="E318" s="508"/>
      <c r="F318" s="602" t="s">
        <v>152</v>
      </c>
      <c r="G318" s="508"/>
      <c r="H318" s="402" t="s">
        <v>351</v>
      </c>
      <c r="I318" s="510"/>
      <c r="J318" s="510"/>
      <c r="K318" s="510"/>
      <c r="L318" s="510"/>
      <c r="M318" s="510"/>
      <c r="N318" s="510"/>
      <c r="O318" s="510"/>
      <c r="P318" s="510"/>
      <c r="Q318" s="510"/>
      <c r="R318" s="510"/>
      <c r="S318" s="510"/>
      <c r="T318" s="510"/>
      <c r="U318" s="510"/>
      <c r="V318" s="510"/>
      <c r="W318" s="510"/>
      <c r="X318" s="512"/>
    </row>
    <row r="319" spans="1:24" s="513" customFormat="1" x14ac:dyDescent="0.3">
      <c r="A319" s="509"/>
      <c r="B319" s="508"/>
      <c r="C319" s="508"/>
      <c r="D319" s="508"/>
      <c r="E319" s="508"/>
      <c r="F319" s="602"/>
      <c r="G319" s="508"/>
      <c r="H319" s="402"/>
      <c r="I319" s="510"/>
      <c r="J319" s="510"/>
      <c r="K319" s="510"/>
      <c r="L319" s="510"/>
      <c r="M319" s="510"/>
      <c r="N319" s="510"/>
      <c r="O319" s="510"/>
      <c r="P319" s="510"/>
      <c r="Q319" s="510"/>
      <c r="R319" s="510"/>
      <c r="S319" s="510"/>
      <c r="T319" s="510"/>
      <c r="U319" s="510"/>
      <c r="V319" s="510"/>
      <c r="W319" s="510"/>
      <c r="X319" s="512"/>
    </row>
    <row r="320" spans="1:24" s="513" customFormat="1" x14ac:dyDescent="0.3">
      <c r="A320" s="509"/>
      <c r="B320" s="644" t="s">
        <v>391</v>
      </c>
      <c r="C320" s="508"/>
      <c r="D320" s="508"/>
      <c r="E320" s="508"/>
      <c r="F320" s="602"/>
      <c r="G320" s="508"/>
      <c r="H320" s="402"/>
      <c r="I320" s="510"/>
      <c r="J320" s="510"/>
      <c r="K320" s="510"/>
      <c r="L320" s="510"/>
      <c r="M320" s="510"/>
      <c r="N320" s="510"/>
      <c r="O320" s="510"/>
      <c r="P320" s="510"/>
      <c r="Q320" s="510"/>
      <c r="R320" s="510"/>
      <c r="S320" s="510"/>
      <c r="T320" s="510"/>
      <c r="U320" s="510"/>
      <c r="V320" s="510"/>
      <c r="W320" s="510"/>
      <c r="X320" s="512"/>
    </row>
    <row r="321" spans="1:24" s="513" customFormat="1" x14ac:dyDescent="0.3">
      <c r="A321" s="509"/>
      <c r="B321" s="508"/>
      <c r="C321" s="508"/>
      <c r="D321" s="508"/>
      <c r="E321" s="508"/>
      <c r="F321" s="602"/>
      <c r="G321" s="508"/>
      <c r="H321" s="402"/>
      <c r="I321" s="510"/>
      <c r="J321" s="510"/>
      <c r="K321" s="510"/>
      <c r="L321" s="510"/>
      <c r="M321" s="510"/>
      <c r="N321" s="510"/>
      <c r="O321" s="510"/>
      <c r="P321" s="510"/>
      <c r="Q321" s="510"/>
      <c r="R321" s="510"/>
      <c r="S321" s="510"/>
      <c r="T321" s="510"/>
      <c r="U321" s="510"/>
      <c r="V321" s="510"/>
      <c r="W321" s="510"/>
      <c r="X321" s="512"/>
    </row>
    <row r="322" spans="1:24" s="513" customFormat="1" ht="18" x14ac:dyDescent="0.35">
      <c r="A322" s="509"/>
      <c r="B322" s="647" t="s">
        <v>174</v>
      </c>
      <c r="C322" s="508"/>
      <c r="D322" s="508"/>
      <c r="E322" s="508"/>
      <c r="F322" s="602"/>
      <c r="G322" s="508"/>
      <c r="H322" s="402"/>
      <c r="I322" s="510"/>
      <c r="J322" s="510"/>
      <c r="K322" s="510"/>
      <c r="L322" s="552"/>
      <c r="M322" s="552"/>
      <c r="N322" s="552"/>
      <c r="O322" s="552"/>
      <c r="P322" s="648" t="s">
        <v>349</v>
      </c>
      <c r="Q322" s="552"/>
      <c r="R322" s="552"/>
      <c r="S322" s="552"/>
      <c r="T322" s="510"/>
      <c r="U322" s="510"/>
      <c r="V322" s="510"/>
      <c r="W322" s="510"/>
      <c r="X322" s="512"/>
    </row>
    <row r="323" spans="1:24" s="513" customFormat="1" x14ac:dyDescent="0.3">
      <c r="A323" s="509"/>
      <c r="B323" s="508"/>
      <c r="C323" s="508"/>
      <c r="D323" s="508"/>
      <c r="E323" s="508"/>
      <c r="F323" s="602"/>
      <c r="G323" s="508"/>
      <c r="H323" s="402"/>
      <c r="I323" s="510"/>
      <c r="J323" s="510"/>
      <c r="K323" s="510"/>
      <c r="L323" s="510"/>
      <c r="M323" s="510"/>
      <c r="N323" s="510"/>
      <c r="O323" s="510"/>
      <c r="P323" s="510"/>
      <c r="Q323" s="510"/>
      <c r="R323" s="510"/>
      <c r="S323" s="510"/>
      <c r="T323" s="510"/>
      <c r="U323" s="510"/>
      <c r="V323" s="510"/>
      <c r="W323" s="510"/>
      <c r="X323" s="512"/>
    </row>
    <row r="324" spans="1:24" s="513" customFormat="1" x14ac:dyDescent="0.3">
      <c r="A324" s="509"/>
      <c r="B324" s="508"/>
      <c r="C324" s="508"/>
      <c r="D324" s="508"/>
      <c r="E324" s="508"/>
      <c r="F324" s="508"/>
      <c r="G324" s="508"/>
      <c r="H324" s="510"/>
      <c r="I324" s="510"/>
      <c r="J324" s="510"/>
      <c r="K324" s="510"/>
      <c r="L324" s="510"/>
      <c r="M324" s="510"/>
      <c r="N324" s="510"/>
      <c r="O324" s="510"/>
      <c r="P324" s="510"/>
      <c r="Q324" s="510"/>
      <c r="R324" s="510"/>
      <c r="S324" s="510"/>
      <c r="T324" s="510"/>
      <c r="U324" s="510"/>
      <c r="V324" s="510"/>
      <c r="W324" s="510"/>
      <c r="X324" s="512"/>
    </row>
    <row r="325" spans="1:24" s="513" customFormat="1" ht="18.600000000000001" thickBot="1" x14ac:dyDescent="0.4">
      <c r="A325" s="509"/>
      <c r="B325" s="603" t="str">
        <f>B202</f>
        <v>PM12 INVESTOR REPORT QUARTER ENDING APRIL 2021</v>
      </c>
      <c r="C325" s="508"/>
      <c r="D325" s="508"/>
      <c r="E325" s="508"/>
      <c r="F325" s="508"/>
      <c r="G325" s="508"/>
      <c r="H325" s="510"/>
      <c r="I325" s="510"/>
      <c r="J325" s="510"/>
      <c r="K325" s="510"/>
      <c r="L325" s="510"/>
      <c r="M325" s="510"/>
      <c r="N325" s="510"/>
      <c r="O325" s="510"/>
      <c r="P325" s="510"/>
      <c r="Q325" s="510"/>
      <c r="R325" s="510"/>
      <c r="S325" s="510"/>
      <c r="T325" s="510"/>
      <c r="U325" s="510"/>
      <c r="V325" s="510"/>
      <c r="W325" s="510"/>
      <c r="X325" s="512"/>
    </row>
    <row r="326" spans="1:24" x14ac:dyDescent="0.3">
      <c r="A326" s="492"/>
      <c r="B326" s="492"/>
      <c r="C326" s="492"/>
      <c r="D326" s="492"/>
      <c r="E326" s="492"/>
      <c r="F326" s="492"/>
      <c r="G326" s="492"/>
      <c r="H326" s="492"/>
      <c r="I326" s="492"/>
      <c r="J326" s="492"/>
      <c r="K326" s="492"/>
      <c r="L326" s="492"/>
      <c r="M326" s="492"/>
      <c r="N326" s="492"/>
      <c r="O326" s="492"/>
      <c r="P326" s="492"/>
      <c r="Q326" s="492"/>
      <c r="R326" s="492"/>
      <c r="S326" s="492"/>
      <c r="T326" s="492"/>
      <c r="U326" s="492"/>
      <c r="V326" s="492"/>
      <c r="W326" s="492"/>
    </row>
    <row r="327" spans="1:24" x14ac:dyDescent="0.3">
      <c r="B327" s="406" t="s">
        <v>384</v>
      </c>
    </row>
    <row r="328" spans="1:24" x14ac:dyDescent="0.3">
      <c r="B328" s="623" t="s">
        <v>378</v>
      </c>
    </row>
    <row r="330" spans="1:24" x14ac:dyDescent="0.3">
      <c r="B330" s="649" t="s">
        <v>385</v>
      </c>
    </row>
    <row r="331" spans="1:24" x14ac:dyDescent="0.3">
      <c r="B331" s="406" t="s">
        <v>386</v>
      </c>
    </row>
    <row r="332" spans="1:24" x14ac:dyDescent="0.3">
      <c r="B332" s="406" t="s">
        <v>387</v>
      </c>
    </row>
    <row r="333" spans="1:24" x14ac:dyDescent="0.3">
      <c r="B333" s="406" t="s">
        <v>388</v>
      </c>
    </row>
    <row r="334" spans="1:24" x14ac:dyDescent="0.3">
      <c r="B334" s="406" t="s">
        <v>389</v>
      </c>
    </row>
    <row r="335" spans="1:24" x14ac:dyDescent="0.3">
      <c r="B335" s="406" t="s">
        <v>392</v>
      </c>
    </row>
    <row r="336" spans="1:24" x14ac:dyDescent="0.3">
      <c r="B336" s="652" t="s">
        <v>390</v>
      </c>
    </row>
    <row r="337" spans="2:2" x14ac:dyDescent="0.3">
      <c r="B337" s="652" t="s">
        <v>403</v>
      </c>
    </row>
    <row r="339" spans="2:2" s="652" customFormat="1" x14ac:dyDescent="0.3">
      <c r="B339" s="654" t="s">
        <v>408</v>
      </c>
    </row>
    <row r="340" spans="2:2" s="652" customFormat="1" x14ac:dyDescent="0.3">
      <c r="B340" s="652" t="s">
        <v>415</v>
      </c>
    </row>
    <row r="341" spans="2:2" s="652" customFormat="1" x14ac:dyDescent="0.3">
      <c r="B341" s="652" t="s">
        <v>419</v>
      </c>
    </row>
    <row r="343" spans="2:2" x14ac:dyDescent="0.3">
      <c r="B343" s="649" t="s">
        <v>393</v>
      </c>
    </row>
    <row r="344" spans="2:2" x14ac:dyDescent="0.3">
      <c r="B344" s="406" t="s">
        <v>394</v>
      </c>
    </row>
    <row r="345" spans="2:2" x14ac:dyDescent="0.3">
      <c r="B345" s="406" t="s">
        <v>395</v>
      </c>
    </row>
  </sheetData>
  <hyperlinks>
    <hyperlink ref="I9" r:id="rId1" xr:uid="{77BFD5BF-B788-4C4A-A8FE-D7767C23A6C5}"/>
    <hyperlink ref="P238" r:id="rId2" xr:uid="{56EBE709-8503-4D8E-9680-A7785B7C5761}"/>
    <hyperlink ref="B328" r:id="rId3" xr:uid="{6B595B38-0223-470C-A129-FB818490D0F1}"/>
    <hyperlink ref="P322" r:id="rId4" xr:uid="{126C75C2-5177-450B-964B-717DBA945DC7}"/>
  </hyperlinks>
  <printOptions horizontalCentered="1" verticalCentered="1"/>
  <pageMargins left="0.19685039370078741" right="0.19685039370078741" top="0.27559055118110237" bottom="0.27559055118110237" header="0" footer="0"/>
  <pageSetup scale="37" orientation="landscape" r:id="rId5"/>
  <headerFooter alignWithMargins="0"/>
  <rowBreaks count="3" manualBreakCount="3">
    <brk id="64" max="23" man="1"/>
    <brk id="141" max="14" man="1"/>
    <brk id="202" max="14" man="1"/>
  </rowBreaks>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D2926"/>
  </sheetPr>
  <dimension ref="A1:Y279"/>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0.5847</v>
      </c>
      <c r="T16" s="17" t="s">
        <v>145</v>
      </c>
      <c r="U16" s="137">
        <v>0.4153</v>
      </c>
      <c r="V16" s="16"/>
      <c r="W16" s="15"/>
      <c r="X16" s="5"/>
    </row>
    <row r="17" spans="1:25"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5" ht="15.6" x14ac:dyDescent="0.3">
      <c r="A18" s="6"/>
      <c r="B18" s="14" t="s">
        <v>5</v>
      </c>
      <c r="C18" s="15"/>
      <c r="D18" s="15"/>
      <c r="E18" s="15"/>
      <c r="F18" s="15"/>
      <c r="G18" s="15"/>
      <c r="H18" s="15"/>
      <c r="I18" s="15"/>
      <c r="J18" s="15"/>
      <c r="K18" s="15"/>
      <c r="L18" s="15"/>
      <c r="M18" s="15"/>
      <c r="N18" s="15"/>
      <c r="O18" s="15"/>
      <c r="P18" s="15"/>
      <c r="Q18" s="15"/>
      <c r="R18" s="15"/>
      <c r="S18" s="15"/>
      <c r="T18" s="15"/>
      <c r="U18" s="15"/>
      <c r="V18" s="19">
        <v>39500</v>
      </c>
      <c r="W18" s="15"/>
      <c r="X18" s="5"/>
      <c r="Y18" s="170"/>
    </row>
    <row r="19" spans="1:25"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5"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5"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5"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5"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5"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5"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5"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5"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5"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5"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5"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5"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5" ht="15.6" x14ac:dyDescent="0.3">
      <c r="A32" s="24"/>
      <c r="B32" s="25" t="s">
        <v>137</v>
      </c>
      <c r="C32" s="32"/>
      <c r="D32" s="146">
        <f>D31*D38</f>
        <v>1352714.85</v>
      </c>
      <c r="E32" s="32"/>
      <c r="F32" s="31">
        <f>F31*F38</f>
        <v>130762.45</v>
      </c>
      <c r="G32" s="31"/>
      <c r="H32" s="124">
        <f>H31*H38</f>
        <v>220943.45</v>
      </c>
      <c r="I32" s="124"/>
      <c r="J32" s="146">
        <f>J31*J38</f>
        <v>280462.87890000001</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1326892.8</v>
      </c>
      <c r="E33" s="36"/>
      <c r="F33" s="35">
        <f>F37*F31</f>
        <v>128266.333</v>
      </c>
      <c r="G33" s="35"/>
      <c r="H33" s="125">
        <f>H31*H37</f>
        <v>216725.87300000002</v>
      </c>
      <c r="I33" s="125"/>
      <c r="J33" s="151">
        <f>J37*J31</f>
        <v>275109.10720000003</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735170.76124830008</v>
      </c>
      <c r="E35" s="32"/>
      <c r="F35" s="31">
        <f>F34*F38</f>
        <v>130762.45</v>
      </c>
      <c r="G35" s="31"/>
      <c r="H35" s="31">
        <f>H34*H38</f>
        <v>152375.22846000001</v>
      </c>
      <c r="I35" s="31"/>
      <c r="J35" s="31">
        <f>J34*J38</f>
        <v>152425.7129178</v>
      </c>
      <c r="K35" s="31"/>
      <c r="L35" s="31">
        <f>+L34</f>
        <v>25000</v>
      </c>
      <c r="M35" s="31"/>
      <c r="N35" s="31">
        <f>+N34</f>
        <v>86897</v>
      </c>
      <c r="O35" s="31"/>
      <c r="P35" s="31">
        <f>+P34</f>
        <v>17000</v>
      </c>
      <c r="Q35" s="31"/>
      <c r="R35" s="31">
        <f>+R34</f>
        <v>73103</v>
      </c>
      <c r="S35" s="31"/>
      <c r="T35" s="31"/>
      <c r="U35" s="164"/>
      <c r="V35" s="154">
        <f>SUM(C35:R35)</f>
        <v>1372734.1526261</v>
      </c>
      <c r="W35" s="34"/>
      <c r="X35" s="5"/>
    </row>
    <row r="36" spans="1:24" ht="15.6" x14ac:dyDescent="0.3">
      <c r="A36" s="28"/>
      <c r="B36" s="29" t="s">
        <v>295</v>
      </c>
      <c r="C36" s="126"/>
      <c r="D36" s="35">
        <f>D34*D37</f>
        <v>721137.04515839997</v>
      </c>
      <c r="E36" s="36"/>
      <c r="F36" s="35">
        <f>F34*F37</f>
        <v>128266.333</v>
      </c>
      <c r="G36" s="35"/>
      <c r="H36" s="35">
        <f>H34*H37</f>
        <v>149466.54635640001</v>
      </c>
      <c r="I36" s="35"/>
      <c r="J36" s="35">
        <f>J34*J37</f>
        <v>149516.0498944</v>
      </c>
      <c r="K36" s="35"/>
      <c r="L36" s="35">
        <f>+L34</f>
        <v>25000</v>
      </c>
      <c r="M36" s="35"/>
      <c r="N36" s="35">
        <f>+N34</f>
        <v>86897</v>
      </c>
      <c r="O36" s="35"/>
      <c r="P36" s="35">
        <f>+P34</f>
        <v>17000</v>
      </c>
      <c r="Q36" s="35"/>
      <c r="R36" s="35">
        <f>+R34</f>
        <v>73103</v>
      </c>
      <c r="S36" s="128"/>
      <c r="T36" s="128"/>
      <c r="U36" s="164"/>
      <c r="V36" s="155">
        <f>SUM(C36:R36)</f>
        <v>1350385.9744092</v>
      </c>
      <c r="W36" s="34"/>
      <c r="X36" s="5"/>
    </row>
    <row r="37" spans="1:24" ht="15.6" x14ac:dyDescent="0.3">
      <c r="A37" s="24"/>
      <c r="B37" s="122" t="s">
        <v>135</v>
      </c>
      <c r="C37" s="25"/>
      <c r="D37" s="168">
        <v>0.88459520000000003</v>
      </c>
      <c r="E37" s="169"/>
      <c r="F37" s="168">
        <v>0.88459540000000003</v>
      </c>
      <c r="G37" s="168"/>
      <c r="H37" s="168">
        <v>0.88459540000000003</v>
      </c>
      <c r="I37" s="168"/>
      <c r="J37" s="168">
        <v>0.88459520000000003</v>
      </c>
      <c r="K37" s="168"/>
      <c r="L37" s="168">
        <v>1</v>
      </c>
      <c r="M37" s="168"/>
      <c r="N37" s="168">
        <v>1</v>
      </c>
      <c r="O37" s="168"/>
      <c r="P37" s="168">
        <v>1</v>
      </c>
      <c r="Q37" s="168"/>
      <c r="R37" s="168">
        <v>1</v>
      </c>
      <c r="S37" s="30"/>
      <c r="T37" s="30"/>
      <c r="U37" s="163"/>
      <c r="V37" s="163"/>
      <c r="W37" s="25"/>
      <c r="X37" s="5"/>
    </row>
    <row r="38" spans="1:24" ht="15.6" x14ac:dyDescent="0.3">
      <c r="A38" s="24"/>
      <c r="B38" s="122" t="s">
        <v>136</v>
      </c>
      <c r="C38" s="25"/>
      <c r="D38" s="168">
        <v>0.90180990000000005</v>
      </c>
      <c r="E38" s="169"/>
      <c r="F38" s="168">
        <v>0.90181</v>
      </c>
      <c r="G38" s="168"/>
      <c r="H38" s="168">
        <v>0.90181</v>
      </c>
      <c r="I38" s="168"/>
      <c r="J38" s="168">
        <v>0.90180990000000005</v>
      </c>
      <c r="K38" s="168"/>
      <c r="L38" s="168">
        <v>1</v>
      </c>
      <c r="M38" s="168"/>
      <c r="N38" s="168">
        <v>1</v>
      </c>
      <c r="O38" s="168"/>
      <c r="P38" s="168">
        <v>1</v>
      </c>
      <c r="Q38" s="168"/>
      <c r="R38" s="168">
        <v>1</v>
      </c>
      <c r="S38" s="39"/>
      <c r="T38" s="38"/>
      <c r="U38" s="163"/>
      <c r="V38" s="39"/>
      <c r="W38" s="25"/>
      <c r="X38" s="5"/>
    </row>
    <row r="39" spans="1:24" ht="15.6" x14ac:dyDescent="0.3">
      <c r="A39" s="24"/>
      <c r="B39" s="25" t="s">
        <v>11</v>
      </c>
      <c r="C39" s="25"/>
      <c r="D39" s="30" t="s">
        <v>276</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4.2262500000000001E-2</v>
      </c>
      <c r="E40" s="25"/>
      <c r="F40" s="38">
        <v>6.4625000000000002E-2</v>
      </c>
      <c r="G40" s="39"/>
      <c r="H40" s="38">
        <v>4.6949999999999999E-2</v>
      </c>
      <c r="I40" s="38"/>
      <c r="J40" s="38">
        <v>4.9787499999999998E-2</v>
      </c>
      <c r="K40" s="39"/>
      <c r="L40" s="38">
        <v>6.5824999999999995E-2</v>
      </c>
      <c r="M40" s="39"/>
      <c r="N40" s="38">
        <v>4.8149999999999998E-2</v>
      </c>
      <c r="O40" s="39"/>
      <c r="P40" s="38">
        <v>6.8025000000000002E-2</v>
      </c>
      <c r="Q40" s="39"/>
      <c r="R40" s="38">
        <v>5.0349999999999999E-2</v>
      </c>
      <c r="S40" s="39"/>
      <c r="T40" s="38"/>
      <c r="U40" s="163"/>
      <c r="V40" s="30"/>
      <c r="W40" s="25"/>
      <c r="X40" s="5"/>
    </row>
    <row r="41" spans="1:24" ht="15.6" x14ac:dyDescent="0.3">
      <c r="A41" s="24"/>
      <c r="B41" s="25" t="s">
        <v>13</v>
      </c>
      <c r="C41" s="25"/>
      <c r="D41" s="38">
        <v>5.0812499999999997E-2</v>
      </c>
      <c r="E41" s="25"/>
      <c r="F41" s="38">
        <v>6.5074999999999994E-2</v>
      </c>
      <c r="G41" s="39"/>
      <c r="H41" s="38">
        <v>4.6260000000000003E-2</v>
      </c>
      <c r="I41" s="38"/>
      <c r="J41" s="38">
        <v>5.6675000000000003E-2</v>
      </c>
      <c r="K41" s="39"/>
      <c r="L41" s="38">
        <v>6.6275000000000001E-2</v>
      </c>
      <c r="M41" s="39"/>
      <c r="N41" s="38">
        <v>4.7460000000000002E-2</v>
      </c>
      <c r="O41" s="39"/>
      <c r="P41" s="38">
        <v>6.8474999999999994E-2</v>
      </c>
      <c r="Q41" s="39"/>
      <c r="R41" s="38">
        <v>4.9660000000000003E-2</v>
      </c>
      <c r="S41" s="39"/>
      <c r="T41" s="38"/>
      <c r="U41" s="163"/>
      <c r="V41" s="39" t="s">
        <v>199</v>
      </c>
      <c r="W41" s="25"/>
      <c r="X41" s="5"/>
    </row>
    <row r="42" spans="1:24" ht="15.6" x14ac:dyDescent="0.3">
      <c r="A42" s="24"/>
      <c r="B42" s="25" t="s">
        <v>296</v>
      </c>
      <c r="C42" s="25"/>
      <c r="D42" s="30" t="s">
        <v>268</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6.3516500000000004E-2</v>
      </c>
      <c r="E43" s="38"/>
      <c r="F43" s="38">
        <f>+F40</f>
        <v>6.4625000000000002E-2</v>
      </c>
      <c r="G43" s="38"/>
      <c r="H43" s="38">
        <v>6.4586000000000005E-2</v>
      </c>
      <c r="I43" s="38"/>
      <c r="J43" s="38">
        <v>6.4707000000000001E-2</v>
      </c>
      <c r="K43" s="38"/>
      <c r="L43" s="38">
        <f>+L40</f>
        <v>6.5824999999999995E-2</v>
      </c>
      <c r="M43" s="38"/>
      <c r="N43" s="38">
        <v>6.5925999999999998E-2</v>
      </c>
      <c r="O43" s="38"/>
      <c r="P43" s="38">
        <f>+P40</f>
        <v>6.8025000000000002E-2</v>
      </c>
      <c r="Q43" s="39"/>
      <c r="R43" s="38">
        <v>6.8261000000000002E-2</v>
      </c>
      <c r="S43" s="30"/>
      <c r="T43" s="30"/>
      <c r="U43" s="163"/>
      <c r="V43" s="39">
        <f>SUMPRODUCT(D43:R43,D35:R35)/V35</f>
        <v>6.4376062499144002E-2</v>
      </c>
      <c r="W43" s="25"/>
      <c r="X43" s="5"/>
    </row>
    <row r="44" spans="1:24" ht="15.6" x14ac:dyDescent="0.3">
      <c r="A44" s="24"/>
      <c r="B44" s="25" t="s">
        <v>298</v>
      </c>
      <c r="C44" s="110"/>
      <c r="D44" s="38">
        <v>6.3966499999999996E-2</v>
      </c>
      <c r="E44" s="38"/>
      <c r="F44" s="38">
        <f>+F41</f>
        <v>6.5074999999999994E-2</v>
      </c>
      <c r="G44" s="38"/>
      <c r="H44" s="38">
        <v>6.5035999999999997E-2</v>
      </c>
      <c r="I44" s="38"/>
      <c r="J44" s="38">
        <v>6.5157000000000007E-2</v>
      </c>
      <c r="K44" s="38"/>
      <c r="L44" s="38">
        <f>+L41</f>
        <v>6.6275000000000001E-2</v>
      </c>
      <c r="M44" s="38"/>
      <c r="N44" s="38">
        <v>6.6376000000000004E-2</v>
      </c>
      <c r="O44" s="38"/>
      <c r="P44" s="38">
        <f>+P41</f>
        <v>6.8474999999999994E-2</v>
      </c>
      <c r="Q44" s="39"/>
      <c r="R44" s="38">
        <v>6.8710999999999994E-2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0.17589904831772363</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39493</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92</v>
      </c>
      <c r="S57" s="25"/>
      <c r="T57" s="45">
        <v>39309</v>
      </c>
      <c r="U57" s="46"/>
      <c r="V57" s="45">
        <v>39400</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92</v>
      </c>
      <c r="S58" s="25"/>
      <c r="T58" s="45">
        <v>39401</v>
      </c>
      <c r="U58" s="46"/>
      <c r="V58" s="45">
        <v>39492</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39479</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281</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1372734</v>
      </c>
      <c r="O69" s="34"/>
      <c r="P69" s="34">
        <f>22348+2474+732</f>
        <v>25554</v>
      </c>
      <c r="Q69" s="34"/>
      <c r="R69" s="34">
        <f>2474+732</f>
        <v>3206</v>
      </c>
      <c r="S69" s="34"/>
      <c r="T69" s="34">
        <v>0</v>
      </c>
      <c r="U69" s="34"/>
      <c r="V69" s="53">
        <f>+N69-P69+R69-T69</f>
        <v>1350386</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1372734</v>
      </c>
      <c r="O72" s="34"/>
      <c r="P72" s="34">
        <f>SUM(P69:P71)</f>
        <v>25554</v>
      </c>
      <c r="Q72" s="34"/>
      <c r="R72" s="34">
        <f>SUM(R69:R71)</f>
        <v>3206</v>
      </c>
      <c r="S72" s="34"/>
      <c r="T72" s="34">
        <f>SUM(T69:T71)</f>
        <v>0</v>
      </c>
      <c r="U72" s="34"/>
      <c r="V72" s="54">
        <f>SUM(V69:V71)</f>
        <v>1350386</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1372734</v>
      </c>
      <c r="O85" s="34"/>
      <c r="P85" s="34"/>
      <c r="Q85" s="34"/>
      <c r="R85" s="34"/>
      <c r="S85" s="34"/>
      <c r="T85" s="54"/>
      <c r="U85" s="34"/>
      <c r="V85" s="54">
        <f>SUM(V72:V84)</f>
        <v>1350386</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+T196</f>
        <v>39478</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25554-9</f>
        <v>25545</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12516+7175-1296-875</f>
        <v>17520</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350+175</f>
        <v>525</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953</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v>3756</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3464</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25545</v>
      </c>
      <c r="U97" s="25"/>
      <c r="V97" s="54">
        <f>SUM(V89:V96)</f>
        <v>26218</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-43</v>
      </c>
      <c r="U98" s="25"/>
      <c r="V98" s="54">
        <v>43</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282</v>
      </c>
      <c r="C100" s="25"/>
      <c r="D100" s="25"/>
      <c r="E100" s="25"/>
      <c r="F100" s="25"/>
      <c r="G100" s="25"/>
      <c r="H100" s="25"/>
      <c r="I100" s="25"/>
      <c r="J100" s="25"/>
      <c r="K100" s="25"/>
      <c r="L100" s="25"/>
      <c r="M100" s="25"/>
      <c r="N100" s="25"/>
      <c r="O100" s="25"/>
      <c r="P100" s="25"/>
      <c r="Q100" s="25"/>
      <c r="R100" s="25"/>
      <c r="S100" s="25"/>
      <c r="T100" s="34"/>
      <c r="U100" s="25"/>
      <c r="V100" s="53">
        <v>0</v>
      </c>
      <c r="W100" s="25"/>
      <c r="X100" s="5"/>
    </row>
    <row r="101" spans="1:25"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25502</v>
      </c>
      <c r="U101" s="25"/>
      <c r="V101" s="54">
        <f>V97+V99+V98+V100</f>
        <v>26261</v>
      </c>
      <c r="W101" s="25"/>
      <c r="X101" s="5"/>
    </row>
    <row r="102" spans="1:25"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5"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5" ht="15.6" x14ac:dyDescent="0.3">
      <c r="A104" s="24">
        <f>+A103+1</f>
        <v>2</v>
      </c>
      <c r="B104" s="25" t="s">
        <v>259</v>
      </c>
      <c r="C104" s="25"/>
      <c r="D104" s="25"/>
      <c r="E104" s="25"/>
      <c r="F104" s="25"/>
      <c r="G104" s="25"/>
      <c r="H104" s="25"/>
      <c r="I104" s="25"/>
      <c r="J104" s="25"/>
      <c r="K104" s="25"/>
      <c r="L104" s="25"/>
      <c r="M104" s="25"/>
      <c r="N104" s="25"/>
      <c r="O104" s="25"/>
      <c r="P104" s="25"/>
      <c r="Q104" s="25"/>
      <c r="R104" s="25"/>
      <c r="S104" s="25"/>
      <c r="T104" s="25"/>
      <c r="U104" s="25"/>
      <c r="V104" s="53">
        <v>-2</v>
      </c>
      <c r="W104" s="25"/>
      <c r="X104" s="5"/>
    </row>
    <row r="105" spans="1:25" ht="15.6" x14ac:dyDescent="0.3">
      <c r="A105" s="24">
        <f>+A104+1</f>
        <v>3</v>
      </c>
      <c r="B105" s="25" t="s">
        <v>210</v>
      </c>
      <c r="C105" s="25"/>
      <c r="D105" s="25"/>
      <c r="E105" s="25"/>
      <c r="F105" s="25"/>
      <c r="G105" s="25"/>
      <c r="H105" s="25"/>
      <c r="I105" s="25"/>
      <c r="J105" s="25"/>
      <c r="K105" s="25"/>
      <c r="L105" s="25"/>
      <c r="M105" s="25"/>
      <c r="N105" s="25"/>
      <c r="O105" s="25"/>
      <c r="P105" s="25"/>
      <c r="Q105" s="25"/>
      <c r="R105" s="25"/>
      <c r="S105" s="25"/>
      <c r="T105" s="25"/>
      <c r="U105" s="25"/>
      <c r="V105" s="53">
        <f>-520-25-17</f>
        <v>-562</v>
      </c>
      <c r="W105" s="25"/>
      <c r="X105" s="5"/>
    </row>
    <row r="106" spans="1:25" ht="15.6" x14ac:dyDescent="0.3">
      <c r="A106" s="24" t="s">
        <v>132</v>
      </c>
      <c r="B106" s="25" t="s">
        <v>121</v>
      </c>
      <c r="C106" s="25"/>
      <c r="D106" s="25"/>
      <c r="E106" s="25"/>
      <c r="F106" s="25"/>
      <c r="G106" s="25"/>
      <c r="H106" s="25"/>
      <c r="I106" s="25"/>
      <c r="J106" s="25"/>
      <c r="K106" s="25"/>
      <c r="L106" s="25"/>
      <c r="M106" s="25"/>
      <c r="N106" s="25"/>
      <c r="O106" s="25"/>
      <c r="P106" s="25"/>
      <c r="Q106" s="25"/>
      <c r="R106" s="25"/>
      <c r="S106" s="25"/>
      <c r="T106" s="25"/>
      <c r="U106" s="25"/>
      <c r="V106" s="53">
        <v>0</v>
      </c>
      <c r="W106" s="25"/>
      <c r="X106" s="5"/>
    </row>
    <row r="107" spans="1:25" ht="15.6" x14ac:dyDescent="0.3">
      <c r="A107" s="24" t="s">
        <v>133</v>
      </c>
      <c r="B107" s="25" t="s">
        <v>256</v>
      </c>
      <c r="C107" s="25"/>
      <c r="D107" s="25"/>
      <c r="E107" s="25"/>
      <c r="F107" s="25"/>
      <c r="G107" s="25"/>
      <c r="H107" s="25"/>
      <c r="I107" s="25"/>
      <c r="J107" s="25"/>
      <c r="K107" s="25"/>
      <c r="L107" s="25"/>
      <c r="M107" s="25"/>
      <c r="N107" s="25"/>
      <c r="O107" s="25"/>
      <c r="P107" s="25"/>
      <c r="Q107" s="25"/>
      <c r="R107" s="25"/>
      <c r="S107" s="25"/>
      <c r="T107" s="25"/>
      <c r="U107" s="25"/>
      <c r="V107" s="53">
        <f>-11770-2480-2487</f>
        <v>-16737</v>
      </c>
      <c r="W107" s="25"/>
      <c r="X107" s="171"/>
      <c r="Y107" s="109"/>
    </row>
    <row r="108" spans="1:25" ht="15.6" x14ac:dyDescent="0.3">
      <c r="A108" s="24" t="s">
        <v>155</v>
      </c>
      <c r="B108" s="25" t="s">
        <v>190</v>
      </c>
      <c r="C108" s="25"/>
      <c r="D108" s="25"/>
      <c r="E108" s="25"/>
      <c r="F108" s="25"/>
      <c r="G108" s="25"/>
      <c r="H108" s="25"/>
      <c r="I108" s="25"/>
      <c r="J108" s="25"/>
      <c r="K108" s="25"/>
      <c r="L108" s="25"/>
      <c r="M108" s="25"/>
      <c r="N108" s="25"/>
      <c r="O108" s="25"/>
      <c r="P108" s="25"/>
      <c r="Q108" s="25"/>
      <c r="R108" s="25"/>
      <c r="S108" s="25"/>
      <c r="T108" s="25"/>
      <c r="U108" s="25"/>
      <c r="V108" s="53">
        <v>-2130</v>
      </c>
      <c r="W108" s="25"/>
      <c r="X108" s="5"/>
      <c r="Y108" s="109"/>
    </row>
    <row r="109" spans="1:25" ht="15.6" x14ac:dyDescent="0.3">
      <c r="A109" s="24" t="s">
        <v>211</v>
      </c>
      <c r="B109" s="25" t="s">
        <v>191</v>
      </c>
      <c r="C109" s="25"/>
      <c r="D109" s="25"/>
      <c r="E109" s="25"/>
      <c r="F109" s="25"/>
      <c r="G109" s="25"/>
      <c r="H109" s="25"/>
      <c r="I109" s="25"/>
      <c r="J109" s="25"/>
      <c r="K109" s="25"/>
      <c r="L109" s="25"/>
      <c r="M109" s="25"/>
      <c r="N109" s="25"/>
      <c r="O109" s="25"/>
      <c r="P109" s="25"/>
      <c r="Q109" s="25"/>
      <c r="R109" s="25"/>
      <c r="S109" s="25"/>
      <c r="T109" s="25"/>
      <c r="U109" s="25"/>
      <c r="V109" s="53">
        <v>-1444</v>
      </c>
      <c r="W109" s="25"/>
      <c r="X109" s="5"/>
      <c r="Y109" s="109"/>
    </row>
    <row r="110" spans="1:25" ht="15.6" x14ac:dyDescent="0.3">
      <c r="A110" s="24" t="s">
        <v>212</v>
      </c>
      <c r="B110" s="25" t="s">
        <v>192</v>
      </c>
      <c r="C110" s="25"/>
      <c r="D110" s="25"/>
      <c r="E110" s="25"/>
      <c r="F110" s="25"/>
      <c r="G110" s="25"/>
      <c r="H110" s="25"/>
      <c r="I110" s="25"/>
      <c r="J110" s="25"/>
      <c r="K110" s="25"/>
      <c r="L110" s="25"/>
      <c r="M110" s="25"/>
      <c r="N110" s="25"/>
      <c r="O110" s="25"/>
      <c r="P110" s="25"/>
      <c r="Q110" s="25"/>
      <c r="R110" s="25"/>
      <c r="S110" s="25"/>
      <c r="T110" s="25"/>
      <c r="U110" s="25"/>
      <c r="V110" s="53">
        <v>-415</v>
      </c>
      <c r="W110" s="25"/>
      <c r="X110" s="5"/>
      <c r="Y110" s="109"/>
    </row>
    <row r="111" spans="1:25" ht="15.6" x14ac:dyDescent="0.3">
      <c r="A111" s="24" t="s">
        <v>213</v>
      </c>
      <c r="B111" s="25" t="s">
        <v>202</v>
      </c>
      <c r="C111" s="25"/>
      <c r="D111" s="25"/>
      <c r="E111" s="25"/>
      <c r="F111" s="25"/>
      <c r="G111" s="25"/>
      <c r="H111" s="25"/>
      <c r="I111" s="25"/>
      <c r="J111" s="25"/>
      <c r="K111" s="25"/>
      <c r="L111" s="25"/>
      <c r="M111" s="25"/>
      <c r="N111" s="25"/>
      <c r="O111" s="25"/>
      <c r="P111" s="25"/>
      <c r="Q111" s="25"/>
      <c r="R111" s="25"/>
      <c r="S111" s="25"/>
      <c r="T111" s="25"/>
      <c r="U111" s="25"/>
      <c r="V111" s="53">
        <v>-1258</v>
      </c>
      <c r="W111" s="25"/>
      <c r="X111" s="5"/>
      <c r="Y111" s="109"/>
    </row>
    <row r="112" spans="1:25" ht="15.6" x14ac:dyDescent="0.3">
      <c r="A112" s="24" t="s">
        <v>258</v>
      </c>
      <c r="B112" s="25" t="s">
        <v>257</v>
      </c>
      <c r="C112" s="25"/>
      <c r="D112" s="25"/>
      <c r="E112" s="25"/>
      <c r="F112" s="25"/>
      <c r="G112" s="25"/>
      <c r="H112" s="25"/>
      <c r="I112" s="25"/>
      <c r="J112" s="25"/>
      <c r="K112" s="25"/>
      <c r="L112" s="25"/>
      <c r="M112" s="25"/>
      <c r="N112" s="25"/>
      <c r="O112" s="25"/>
      <c r="P112" s="25"/>
      <c r="Q112" s="25"/>
      <c r="R112" s="25"/>
      <c r="S112" s="25"/>
      <c r="T112" s="25"/>
      <c r="U112" s="25"/>
      <c r="V112" s="53">
        <v>-291</v>
      </c>
      <c r="W112" s="25"/>
      <c r="X112" s="5"/>
      <c r="Y112" s="109"/>
    </row>
    <row r="113" spans="1:24" ht="15.6" x14ac:dyDescent="0.3">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-10</v>
      </c>
      <c r="W113" s="25"/>
      <c r="X113" s="5"/>
    </row>
    <row r="114" spans="1:24" ht="15.6" x14ac:dyDescent="0.3">
      <c r="A114" s="24">
        <f t="shared" ref="A114:A119" si="0">+A113+1</f>
        <v>8</v>
      </c>
      <c r="B114" s="25" t="s">
        <v>46</v>
      </c>
      <c r="C114" s="25"/>
      <c r="D114" s="25"/>
      <c r="E114" s="25"/>
      <c r="F114" s="25"/>
      <c r="G114" s="25"/>
      <c r="H114" s="25"/>
      <c r="I114" s="25"/>
      <c r="J114" s="25"/>
      <c r="K114" s="25"/>
      <c r="L114" s="25"/>
      <c r="M114" s="25"/>
      <c r="N114" s="25"/>
      <c r="O114" s="25"/>
      <c r="P114" s="25"/>
      <c r="Q114" s="25"/>
      <c r="R114" s="25"/>
      <c r="S114" s="25"/>
      <c r="T114" s="34">
        <f>-V114</f>
        <v>9</v>
      </c>
      <c r="U114" s="25"/>
      <c r="V114" s="53">
        <v>-9</v>
      </c>
      <c r="W114" s="25"/>
      <c r="X114" s="5"/>
    </row>
    <row r="115" spans="1:24" ht="15.6" x14ac:dyDescent="0.3">
      <c r="A115" s="24">
        <f t="shared" si="0"/>
        <v>9</v>
      </c>
      <c r="B115" s="25" t="s">
        <v>130</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10</v>
      </c>
      <c r="B116" s="25" t="s">
        <v>36</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11</v>
      </c>
      <c r="B117" s="25" t="s">
        <v>37</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6" x14ac:dyDescent="0.3">
      <c r="A118" s="24">
        <f t="shared" si="0"/>
        <v>12</v>
      </c>
      <c r="B118" s="25" t="s">
        <v>154</v>
      </c>
      <c r="C118" s="25"/>
      <c r="D118" s="25"/>
      <c r="E118" s="25"/>
      <c r="F118" s="25"/>
      <c r="G118" s="25"/>
      <c r="H118" s="25"/>
      <c r="I118" s="25"/>
      <c r="J118" s="25"/>
      <c r="K118" s="25"/>
      <c r="L118" s="25"/>
      <c r="M118" s="25"/>
      <c r="N118" s="25"/>
      <c r="O118" s="25"/>
      <c r="P118" s="25"/>
      <c r="Q118" s="25"/>
      <c r="R118" s="25"/>
      <c r="S118" s="25"/>
      <c r="T118" s="25"/>
      <c r="U118" s="25"/>
      <c r="V118" s="53">
        <v>-519</v>
      </c>
      <c r="W118" s="25"/>
      <c r="X118" s="5"/>
    </row>
    <row r="119" spans="1:24" ht="15.6" x14ac:dyDescent="0.3">
      <c r="A119" s="24">
        <f t="shared" si="0"/>
        <v>13</v>
      </c>
      <c r="B119" s="25" t="s">
        <v>131</v>
      </c>
      <c r="C119" s="25"/>
      <c r="D119" s="25"/>
      <c r="E119" s="25"/>
      <c r="F119" s="25"/>
      <c r="G119" s="25"/>
      <c r="H119" s="25"/>
      <c r="I119" s="25"/>
      <c r="J119" s="25"/>
      <c r="K119" s="25"/>
      <c r="L119" s="25"/>
      <c r="M119" s="25"/>
      <c r="N119" s="25"/>
      <c r="O119" s="25"/>
      <c r="P119" s="25"/>
      <c r="Q119" s="25"/>
      <c r="R119" s="25"/>
      <c r="S119" s="25"/>
      <c r="T119" s="25"/>
      <c r="U119" s="25"/>
      <c r="V119" s="53">
        <f>-V101-SUM(V103:V118)</f>
        <v>-2884</v>
      </c>
      <c r="W119" s="25"/>
      <c r="X119" s="5"/>
    </row>
    <row r="120" spans="1:24" ht="15.6" x14ac:dyDescent="0.3">
      <c r="A120" s="24"/>
      <c r="B120" s="118" t="s">
        <v>38</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6" x14ac:dyDescent="0.3">
      <c r="A121" s="24"/>
      <c r="B121" s="25" t="s">
        <v>179</v>
      </c>
      <c r="C121" s="25"/>
      <c r="D121" s="25"/>
      <c r="E121" s="25"/>
      <c r="F121" s="25"/>
      <c r="G121" s="25"/>
      <c r="H121" s="25"/>
      <c r="I121" s="25"/>
      <c r="J121" s="25"/>
      <c r="K121" s="25"/>
      <c r="L121" s="25"/>
      <c r="M121" s="25"/>
      <c r="N121" s="25"/>
      <c r="O121" s="25"/>
      <c r="P121" s="25"/>
      <c r="Q121" s="25"/>
      <c r="R121" s="25"/>
      <c r="S121" s="25"/>
      <c r="T121" s="34">
        <f>-T180</f>
        <v>-167</v>
      </c>
      <c r="U121" s="34"/>
      <c r="V121" s="53"/>
      <c r="W121" s="25"/>
      <c r="X121" s="5"/>
    </row>
    <row r="122" spans="1:24" ht="15.6" x14ac:dyDescent="0.3">
      <c r="A122" s="24"/>
      <c r="B122" s="25" t="s">
        <v>180</v>
      </c>
      <c r="C122" s="25"/>
      <c r="D122" s="25"/>
      <c r="E122" s="25"/>
      <c r="F122" s="25"/>
      <c r="G122" s="25"/>
      <c r="H122" s="25"/>
      <c r="I122" s="25"/>
      <c r="J122" s="25"/>
      <c r="K122" s="25"/>
      <c r="L122" s="25"/>
      <c r="M122" s="25"/>
      <c r="N122" s="25"/>
      <c r="O122" s="25"/>
      <c r="P122" s="25"/>
      <c r="Q122" s="25"/>
      <c r="R122" s="25"/>
      <c r="S122" s="25"/>
      <c r="T122" s="34">
        <v>-97</v>
      </c>
      <c r="U122" s="34"/>
      <c r="V122" s="53"/>
      <c r="W122" s="25"/>
      <c r="X122" s="5"/>
    </row>
    <row r="123" spans="1:24" ht="15.6" x14ac:dyDescent="0.3">
      <c r="A123" s="24"/>
      <c r="B123" s="25" t="s">
        <v>39</v>
      </c>
      <c r="C123" s="25"/>
      <c r="D123" s="25"/>
      <c r="E123" s="25"/>
      <c r="F123" s="25"/>
      <c r="G123" s="25"/>
      <c r="H123" s="25"/>
      <c r="I123" s="25"/>
      <c r="J123" s="25"/>
      <c r="K123" s="25"/>
      <c r="L123" s="25"/>
      <c r="M123" s="25"/>
      <c r="N123" s="25"/>
      <c r="O123" s="25"/>
      <c r="P123" s="25"/>
      <c r="Q123" s="25"/>
      <c r="R123" s="25"/>
      <c r="S123" s="25"/>
      <c r="T123" s="34">
        <f>-S180</f>
        <v>-2899</v>
      </c>
      <c r="U123" s="34"/>
      <c r="V123" s="53"/>
      <c r="W123" s="25"/>
      <c r="X123" s="5"/>
    </row>
    <row r="124" spans="1:24" ht="15.6" x14ac:dyDescent="0.3">
      <c r="A124" s="24"/>
      <c r="B124" s="25" t="s">
        <v>203</v>
      </c>
      <c r="C124" s="25"/>
      <c r="D124" s="25"/>
      <c r="E124" s="25"/>
      <c r="F124" s="25"/>
      <c r="G124" s="25"/>
      <c r="H124" s="25"/>
      <c r="I124" s="25"/>
      <c r="J124" s="25"/>
      <c r="K124" s="25"/>
      <c r="L124" s="25"/>
      <c r="M124" s="25"/>
      <c r="N124" s="25"/>
      <c r="O124" s="25"/>
      <c r="P124" s="25"/>
      <c r="Q124" s="25"/>
      <c r="R124" s="25"/>
      <c r="S124" s="25"/>
      <c r="T124" s="34">
        <v>-14034</v>
      </c>
      <c r="U124" s="34"/>
      <c r="V124" s="53"/>
      <c r="W124" s="25"/>
      <c r="X124" s="5"/>
    </row>
    <row r="125" spans="1:24" ht="15.6" x14ac:dyDescent="0.3">
      <c r="A125" s="24"/>
      <c r="B125" s="25" t="s">
        <v>201</v>
      </c>
      <c r="C125" s="25"/>
      <c r="D125" s="25"/>
      <c r="E125" s="25"/>
      <c r="F125" s="25"/>
      <c r="G125" s="25"/>
      <c r="H125" s="25"/>
      <c r="I125" s="25"/>
      <c r="J125" s="25"/>
      <c r="K125" s="25"/>
      <c r="L125" s="25"/>
      <c r="M125" s="25"/>
      <c r="N125" s="25"/>
      <c r="O125" s="25"/>
      <c r="P125" s="25"/>
      <c r="Q125" s="25"/>
      <c r="R125" s="25"/>
      <c r="S125" s="25"/>
      <c r="T125" s="34">
        <v>-2496</v>
      </c>
      <c r="U125" s="34"/>
      <c r="V125" s="53"/>
      <c r="W125" s="25"/>
      <c r="X125" s="5"/>
    </row>
    <row r="126" spans="1:24" ht="15.6" x14ac:dyDescent="0.3">
      <c r="A126" s="24"/>
      <c r="B126" s="25" t="s">
        <v>200</v>
      </c>
      <c r="C126" s="25"/>
      <c r="D126" s="25"/>
      <c r="E126" s="25"/>
      <c r="F126" s="25"/>
      <c r="G126" s="25"/>
      <c r="H126" s="25"/>
      <c r="I126" s="25"/>
      <c r="J126" s="25"/>
      <c r="K126" s="25"/>
      <c r="L126" s="25"/>
      <c r="M126" s="25"/>
      <c r="N126" s="25"/>
      <c r="O126" s="25"/>
      <c r="P126" s="25"/>
      <c r="Q126" s="25"/>
      <c r="R126" s="25"/>
      <c r="S126" s="25"/>
      <c r="T126" s="34">
        <v>-2909</v>
      </c>
      <c r="U126" s="34"/>
      <c r="V126" s="53"/>
      <c r="W126" s="25"/>
      <c r="X126" s="5"/>
    </row>
    <row r="127" spans="1:24" ht="15.6" x14ac:dyDescent="0.3">
      <c r="A127" s="24"/>
      <c r="B127" s="25" t="s">
        <v>260</v>
      </c>
      <c r="C127" s="25"/>
      <c r="D127" s="25"/>
      <c r="E127" s="25"/>
      <c r="F127" s="25"/>
      <c r="G127" s="25"/>
      <c r="H127" s="25"/>
      <c r="I127" s="25"/>
      <c r="J127" s="25"/>
      <c r="K127" s="25"/>
      <c r="L127" s="25"/>
      <c r="M127" s="25"/>
      <c r="N127" s="25"/>
      <c r="O127" s="25"/>
      <c r="P127" s="25"/>
      <c r="Q127" s="25"/>
      <c r="R127" s="25"/>
      <c r="S127" s="25"/>
      <c r="T127" s="34">
        <v>-2909</v>
      </c>
      <c r="U127" s="34"/>
      <c r="V127" s="53"/>
      <c r="W127" s="25"/>
      <c r="X127" s="5"/>
    </row>
    <row r="128" spans="1:24" ht="15.6" x14ac:dyDescent="0.3">
      <c r="A128" s="24"/>
      <c r="B128" s="25" t="s">
        <v>195</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261</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193</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40</v>
      </c>
      <c r="C132" s="25"/>
      <c r="D132" s="25"/>
      <c r="E132" s="25"/>
      <c r="F132" s="25"/>
      <c r="G132" s="25"/>
      <c r="H132" s="25"/>
      <c r="I132" s="25"/>
      <c r="J132" s="25"/>
      <c r="K132" s="25"/>
      <c r="L132" s="25"/>
      <c r="M132" s="25"/>
      <c r="N132" s="25"/>
      <c r="O132" s="25"/>
      <c r="P132" s="25"/>
      <c r="Q132" s="25"/>
      <c r="R132" s="25"/>
      <c r="S132" s="25"/>
      <c r="T132" s="34">
        <f>SUM(T121:T131)</f>
        <v>-25511</v>
      </c>
      <c r="U132" s="34"/>
      <c r="V132" s="34">
        <f>SUM(V102:V129)</f>
        <v>-26261</v>
      </c>
      <c r="W132" s="25"/>
      <c r="X132" s="5"/>
    </row>
    <row r="133" spans="1:24" ht="15.6" x14ac:dyDescent="0.3">
      <c r="A133" s="24"/>
      <c r="B133" s="25" t="s">
        <v>41</v>
      </c>
      <c r="C133" s="25"/>
      <c r="D133" s="25"/>
      <c r="E133" s="25"/>
      <c r="F133" s="25"/>
      <c r="G133" s="25"/>
      <c r="H133" s="25"/>
      <c r="I133" s="25"/>
      <c r="J133" s="25"/>
      <c r="K133" s="25"/>
      <c r="L133" s="25"/>
      <c r="M133" s="25"/>
      <c r="N133" s="25"/>
      <c r="O133" s="25"/>
      <c r="P133" s="25"/>
      <c r="Q133" s="25"/>
      <c r="R133" s="25"/>
      <c r="S133" s="25"/>
      <c r="T133" s="34">
        <f>T101+T132+T114</f>
        <v>0</v>
      </c>
      <c r="U133" s="34"/>
      <c r="V133" s="34">
        <f>V101+V132</f>
        <v>0</v>
      </c>
      <c r="W133" s="25"/>
      <c r="X133" s="5"/>
    </row>
    <row r="134" spans="1:24" ht="15.6" x14ac:dyDescent="0.3">
      <c r="A134" s="24"/>
      <c r="B134" s="25"/>
      <c r="C134" s="25"/>
      <c r="D134" s="25"/>
      <c r="E134" s="25"/>
      <c r="F134" s="25"/>
      <c r="G134" s="25"/>
      <c r="H134" s="25"/>
      <c r="I134" s="25"/>
      <c r="J134" s="25"/>
      <c r="K134" s="25"/>
      <c r="L134" s="25"/>
      <c r="M134" s="25"/>
      <c r="N134" s="25"/>
      <c r="O134" s="25"/>
      <c r="P134" s="25"/>
      <c r="Q134" s="25"/>
      <c r="R134" s="25"/>
      <c r="S134" s="25"/>
      <c r="T134" s="34"/>
      <c r="U134" s="34"/>
      <c r="V134" s="34"/>
      <c r="W134" s="25"/>
      <c r="X134" s="5"/>
    </row>
    <row r="135" spans="1:24" ht="15.6" x14ac:dyDescent="0.3">
      <c r="A135" s="6"/>
      <c r="B135" s="8"/>
      <c r="C135" s="8"/>
      <c r="D135" s="8"/>
      <c r="E135" s="8"/>
      <c r="F135" s="8"/>
      <c r="G135" s="8"/>
      <c r="H135" s="8"/>
      <c r="I135" s="8"/>
      <c r="J135" s="8"/>
      <c r="K135" s="8"/>
      <c r="L135" s="8"/>
      <c r="M135" s="8"/>
      <c r="N135" s="8"/>
      <c r="O135" s="8"/>
      <c r="P135" s="8"/>
      <c r="Q135" s="8"/>
      <c r="R135" s="8"/>
      <c r="S135" s="8"/>
      <c r="T135" s="8"/>
      <c r="U135" s="8"/>
      <c r="V135" s="52"/>
      <c r="W135" s="8"/>
      <c r="X135" s="5"/>
    </row>
    <row r="136" spans="1:24" ht="18" thickBot="1" x14ac:dyDescent="0.35">
      <c r="A136" s="101"/>
      <c r="B136" s="102" t="str">
        <f>B64</f>
        <v>PM12 INVESTOR REPORT QUARTER ENDING JANUARY 2008</v>
      </c>
      <c r="C136" s="103"/>
      <c r="D136" s="103"/>
      <c r="E136" s="103"/>
      <c r="F136" s="103"/>
      <c r="G136" s="103"/>
      <c r="H136" s="103"/>
      <c r="I136" s="103"/>
      <c r="J136" s="103"/>
      <c r="K136" s="103"/>
      <c r="L136" s="103"/>
      <c r="M136" s="103"/>
      <c r="N136" s="103"/>
      <c r="O136" s="103"/>
      <c r="P136" s="103"/>
      <c r="Q136" s="103"/>
      <c r="R136" s="103"/>
      <c r="S136" s="103"/>
      <c r="T136" s="103"/>
      <c r="U136" s="103"/>
      <c r="V136" s="106"/>
      <c r="W136" s="105"/>
      <c r="X136" s="5"/>
    </row>
    <row r="137" spans="1:24" ht="15.6" x14ac:dyDescent="0.3">
      <c r="A137" s="2"/>
      <c r="B137" s="60" t="s">
        <v>42</v>
      </c>
      <c r="C137" s="4"/>
      <c r="D137" s="4"/>
      <c r="E137" s="4"/>
      <c r="F137" s="4"/>
      <c r="G137" s="4"/>
      <c r="H137" s="4"/>
      <c r="I137" s="4"/>
      <c r="J137" s="4"/>
      <c r="K137" s="4"/>
      <c r="L137" s="4"/>
      <c r="M137" s="4"/>
      <c r="N137" s="4"/>
      <c r="O137" s="4"/>
      <c r="P137" s="4"/>
      <c r="Q137" s="4"/>
      <c r="R137" s="4"/>
      <c r="S137" s="4"/>
      <c r="T137" s="4"/>
      <c r="U137" s="4"/>
      <c r="V137" s="50"/>
      <c r="W137" s="4"/>
      <c r="X137" s="5"/>
    </row>
    <row r="138" spans="1:24" ht="15.6" x14ac:dyDescent="0.3">
      <c r="A138" s="6"/>
      <c r="B138" s="21"/>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6"/>
      <c r="B139" s="119" t="s">
        <v>43</v>
      </c>
      <c r="C139" s="8"/>
      <c r="D139" s="8"/>
      <c r="E139" s="8"/>
      <c r="F139" s="8"/>
      <c r="G139" s="8"/>
      <c r="H139" s="8"/>
      <c r="I139" s="8"/>
      <c r="J139" s="8"/>
      <c r="K139" s="8"/>
      <c r="L139" s="8"/>
      <c r="M139" s="8"/>
      <c r="N139" s="8"/>
      <c r="O139" s="8"/>
      <c r="P139" s="8"/>
      <c r="Q139" s="8"/>
      <c r="R139" s="8"/>
      <c r="S139" s="8"/>
      <c r="T139" s="8"/>
      <c r="U139" s="8"/>
      <c r="V139" s="52"/>
      <c r="W139" s="8"/>
      <c r="X139" s="5"/>
    </row>
    <row r="140" spans="1:24" ht="15.6" x14ac:dyDescent="0.3">
      <c r="A140" s="24"/>
      <c r="B140" s="25" t="s">
        <v>44</v>
      </c>
      <c r="C140" s="25"/>
      <c r="D140" s="25"/>
      <c r="E140" s="25"/>
      <c r="F140" s="25"/>
      <c r="G140" s="25"/>
      <c r="H140" s="25"/>
      <c r="I140" s="25"/>
      <c r="J140" s="25"/>
      <c r="K140" s="25"/>
      <c r="L140" s="25"/>
      <c r="M140" s="25"/>
      <c r="N140" s="25"/>
      <c r="O140" s="25"/>
      <c r="P140" s="25"/>
      <c r="Q140" s="25"/>
      <c r="R140" s="25"/>
      <c r="S140" s="25"/>
      <c r="T140" s="25"/>
      <c r="U140" s="25"/>
      <c r="V140" s="53">
        <f>+V34*0.019</f>
        <v>28503.895</v>
      </c>
      <c r="W140" s="25"/>
      <c r="X140" s="5"/>
    </row>
    <row r="141" spans="1:24" ht="15.6" x14ac:dyDescent="0.3">
      <c r="A141" s="24"/>
      <c r="B141" s="25" t="s">
        <v>45</v>
      </c>
      <c r="C141" s="25"/>
      <c r="D141" s="25"/>
      <c r="E141" s="25"/>
      <c r="F141" s="25"/>
      <c r="G141" s="25"/>
      <c r="H141" s="25"/>
      <c r="I141" s="25"/>
      <c r="J141" s="25"/>
      <c r="K141" s="25"/>
      <c r="L141" s="25"/>
      <c r="M141" s="25"/>
      <c r="N141" s="25"/>
      <c r="O141" s="25"/>
      <c r="P141" s="25"/>
      <c r="Q141" s="25"/>
      <c r="R141" s="25"/>
      <c r="S141" s="25"/>
      <c r="T141" s="25"/>
      <c r="U141" s="25"/>
      <c r="V141" s="53">
        <v>28504</v>
      </c>
      <c r="W141" s="25"/>
      <c r="X141" s="5"/>
    </row>
    <row r="142" spans="1:24" ht="15.6" x14ac:dyDescent="0.3">
      <c r="A142" s="24"/>
      <c r="B142" s="25" t="s">
        <v>141</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128</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129</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181</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46</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134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230</v>
      </c>
      <c r="C148" s="25"/>
      <c r="D148" s="25"/>
      <c r="E148" s="25"/>
      <c r="F148" s="25"/>
      <c r="G148" s="25"/>
      <c r="H148" s="25"/>
      <c r="I148" s="25"/>
      <c r="J148" s="25"/>
      <c r="K148" s="25"/>
      <c r="L148" s="25"/>
      <c r="M148" s="25"/>
      <c r="N148" s="25"/>
      <c r="O148" s="25"/>
      <c r="P148" s="25"/>
      <c r="Q148" s="25"/>
      <c r="R148" s="25"/>
      <c r="S148" s="25"/>
      <c r="T148" s="25"/>
      <c r="U148" s="25"/>
      <c r="V148" s="53">
        <v>0</v>
      </c>
      <c r="W148" s="25"/>
      <c r="X148" s="5"/>
      <c r="Y148" s="109"/>
    </row>
    <row r="149" spans="1:25" ht="15.6" x14ac:dyDescent="0.3">
      <c r="A149" s="24"/>
      <c r="B149" s="25" t="s">
        <v>47</v>
      </c>
      <c r="C149" s="25"/>
      <c r="D149" s="25"/>
      <c r="E149" s="25"/>
      <c r="F149" s="25"/>
      <c r="G149" s="25"/>
      <c r="H149" s="25"/>
      <c r="I149" s="25"/>
      <c r="J149" s="25"/>
      <c r="K149" s="25"/>
      <c r="L149" s="25"/>
      <c r="M149" s="25"/>
      <c r="N149" s="25"/>
      <c r="O149" s="25"/>
      <c r="P149" s="25"/>
      <c r="Q149" s="25"/>
      <c r="R149" s="25"/>
      <c r="S149" s="25"/>
      <c r="T149" s="25"/>
      <c r="U149" s="25"/>
      <c r="V149" s="53">
        <f>SUM(V141:V148)</f>
        <v>28504</v>
      </c>
      <c r="W149" s="25"/>
      <c r="X149" s="5"/>
    </row>
    <row r="150" spans="1:25" ht="15.6" x14ac:dyDescent="0.3">
      <c r="A150" s="24"/>
      <c r="B150" s="25"/>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138" t="s">
        <v>269</v>
      </c>
      <c r="C151" s="25"/>
      <c r="D151" s="25"/>
      <c r="E151" s="25"/>
      <c r="F151" s="25"/>
      <c r="G151" s="25"/>
      <c r="H151" s="25"/>
      <c r="I151" s="25"/>
      <c r="J151" s="25"/>
      <c r="K151" s="25"/>
      <c r="L151" s="25"/>
      <c r="M151" s="25"/>
      <c r="N151" s="25"/>
      <c r="O151" s="25"/>
      <c r="P151" s="25"/>
      <c r="Q151" s="25"/>
      <c r="R151" s="25"/>
      <c r="S151" s="25"/>
      <c r="T151" s="25"/>
      <c r="U151" s="25"/>
      <c r="V151" s="53"/>
      <c r="W151" s="25"/>
      <c r="X151" s="5"/>
    </row>
    <row r="152" spans="1:25" ht="15.6" x14ac:dyDescent="0.3">
      <c r="A152" s="24"/>
      <c r="B152" s="25" t="s">
        <v>160</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178</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t="s">
        <v>270</v>
      </c>
      <c r="C154" s="25"/>
      <c r="D154" s="25"/>
      <c r="E154" s="25"/>
      <c r="F154" s="25"/>
      <c r="G154" s="25"/>
      <c r="H154" s="25"/>
      <c r="I154" s="25"/>
      <c r="J154" s="25"/>
      <c r="K154" s="25"/>
      <c r="L154" s="25"/>
      <c r="M154" s="25"/>
      <c r="N154" s="25"/>
      <c r="O154" s="25"/>
      <c r="P154" s="25"/>
      <c r="Q154" s="25"/>
      <c r="R154" s="25"/>
      <c r="S154" s="25"/>
      <c r="T154" s="25"/>
      <c r="U154" s="25"/>
      <c r="V154" s="53">
        <v>0</v>
      </c>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53"/>
      <c r="W155" s="25"/>
      <c r="X155" s="5"/>
    </row>
    <row r="156" spans="1:25" ht="15.6" x14ac:dyDescent="0.3">
      <c r="A156" s="24"/>
      <c r="B156" s="25"/>
      <c r="C156" s="25"/>
      <c r="D156" s="25"/>
      <c r="E156" s="25"/>
      <c r="F156" s="25"/>
      <c r="G156" s="25"/>
      <c r="H156" s="25"/>
      <c r="I156" s="25"/>
      <c r="J156" s="25"/>
      <c r="K156" s="25"/>
      <c r="L156" s="25"/>
      <c r="M156" s="25"/>
      <c r="N156" s="25"/>
      <c r="O156" s="25"/>
      <c r="P156" s="25"/>
      <c r="Q156" s="25"/>
      <c r="R156" s="25"/>
      <c r="S156" s="25"/>
      <c r="T156" s="25"/>
      <c r="U156" s="25"/>
      <c r="V156" s="61"/>
      <c r="W156" s="25"/>
      <c r="X156" s="5"/>
    </row>
    <row r="157" spans="1:25" ht="15.6" x14ac:dyDescent="0.3">
      <c r="A157" s="6"/>
      <c r="B157" s="119" t="s">
        <v>24</v>
      </c>
      <c r="C157" s="8"/>
      <c r="D157" s="8"/>
      <c r="E157" s="8"/>
      <c r="F157" s="8"/>
      <c r="G157" s="8"/>
      <c r="H157" s="8"/>
      <c r="I157" s="8"/>
      <c r="J157" s="8"/>
      <c r="K157" s="8"/>
      <c r="L157" s="8"/>
      <c r="M157" s="8"/>
      <c r="N157" s="8"/>
      <c r="O157" s="8"/>
      <c r="P157" s="8"/>
      <c r="Q157" s="8"/>
      <c r="R157" s="8"/>
      <c r="S157" s="8"/>
      <c r="T157" s="8"/>
      <c r="U157" s="8"/>
      <c r="V157" s="52"/>
      <c r="W157" s="8"/>
      <c r="X157" s="5"/>
    </row>
    <row r="158" spans="1:25" ht="15.6" x14ac:dyDescent="0.3">
      <c r="A158" s="24"/>
      <c r="B158" s="25" t="s">
        <v>48</v>
      </c>
      <c r="C158" s="25"/>
      <c r="D158" s="25"/>
      <c r="E158" s="25"/>
      <c r="F158" s="25"/>
      <c r="G158" s="25"/>
      <c r="H158" s="25"/>
      <c r="I158" s="25"/>
      <c r="J158" s="25"/>
      <c r="K158" s="25"/>
      <c r="L158" s="25"/>
      <c r="M158" s="25"/>
      <c r="N158" s="25"/>
      <c r="O158" s="25"/>
      <c r="P158" s="25"/>
      <c r="Q158" s="25"/>
      <c r="R158" s="25"/>
      <c r="S158" s="25"/>
      <c r="T158" s="25"/>
      <c r="U158" s="25"/>
      <c r="V158" s="59" t="s">
        <v>123</v>
      </c>
      <c r="W158" s="25"/>
      <c r="X158" s="5"/>
    </row>
    <row r="159" spans="1:25" ht="15.6" x14ac:dyDescent="0.3">
      <c r="A159" s="24"/>
      <c r="B159" s="25" t="s">
        <v>49</v>
      </c>
      <c r="C159" s="163"/>
      <c r="D159" s="163"/>
      <c r="E159" s="163"/>
      <c r="F159" s="163"/>
      <c r="G159" s="163"/>
      <c r="H159" s="163"/>
      <c r="I159" s="163"/>
      <c r="J159" s="163"/>
      <c r="K159" s="163"/>
      <c r="L159" s="163"/>
      <c r="M159" s="163"/>
      <c r="N159" s="163"/>
      <c r="O159" s="163"/>
      <c r="P159" s="163"/>
      <c r="Q159" s="163"/>
      <c r="R159" s="163"/>
      <c r="S159" s="163"/>
      <c r="T159" s="163"/>
      <c r="U159" s="163"/>
      <c r="V159" s="59" t="s">
        <v>123</v>
      </c>
      <c r="W159" s="25"/>
      <c r="X159" s="5"/>
    </row>
    <row r="160" spans="1:25" ht="15.6" x14ac:dyDescent="0.3">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t="s">
        <v>51</v>
      </c>
      <c r="C161" s="25"/>
      <c r="D161" s="25"/>
      <c r="E161" s="25"/>
      <c r="F161" s="25"/>
      <c r="G161" s="25"/>
      <c r="H161" s="25"/>
      <c r="I161" s="25"/>
      <c r="J161" s="25"/>
      <c r="K161" s="25"/>
      <c r="L161" s="25"/>
      <c r="M161" s="25"/>
      <c r="N161" s="25"/>
      <c r="O161" s="25"/>
      <c r="P161" s="25"/>
      <c r="Q161" s="25"/>
      <c r="R161" s="25"/>
      <c r="S161" s="25"/>
      <c r="T161" s="25"/>
      <c r="U161" s="25"/>
      <c r="V161" s="59" t="s">
        <v>123</v>
      </c>
      <c r="W161" s="25"/>
      <c r="X161" s="5"/>
    </row>
    <row r="162" spans="1:24" ht="15.6" x14ac:dyDescent="0.3">
      <c r="A162" s="24"/>
      <c r="B162" s="25"/>
      <c r="C162" s="25"/>
      <c r="D162" s="25"/>
      <c r="E162" s="25"/>
      <c r="F162" s="25"/>
      <c r="G162" s="25"/>
      <c r="H162" s="25"/>
      <c r="I162" s="25"/>
      <c r="J162" s="25"/>
      <c r="K162" s="25"/>
      <c r="L162" s="25"/>
      <c r="M162" s="25"/>
      <c r="N162" s="25"/>
      <c r="O162" s="25"/>
      <c r="P162" s="25"/>
      <c r="Q162" s="25"/>
      <c r="R162" s="25"/>
      <c r="S162" s="25"/>
      <c r="T162" s="25"/>
      <c r="U162" s="25"/>
      <c r="V162" s="61"/>
      <c r="W162" s="25"/>
      <c r="X162" s="5"/>
    </row>
    <row r="163" spans="1:24" ht="15.6" x14ac:dyDescent="0.3">
      <c r="A163" s="6"/>
      <c r="B163" s="119" t="s">
        <v>52</v>
      </c>
      <c r="C163" s="8"/>
      <c r="D163" s="8"/>
      <c r="E163" s="8"/>
      <c r="F163" s="8"/>
      <c r="G163" s="8"/>
      <c r="H163" s="8"/>
      <c r="I163" s="8"/>
      <c r="J163" s="8"/>
      <c r="K163" s="8"/>
      <c r="L163" s="8"/>
      <c r="M163" s="8"/>
      <c r="N163" s="8"/>
      <c r="O163" s="8"/>
      <c r="P163" s="8"/>
      <c r="Q163" s="8"/>
      <c r="R163" s="8"/>
      <c r="S163" s="8"/>
      <c r="T163" s="8"/>
      <c r="U163" s="8"/>
      <c r="V163" s="63"/>
      <c r="W163" s="8"/>
      <c r="X163" s="5"/>
    </row>
    <row r="164" spans="1:24" ht="15.6" x14ac:dyDescent="0.3">
      <c r="A164" s="24"/>
      <c r="B164" s="25" t="s">
        <v>53</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4" ht="15.6" x14ac:dyDescent="0.3">
      <c r="A165" s="24"/>
      <c r="B165" s="25" t="s">
        <v>54</v>
      </c>
      <c r="C165" s="25"/>
      <c r="D165" s="25"/>
      <c r="E165" s="25"/>
      <c r="F165" s="25"/>
      <c r="G165" s="25"/>
      <c r="H165" s="25"/>
      <c r="I165" s="25"/>
      <c r="J165" s="25"/>
      <c r="K165" s="25"/>
      <c r="L165" s="25"/>
      <c r="M165" s="25"/>
      <c r="N165" s="25"/>
      <c r="O165" s="25"/>
      <c r="P165" s="25"/>
      <c r="Q165" s="25"/>
      <c r="R165" s="25"/>
      <c r="S165" s="25"/>
      <c r="T165" s="25"/>
      <c r="U165" s="25"/>
      <c r="V165" s="53">
        <f>-V114</f>
        <v>9</v>
      </c>
      <c r="W165" s="25"/>
      <c r="X165" s="5"/>
    </row>
    <row r="166" spans="1:24" ht="15.6" x14ac:dyDescent="0.3">
      <c r="A166" s="24"/>
      <c r="B166" s="25" t="s">
        <v>55</v>
      </c>
      <c r="C166" s="25"/>
      <c r="D166" s="25"/>
      <c r="E166" s="25"/>
      <c r="F166" s="25"/>
      <c r="G166" s="25"/>
      <c r="H166" s="25"/>
      <c r="I166" s="25"/>
      <c r="J166" s="25"/>
      <c r="K166" s="25"/>
      <c r="L166" s="25"/>
      <c r="M166" s="25"/>
      <c r="N166" s="25"/>
      <c r="O166" s="25"/>
      <c r="P166" s="25"/>
      <c r="Q166" s="25"/>
      <c r="R166" s="25"/>
      <c r="S166" s="25"/>
      <c r="T166" s="25"/>
      <c r="U166" s="25"/>
      <c r="V166" s="53">
        <f>V165+V164</f>
        <v>9</v>
      </c>
      <c r="W166" s="25"/>
      <c r="X166" s="5"/>
    </row>
    <row r="167" spans="1:24" ht="15.6" x14ac:dyDescent="0.3">
      <c r="A167" s="24"/>
      <c r="B167" s="25" t="s">
        <v>310</v>
      </c>
      <c r="C167" s="25"/>
      <c r="D167" s="25"/>
      <c r="E167" s="25"/>
      <c r="F167" s="25"/>
      <c r="G167" s="25"/>
      <c r="H167" s="25"/>
      <c r="I167" s="25"/>
      <c r="J167" s="25"/>
      <c r="K167" s="25"/>
      <c r="L167" s="25"/>
      <c r="M167" s="25"/>
      <c r="N167" s="25"/>
      <c r="O167" s="25"/>
      <c r="P167" s="25"/>
      <c r="Q167" s="25"/>
      <c r="R167" s="25"/>
      <c r="S167" s="25"/>
      <c r="T167" s="25"/>
      <c r="U167" s="25"/>
      <c r="V167" s="53">
        <f>V114</f>
        <v>-9</v>
      </c>
      <c r="W167" s="25"/>
      <c r="X167" s="5"/>
    </row>
    <row r="168" spans="1:24" ht="15.6" x14ac:dyDescent="0.3">
      <c r="A168" s="24"/>
      <c r="B168" s="25" t="s">
        <v>56</v>
      </c>
      <c r="C168" s="25"/>
      <c r="D168" s="25"/>
      <c r="E168" s="25"/>
      <c r="F168" s="25"/>
      <c r="G168" s="25"/>
      <c r="H168" s="25"/>
      <c r="I168" s="25"/>
      <c r="J168" s="25"/>
      <c r="K168" s="25"/>
      <c r="L168" s="25"/>
      <c r="M168" s="25"/>
      <c r="N168" s="25"/>
      <c r="O168" s="25"/>
      <c r="P168" s="25"/>
      <c r="Q168" s="25"/>
      <c r="R168" s="25"/>
      <c r="S168" s="25"/>
      <c r="T168" s="25"/>
      <c r="U168" s="25"/>
      <c r="V168" s="53">
        <f>V166+V167</f>
        <v>0</v>
      </c>
      <c r="W168" s="25"/>
      <c r="X168" s="5"/>
    </row>
    <row r="169" spans="1:24" ht="16.2" thickBot="1" x14ac:dyDescent="0.35">
      <c r="A169" s="24"/>
      <c r="B169" s="25"/>
      <c r="C169" s="25"/>
      <c r="D169" s="25"/>
      <c r="E169" s="25"/>
      <c r="F169" s="25"/>
      <c r="G169" s="25"/>
      <c r="H169" s="25"/>
      <c r="I169" s="25"/>
      <c r="J169" s="25"/>
      <c r="K169" s="25"/>
      <c r="L169" s="25"/>
      <c r="M169" s="25"/>
      <c r="N169" s="25"/>
      <c r="O169" s="25"/>
      <c r="P169" s="25"/>
      <c r="Q169" s="25"/>
      <c r="R169" s="25"/>
      <c r="S169" s="25"/>
      <c r="T169" s="25"/>
      <c r="U169" s="25"/>
      <c r="V169" s="61"/>
      <c r="W169" s="25"/>
      <c r="X169" s="5"/>
    </row>
    <row r="170" spans="1:24" ht="15.6" x14ac:dyDescent="0.3">
      <c r="A170" s="2"/>
      <c r="B170" s="4"/>
      <c r="C170" s="4"/>
      <c r="D170" s="4"/>
      <c r="E170" s="4"/>
      <c r="F170" s="4"/>
      <c r="G170" s="4"/>
      <c r="H170" s="4"/>
      <c r="I170" s="4"/>
      <c r="J170" s="4"/>
      <c r="K170" s="4"/>
      <c r="L170" s="4"/>
      <c r="M170" s="4"/>
      <c r="N170" s="4"/>
      <c r="O170" s="4"/>
      <c r="P170" s="4"/>
      <c r="Q170" s="4"/>
      <c r="R170" s="4"/>
      <c r="S170" s="4"/>
      <c r="T170" s="4"/>
      <c r="U170" s="4"/>
      <c r="V170" s="50"/>
      <c r="W170" s="4"/>
      <c r="X170" s="5"/>
    </row>
    <row r="171" spans="1:24" ht="15.6" x14ac:dyDescent="0.3">
      <c r="A171" s="6"/>
      <c r="B171" s="119" t="s">
        <v>57</v>
      </c>
      <c r="C171" s="8"/>
      <c r="D171" s="8"/>
      <c r="E171" s="8"/>
      <c r="F171" s="8"/>
      <c r="G171" s="8"/>
      <c r="H171" s="8"/>
      <c r="I171" s="8"/>
      <c r="J171" s="8"/>
      <c r="K171" s="8"/>
      <c r="L171" s="8"/>
      <c r="M171" s="8"/>
      <c r="N171" s="8"/>
      <c r="O171" s="8"/>
      <c r="P171" s="8"/>
      <c r="Q171" s="8"/>
      <c r="R171" s="8"/>
      <c r="S171" s="8"/>
      <c r="T171" s="8"/>
      <c r="U171" s="8"/>
      <c r="V171" s="52"/>
      <c r="W171" s="8"/>
      <c r="X171" s="5"/>
    </row>
    <row r="172" spans="1:24" ht="15.6" x14ac:dyDescent="0.3">
      <c r="A172" s="6"/>
      <c r="B172" s="21"/>
      <c r="C172" s="8"/>
      <c r="D172" s="8"/>
      <c r="E172" s="8"/>
      <c r="F172" s="8"/>
      <c r="G172" s="8"/>
      <c r="H172" s="8"/>
      <c r="I172" s="8"/>
      <c r="J172" s="8"/>
      <c r="K172" s="8"/>
      <c r="L172" s="8"/>
      <c r="M172" s="8"/>
      <c r="N172" s="8"/>
      <c r="O172" s="8"/>
      <c r="P172" s="8"/>
      <c r="Q172" s="8"/>
      <c r="R172" s="8"/>
      <c r="S172" s="8"/>
      <c r="T172" s="8"/>
      <c r="U172" s="8"/>
      <c r="V172" s="52"/>
      <c r="W172" s="8"/>
      <c r="X172" s="5"/>
    </row>
    <row r="173" spans="1:24" ht="15.6" x14ac:dyDescent="0.3">
      <c r="A173" s="24"/>
      <c r="B173" s="25" t="s">
        <v>58</v>
      </c>
      <c r="C173" s="25"/>
      <c r="D173" s="25"/>
      <c r="E173" s="25"/>
      <c r="F173" s="25"/>
      <c r="G173" s="25"/>
      <c r="H173" s="25"/>
      <c r="I173" s="25"/>
      <c r="J173" s="25"/>
      <c r="K173" s="25"/>
      <c r="L173" s="25"/>
      <c r="M173" s="25"/>
      <c r="N173" s="25"/>
      <c r="O173" s="25"/>
      <c r="P173" s="25"/>
      <c r="Q173" s="25"/>
      <c r="R173" s="25"/>
      <c r="S173" s="25"/>
      <c r="T173" s="25"/>
      <c r="U173" s="25"/>
      <c r="V173" s="53">
        <f>V72</f>
        <v>1350386</v>
      </c>
      <c r="W173" s="25"/>
      <c r="X173" s="5"/>
    </row>
    <row r="174" spans="1:24" ht="15.6" x14ac:dyDescent="0.3">
      <c r="A174" s="24"/>
      <c r="B174" s="25" t="s">
        <v>59</v>
      </c>
      <c r="C174" s="25"/>
      <c r="D174" s="25"/>
      <c r="E174" s="25"/>
      <c r="F174" s="25"/>
      <c r="G174" s="25"/>
      <c r="H174" s="25"/>
      <c r="I174" s="25"/>
      <c r="J174" s="25"/>
      <c r="K174" s="25"/>
      <c r="L174" s="25"/>
      <c r="M174" s="25"/>
      <c r="N174" s="25"/>
      <c r="O174" s="25"/>
      <c r="P174" s="25"/>
      <c r="Q174" s="25"/>
      <c r="R174" s="25"/>
      <c r="S174" s="25"/>
      <c r="T174" s="25"/>
      <c r="U174" s="25"/>
      <c r="V174" s="53">
        <f>V85</f>
        <v>1350386</v>
      </c>
      <c r="W174" s="25"/>
      <c r="X174" s="5"/>
    </row>
    <row r="175" spans="1:24" ht="16.2" thickBot="1" x14ac:dyDescent="0.35">
      <c r="A175" s="24"/>
      <c r="B175" s="25"/>
      <c r="C175" s="25"/>
      <c r="D175" s="25"/>
      <c r="E175" s="25"/>
      <c r="F175" s="25"/>
      <c r="G175" s="25"/>
      <c r="H175" s="25"/>
      <c r="I175" s="25"/>
      <c r="J175" s="25"/>
      <c r="K175" s="25"/>
      <c r="L175" s="25"/>
      <c r="M175" s="25"/>
      <c r="N175" s="25"/>
      <c r="O175" s="25"/>
      <c r="P175" s="25"/>
      <c r="Q175" s="25"/>
      <c r="R175" s="25"/>
      <c r="S175" s="25"/>
      <c r="T175" s="25"/>
      <c r="U175" s="25"/>
      <c r="V175" s="61"/>
      <c r="W175" s="25"/>
      <c r="X175" s="5"/>
    </row>
    <row r="176" spans="1:24" ht="15.6" x14ac:dyDescent="0.3">
      <c r="A176" s="2"/>
      <c r="B176" s="4"/>
      <c r="C176" s="4"/>
      <c r="D176" s="4"/>
      <c r="E176" s="4"/>
      <c r="F176" s="4"/>
      <c r="G176" s="4"/>
      <c r="H176" s="4"/>
      <c r="I176" s="4"/>
      <c r="J176" s="4"/>
      <c r="K176" s="4"/>
      <c r="L176" s="4"/>
      <c r="M176" s="4"/>
      <c r="N176" s="4"/>
      <c r="O176" s="4"/>
      <c r="P176" s="4"/>
      <c r="Q176" s="4"/>
      <c r="R176" s="4"/>
      <c r="S176" s="4"/>
      <c r="T176" s="4"/>
      <c r="U176" s="4"/>
      <c r="V176" s="50"/>
      <c r="W176" s="4"/>
      <c r="X176" s="5"/>
    </row>
    <row r="177" spans="1:24" ht="15.6" x14ac:dyDescent="0.3">
      <c r="A177" s="6"/>
      <c r="B177" s="119" t="s">
        <v>60</v>
      </c>
      <c r="C177" s="117"/>
      <c r="D177" s="117"/>
      <c r="E177" s="117"/>
      <c r="F177" s="117"/>
      <c r="G177" s="117"/>
      <c r="H177" s="120"/>
      <c r="I177" s="120"/>
      <c r="J177" s="120"/>
      <c r="K177" s="120"/>
      <c r="L177" s="120"/>
      <c r="M177" s="120"/>
      <c r="N177" s="120"/>
      <c r="O177" s="120"/>
      <c r="P177" s="120"/>
      <c r="Q177" s="120"/>
      <c r="R177" s="120"/>
      <c r="S177" s="120" t="s">
        <v>103</v>
      </c>
      <c r="T177" s="120" t="s">
        <v>182</v>
      </c>
      <c r="U177" s="111"/>
      <c r="V177" s="121" t="s">
        <v>119</v>
      </c>
      <c r="W177" s="10"/>
      <c r="X177" s="5"/>
    </row>
    <row r="178" spans="1:24" ht="15.6" x14ac:dyDescent="0.3">
      <c r="A178" s="24"/>
      <c r="B178" s="25" t="s">
        <v>61</v>
      </c>
      <c r="C178" s="25"/>
      <c r="D178" s="25"/>
      <c r="E178" s="25"/>
      <c r="F178" s="25"/>
      <c r="G178" s="25"/>
      <c r="H178" s="25"/>
      <c r="I178" s="25"/>
      <c r="J178" s="25"/>
      <c r="K178" s="25"/>
      <c r="L178" s="25"/>
      <c r="M178" s="25"/>
      <c r="N178" s="25"/>
      <c r="O178" s="25"/>
      <c r="P178" s="25"/>
      <c r="Q178" s="25"/>
      <c r="R178" s="25"/>
      <c r="S178" s="53">
        <f>+V34*0.16</f>
        <v>240032.80000000002</v>
      </c>
      <c r="T178" s="40"/>
      <c r="U178" s="25"/>
      <c r="V178" s="53"/>
      <c r="W178" s="25"/>
      <c r="X178" s="5"/>
    </row>
    <row r="179" spans="1:24" ht="15.6" x14ac:dyDescent="0.3">
      <c r="A179" s="24"/>
      <c r="B179" s="25" t="s">
        <v>62</v>
      </c>
      <c r="C179" s="25"/>
      <c r="D179" s="25"/>
      <c r="E179" s="25"/>
      <c r="F179" s="25"/>
      <c r="G179" s="25"/>
      <c r="H179" s="25"/>
      <c r="I179" s="25"/>
      <c r="J179" s="25"/>
      <c r="K179" s="25"/>
      <c r="L179" s="25"/>
      <c r="M179" s="25"/>
      <c r="N179" s="25"/>
      <c r="O179" s="25"/>
      <c r="P179" s="25"/>
      <c r="Q179" s="25"/>
      <c r="R179" s="25"/>
      <c r="S179" s="53">
        <f>+'Oct 07'!S180</f>
        <v>29005</v>
      </c>
      <c r="T179" s="53">
        <f>+'Oct 07'!T180</f>
        <v>5291</v>
      </c>
      <c r="U179" s="25"/>
      <c r="V179" s="53">
        <f>S179+T179</f>
        <v>34296</v>
      </c>
      <c r="W179" s="25"/>
      <c r="X179" s="5"/>
    </row>
    <row r="180" spans="1:24" ht="15.6" x14ac:dyDescent="0.3">
      <c r="A180" s="24"/>
      <c r="B180" s="25" t="s">
        <v>63</v>
      </c>
      <c r="C180" s="25"/>
      <c r="D180" s="25"/>
      <c r="E180" s="25"/>
      <c r="F180" s="25"/>
      <c r="G180" s="25"/>
      <c r="H180" s="25"/>
      <c r="I180" s="25"/>
      <c r="J180" s="25"/>
      <c r="K180" s="25"/>
      <c r="L180" s="25"/>
      <c r="M180" s="25"/>
      <c r="N180" s="25"/>
      <c r="O180" s="25"/>
      <c r="P180" s="25"/>
      <c r="Q180" s="25"/>
      <c r="R180" s="25"/>
      <c r="S180" s="34">
        <v>2899</v>
      </c>
      <c r="T180" s="34">
        <v>167</v>
      </c>
      <c r="U180" s="25"/>
      <c r="V180" s="53">
        <f>S180+T180</f>
        <v>3066</v>
      </c>
      <c r="W180" s="25"/>
      <c r="X180" s="5"/>
    </row>
    <row r="181" spans="1:24" ht="15.6" x14ac:dyDescent="0.3">
      <c r="A181" s="24"/>
      <c r="B181" s="25" t="s">
        <v>64</v>
      </c>
      <c r="C181" s="25"/>
      <c r="D181" s="25"/>
      <c r="E181" s="25"/>
      <c r="F181" s="25"/>
      <c r="G181" s="25"/>
      <c r="H181" s="25"/>
      <c r="I181" s="25"/>
      <c r="J181" s="25"/>
      <c r="K181" s="25"/>
      <c r="L181" s="25"/>
      <c r="M181" s="25"/>
      <c r="N181" s="25"/>
      <c r="O181" s="25"/>
      <c r="P181" s="25"/>
      <c r="Q181" s="25"/>
      <c r="R181" s="25"/>
      <c r="S181" s="53">
        <f>S179+S180</f>
        <v>31904</v>
      </c>
      <c r="T181" s="53">
        <f>T180+T179</f>
        <v>5458</v>
      </c>
      <c r="U181" s="25"/>
      <c r="V181" s="53">
        <f>S181+T181</f>
        <v>37362</v>
      </c>
      <c r="W181" s="25"/>
      <c r="X181" s="5"/>
    </row>
    <row r="182" spans="1:24" ht="15.6" x14ac:dyDescent="0.3">
      <c r="A182" s="24"/>
      <c r="B182" s="25" t="s">
        <v>65</v>
      </c>
      <c r="C182" s="25"/>
      <c r="D182" s="25"/>
      <c r="E182" s="25"/>
      <c r="F182" s="25"/>
      <c r="G182" s="25"/>
      <c r="H182" s="25"/>
      <c r="I182" s="25"/>
      <c r="J182" s="25"/>
      <c r="K182" s="25"/>
      <c r="L182" s="25"/>
      <c r="M182" s="25"/>
      <c r="N182" s="25"/>
      <c r="O182" s="25"/>
      <c r="P182" s="25"/>
      <c r="Q182" s="25"/>
      <c r="R182" s="25"/>
      <c r="S182" s="53">
        <f>S178-S181-T181</f>
        <v>202670.80000000002</v>
      </c>
      <c r="T182" s="40"/>
      <c r="U182" s="25"/>
      <c r="V182" s="53"/>
      <c r="W182" s="25"/>
      <c r="X182" s="5"/>
    </row>
    <row r="183" spans="1:24" ht="16.2" thickBot="1" x14ac:dyDescent="0.35">
      <c r="A183" s="24"/>
      <c r="B183" s="25"/>
      <c r="C183" s="25"/>
      <c r="D183" s="25"/>
      <c r="E183" s="25"/>
      <c r="F183" s="25"/>
      <c r="G183" s="25"/>
      <c r="H183" s="25"/>
      <c r="I183" s="25"/>
      <c r="J183" s="25"/>
      <c r="K183" s="25"/>
      <c r="L183" s="25"/>
      <c r="M183" s="25"/>
      <c r="N183" s="25"/>
      <c r="O183" s="25"/>
      <c r="P183" s="25"/>
      <c r="Q183" s="25"/>
      <c r="R183" s="25"/>
      <c r="S183" s="25"/>
      <c r="T183" s="25"/>
      <c r="U183" s="25"/>
      <c r="V183" s="61"/>
      <c r="W183" s="25"/>
      <c r="X183" s="5"/>
    </row>
    <row r="184" spans="1:24" ht="15.6" x14ac:dyDescent="0.3">
      <c r="A184" s="2"/>
      <c r="B184" s="4"/>
      <c r="C184" s="4"/>
      <c r="D184" s="4"/>
      <c r="E184" s="4"/>
      <c r="F184" s="4"/>
      <c r="G184" s="4"/>
      <c r="H184" s="4"/>
      <c r="I184" s="4"/>
      <c r="J184" s="4"/>
      <c r="K184" s="4"/>
      <c r="L184" s="4"/>
      <c r="M184" s="4"/>
      <c r="N184" s="4"/>
      <c r="O184" s="4"/>
      <c r="P184" s="4"/>
      <c r="Q184" s="4"/>
      <c r="R184" s="4"/>
      <c r="S184" s="4"/>
      <c r="T184" s="4"/>
      <c r="U184" s="4"/>
      <c r="V184" s="50"/>
      <c r="W184" s="4"/>
      <c r="X184" s="5"/>
    </row>
    <row r="185" spans="1:24" ht="15.6" x14ac:dyDescent="0.3">
      <c r="A185" s="6"/>
      <c r="B185" s="119" t="s">
        <v>66</v>
      </c>
      <c r="C185" s="8"/>
      <c r="D185" s="8"/>
      <c r="E185" s="8"/>
      <c r="F185" s="8"/>
      <c r="G185" s="8"/>
      <c r="H185" s="8"/>
      <c r="I185" s="8"/>
      <c r="J185" s="8"/>
      <c r="K185" s="8"/>
      <c r="L185" s="8"/>
      <c r="M185" s="8"/>
      <c r="N185" s="8"/>
      <c r="O185" s="8"/>
      <c r="P185" s="8"/>
      <c r="Q185" s="8"/>
      <c r="R185" s="8"/>
      <c r="S185" s="8"/>
      <c r="T185" s="8"/>
      <c r="U185" s="8"/>
      <c r="V185" s="65"/>
      <c r="W185" s="8"/>
      <c r="X185" s="5"/>
    </row>
    <row r="186" spans="1:24" ht="15.6" x14ac:dyDescent="0.3">
      <c r="A186" s="24"/>
      <c r="B186" s="25" t="s">
        <v>67</v>
      </c>
      <c r="C186" s="25"/>
      <c r="D186" s="25"/>
      <c r="E186" s="25"/>
      <c r="F186" s="25"/>
      <c r="G186" s="25"/>
      <c r="H186" s="25"/>
      <c r="I186" s="25"/>
      <c r="J186" s="25"/>
      <c r="K186" s="25"/>
      <c r="L186" s="25"/>
      <c r="M186" s="25"/>
      <c r="N186" s="25"/>
      <c r="O186" s="25"/>
      <c r="P186" s="25"/>
      <c r="Q186" s="25"/>
      <c r="R186" s="25"/>
      <c r="S186" s="25"/>
      <c r="T186" s="25"/>
      <c r="U186" s="25"/>
      <c r="V186" s="59">
        <f>(V101+V103+V104+V105+V106)/-(V107+V108)</f>
        <v>1.3620077383791807</v>
      </c>
      <c r="W186" s="25" t="s">
        <v>120</v>
      </c>
      <c r="X186" s="5"/>
    </row>
    <row r="187" spans="1:24" ht="15.6" x14ac:dyDescent="0.3">
      <c r="A187" s="24"/>
      <c r="B187" s="25" t="s">
        <v>68</v>
      </c>
      <c r="C187" s="25"/>
      <c r="D187" s="25"/>
      <c r="E187" s="25"/>
      <c r="F187" s="25"/>
      <c r="G187" s="25"/>
      <c r="H187" s="25"/>
      <c r="I187" s="25"/>
      <c r="J187" s="25"/>
      <c r="K187" s="25"/>
      <c r="L187" s="25"/>
      <c r="M187" s="25"/>
      <c r="N187" s="25"/>
      <c r="O187" s="25"/>
      <c r="P187" s="25"/>
      <c r="Q187" s="25"/>
      <c r="R187" s="25"/>
      <c r="S187" s="25"/>
      <c r="T187" s="25"/>
      <c r="U187" s="25"/>
      <c r="V187" s="66">
        <v>1.39</v>
      </c>
      <c r="W187" s="25" t="s">
        <v>120</v>
      </c>
      <c r="X187" s="5"/>
    </row>
    <row r="188" spans="1:24" ht="15.6" x14ac:dyDescent="0.3">
      <c r="A188" s="24"/>
      <c r="B188" s="25" t="s">
        <v>69</v>
      </c>
      <c r="C188" s="25"/>
      <c r="D188" s="25"/>
      <c r="E188" s="25"/>
      <c r="F188" s="25"/>
      <c r="G188" s="25"/>
      <c r="H188" s="25"/>
      <c r="I188" s="25"/>
      <c r="J188" s="25"/>
      <c r="K188" s="25"/>
      <c r="L188" s="25"/>
      <c r="M188" s="25"/>
      <c r="N188" s="25"/>
      <c r="O188" s="25"/>
      <c r="P188" s="25"/>
      <c r="Q188" s="25"/>
      <c r="R188" s="25"/>
      <c r="S188" s="25"/>
      <c r="T188" s="25"/>
      <c r="U188" s="25"/>
      <c r="V188" s="59">
        <f>(V101+V103+V104+V105+V106+V107+V108)/-(V109+V110)</f>
        <v>3.674018289402905</v>
      </c>
      <c r="W188" s="25" t="s">
        <v>120</v>
      </c>
      <c r="X188" s="5"/>
    </row>
    <row r="189" spans="1:24" ht="15.6" x14ac:dyDescent="0.3">
      <c r="A189" s="24"/>
      <c r="B189" s="25" t="s">
        <v>70</v>
      </c>
      <c r="C189" s="25"/>
      <c r="D189" s="25"/>
      <c r="E189" s="25"/>
      <c r="F189" s="25"/>
      <c r="G189" s="25"/>
      <c r="H189" s="25"/>
      <c r="I189" s="25"/>
      <c r="J189" s="25"/>
      <c r="K189" s="25"/>
      <c r="L189" s="25"/>
      <c r="M189" s="25"/>
      <c r="N189" s="25"/>
      <c r="O189" s="25"/>
      <c r="P189" s="25"/>
      <c r="Q189" s="25"/>
      <c r="R189" s="25"/>
      <c r="S189" s="25"/>
      <c r="T189" s="25"/>
      <c r="U189" s="25"/>
      <c r="V189" s="66">
        <v>4.0999999999999996</v>
      </c>
      <c r="W189" s="25" t="s">
        <v>120</v>
      </c>
      <c r="X189" s="5"/>
    </row>
    <row r="190" spans="1:24" ht="15.6" x14ac:dyDescent="0.3">
      <c r="A190" s="24"/>
      <c r="B190" s="25" t="s">
        <v>204</v>
      </c>
      <c r="C190" s="25"/>
      <c r="D190" s="25"/>
      <c r="E190" s="25"/>
      <c r="F190" s="25"/>
      <c r="G190" s="25"/>
      <c r="H190" s="25"/>
      <c r="I190" s="25"/>
      <c r="J190" s="25"/>
      <c r="K190" s="25"/>
      <c r="L190" s="25"/>
      <c r="M190" s="25"/>
      <c r="N190" s="25"/>
      <c r="O190" s="25"/>
      <c r="P190" s="25"/>
      <c r="Q190" s="25"/>
      <c r="R190" s="25"/>
      <c r="S190" s="25"/>
      <c r="T190" s="25"/>
      <c r="U190" s="25"/>
      <c r="V190" s="59">
        <f>(V101+V103+V104+V105+V106+V107+V108+V109+V110)/-(V111+V112)</f>
        <v>3.2091672046481601</v>
      </c>
      <c r="W190" s="25" t="s">
        <v>120</v>
      </c>
      <c r="X190" s="5"/>
    </row>
    <row r="191" spans="1:24" ht="15.6" x14ac:dyDescent="0.3">
      <c r="A191" s="24"/>
      <c r="B191" s="25" t="s">
        <v>205</v>
      </c>
      <c r="C191" s="25"/>
      <c r="D191" s="25"/>
      <c r="E191" s="25"/>
      <c r="F191" s="25"/>
      <c r="G191" s="25"/>
      <c r="H191" s="25"/>
      <c r="I191" s="25"/>
      <c r="J191" s="25"/>
      <c r="K191" s="25"/>
      <c r="L191" s="25"/>
      <c r="M191" s="25"/>
      <c r="N191" s="25"/>
      <c r="O191" s="25"/>
      <c r="P191" s="25"/>
      <c r="Q191" s="25"/>
      <c r="R191" s="25"/>
      <c r="S191" s="25"/>
      <c r="T191" s="25"/>
      <c r="U191" s="25"/>
      <c r="V191" s="66">
        <v>3.71</v>
      </c>
      <c r="W191" s="25" t="s">
        <v>120</v>
      </c>
      <c r="X191" s="5"/>
    </row>
    <row r="192" spans="1:24"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25"/>
      <c r="W192" s="25"/>
      <c r="X192" s="5"/>
    </row>
    <row r="193" spans="1:24" ht="15.6" x14ac:dyDescent="0.3">
      <c r="A193" s="24"/>
      <c r="B193" s="25"/>
      <c r="C193" s="25"/>
      <c r="D193" s="25"/>
      <c r="E193" s="25"/>
      <c r="F193" s="25"/>
      <c r="G193" s="25"/>
      <c r="H193" s="25"/>
      <c r="I193" s="25"/>
      <c r="J193" s="25"/>
      <c r="K193" s="25"/>
      <c r="L193" s="25"/>
      <c r="M193" s="25"/>
      <c r="N193" s="25"/>
      <c r="O193" s="25"/>
      <c r="P193" s="25"/>
      <c r="Q193" s="25"/>
      <c r="R193" s="25"/>
      <c r="S193" s="25"/>
      <c r="T193" s="25"/>
      <c r="U193" s="25"/>
      <c r="V193" s="25"/>
      <c r="W193" s="25"/>
      <c r="X193" s="5"/>
    </row>
    <row r="194" spans="1:24" ht="15.6" x14ac:dyDescent="0.3">
      <c r="A194" s="6"/>
      <c r="B194" s="8"/>
      <c r="C194" s="8"/>
      <c r="D194" s="8"/>
      <c r="E194" s="8"/>
      <c r="F194" s="8"/>
      <c r="G194" s="8"/>
      <c r="H194" s="8"/>
      <c r="I194" s="8"/>
      <c r="J194" s="8"/>
      <c r="K194" s="8"/>
      <c r="L194" s="8"/>
      <c r="M194" s="8"/>
      <c r="N194" s="8"/>
      <c r="O194" s="8"/>
      <c r="P194" s="8"/>
      <c r="Q194" s="8"/>
      <c r="R194" s="8"/>
      <c r="S194" s="8"/>
      <c r="T194" s="8"/>
      <c r="U194" s="8"/>
      <c r="V194" s="8"/>
      <c r="W194" s="8"/>
      <c r="X194" s="5"/>
    </row>
    <row r="195" spans="1:24" ht="18" thickBot="1" x14ac:dyDescent="0.35">
      <c r="A195" s="101"/>
      <c r="B195" s="102" t="str">
        <f>B136</f>
        <v>PM12 INVESTOR REPORT QUARTER ENDING JANUARY 2008</v>
      </c>
      <c r="C195" s="165"/>
      <c r="D195" s="165"/>
      <c r="E195" s="165"/>
      <c r="F195" s="165"/>
      <c r="G195" s="165"/>
      <c r="H195" s="165"/>
      <c r="I195" s="165"/>
      <c r="J195" s="165"/>
      <c r="K195" s="165"/>
      <c r="L195" s="165"/>
      <c r="M195" s="165"/>
      <c r="N195" s="165"/>
      <c r="O195" s="165"/>
      <c r="P195" s="165"/>
      <c r="Q195" s="165"/>
      <c r="R195" s="165"/>
      <c r="S195" s="165"/>
      <c r="T195" s="165"/>
      <c r="U195" s="165"/>
      <c r="V195" s="165"/>
      <c r="W195" s="166"/>
      <c r="X195" s="5"/>
    </row>
    <row r="196" spans="1:24" ht="15.6" x14ac:dyDescent="0.3">
      <c r="A196" s="67"/>
      <c r="B196" s="60" t="s">
        <v>71</v>
      </c>
      <c r="C196" s="68"/>
      <c r="D196" s="68"/>
      <c r="E196" s="68"/>
      <c r="F196" s="68"/>
      <c r="G196" s="69"/>
      <c r="H196" s="69"/>
      <c r="I196" s="69"/>
      <c r="J196" s="69"/>
      <c r="K196" s="69"/>
      <c r="L196" s="69"/>
      <c r="M196" s="69"/>
      <c r="N196" s="69"/>
      <c r="O196" s="69"/>
      <c r="P196" s="69"/>
      <c r="Q196" s="69"/>
      <c r="R196" s="69"/>
      <c r="S196" s="69"/>
      <c r="T196" s="70">
        <v>39478</v>
      </c>
      <c r="U196" s="4"/>
      <c r="V196" s="4"/>
      <c r="W196" s="4"/>
      <c r="X196" s="5"/>
    </row>
    <row r="197" spans="1:24" ht="15.6" x14ac:dyDescent="0.3">
      <c r="A197" s="71"/>
      <c r="B197" s="72"/>
      <c r="C197" s="73"/>
      <c r="D197" s="73"/>
      <c r="E197" s="73"/>
      <c r="F197" s="73"/>
      <c r="G197" s="74"/>
      <c r="H197" s="74"/>
      <c r="I197" s="74"/>
      <c r="J197" s="74"/>
      <c r="K197" s="74"/>
      <c r="L197" s="74"/>
      <c r="M197" s="74"/>
      <c r="N197" s="74"/>
      <c r="O197" s="74"/>
      <c r="P197" s="74"/>
      <c r="Q197" s="74"/>
      <c r="R197" s="74"/>
      <c r="S197" s="74"/>
      <c r="T197" s="74"/>
      <c r="U197" s="8"/>
      <c r="V197" s="8"/>
      <c r="W197" s="8"/>
      <c r="X197" s="5"/>
    </row>
    <row r="198" spans="1:24" ht="15.6" x14ac:dyDescent="0.3">
      <c r="A198" s="75"/>
      <c r="B198" s="76" t="s">
        <v>72</v>
      </c>
      <c r="C198" s="77"/>
      <c r="D198" s="77"/>
      <c r="E198" s="77"/>
      <c r="F198" s="77"/>
      <c r="G198" s="64"/>
      <c r="H198" s="64"/>
      <c r="I198" s="64"/>
      <c r="J198" s="64"/>
      <c r="K198" s="64"/>
      <c r="L198" s="64"/>
      <c r="M198" s="64"/>
      <c r="N198" s="64"/>
      <c r="O198" s="64"/>
      <c r="P198" s="64"/>
      <c r="Q198" s="64"/>
      <c r="R198" s="64"/>
      <c r="S198" s="64"/>
      <c r="T198" s="78">
        <v>5.2060000000000002E-2</v>
      </c>
      <c r="U198" s="25"/>
      <c r="V198" s="25"/>
      <c r="W198" s="25"/>
      <c r="X198" s="5"/>
    </row>
    <row r="199" spans="1:24" ht="15.6" x14ac:dyDescent="0.3">
      <c r="A199" s="75"/>
      <c r="B199" s="76" t="s">
        <v>156</v>
      </c>
      <c r="C199" s="77"/>
      <c r="D199" s="77"/>
      <c r="E199" s="77"/>
      <c r="F199" s="77"/>
      <c r="G199" s="64"/>
      <c r="H199" s="64"/>
      <c r="I199" s="64"/>
      <c r="J199" s="64"/>
      <c r="K199" s="64"/>
      <c r="L199" s="64"/>
      <c r="M199" s="64"/>
      <c r="N199" s="64"/>
      <c r="O199" s="64"/>
      <c r="P199" s="64"/>
      <c r="Q199" s="64"/>
      <c r="R199" s="64"/>
      <c r="S199" s="64"/>
      <c r="T199" s="39">
        <f>'Oct 06'!T197</f>
        <v>4.8538814772447772E-2</v>
      </c>
      <c r="U199" s="25"/>
      <c r="V199" s="25"/>
      <c r="W199" s="25"/>
      <c r="X199" s="5"/>
    </row>
    <row r="200" spans="1:24" ht="15.6" x14ac:dyDescent="0.3">
      <c r="A200" s="75"/>
      <c r="B200" s="76" t="s">
        <v>73</v>
      </c>
      <c r="C200" s="77"/>
      <c r="D200" s="77"/>
      <c r="E200" s="77"/>
      <c r="F200" s="77"/>
      <c r="G200" s="64"/>
      <c r="H200" s="64"/>
      <c r="I200" s="64"/>
      <c r="J200" s="64"/>
      <c r="K200" s="64"/>
      <c r="L200" s="64"/>
      <c r="M200" s="64"/>
      <c r="N200" s="64"/>
      <c r="O200" s="64"/>
      <c r="P200" s="64"/>
      <c r="Q200" s="64"/>
      <c r="R200" s="64"/>
      <c r="S200" s="64"/>
      <c r="T200" s="78">
        <f>T198-T199</f>
        <v>3.5211852275522301E-3</v>
      </c>
      <c r="U200" s="25"/>
      <c r="V200" s="25"/>
      <c r="W200" s="25"/>
      <c r="X200" s="5"/>
    </row>
    <row r="201" spans="1:24" ht="15.6" x14ac:dyDescent="0.3">
      <c r="A201" s="75"/>
      <c r="B201" s="76" t="s">
        <v>74</v>
      </c>
      <c r="C201" s="77"/>
      <c r="D201" s="77"/>
      <c r="E201" s="77"/>
      <c r="F201" s="77"/>
      <c r="G201" s="64"/>
      <c r="H201" s="64"/>
      <c r="I201" s="64"/>
      <c r="J201" s="64"/>
      <c r="K201" s="64"/>
      <c r="L201" s="64"/>
      <c r="M201" s="64"/>
      <c r="N201" s="64"/>
      <c r="O201" s="64"/>
      <c r="P201" s="64"/>
      <c r="Q201" s="64"/>
      <c r="R201" s="64"/>
      <c r="S201" s="64"/>
      <c r="T201" s="78">
        <v>5.4609999999999999E-2</v>
      </c>
      <c r="U201" s="25"/>
      <c r="V201" s="25"/>
      <c r="W201" s="25"/>
      <c r="X201" s="5"/>
    </row>
    <row r="202" spans="1:24" ht="15.6" x14ac:dyDescent="0.3">
      <c r="A202" s="75"/>
      <c r="B202" s="76" t="s">
        <v>225</v>
      </c>
      <c r="C202" s="77"/>
      <c r="D202" s="77"/>
      <c r="E202" s="77"/>
      <c r="F202" s="77"/>
      <c r="G202" s="64"/>
      <c r="H202" s="64"/>
      <c r="I202" s="64"/>
      <c r="J202" s="64"/>
      <c r="K202" s="64"/>
      <c r="L202" s="64"/>
      <c r="M202" s="64"/>
      <c r="N202" s="64"/>
      <c r="O202" s="64"/>
      <c r="P202" s="64"/>
      <c r="Q202" s="64"/>
      <c r="R202" s="64"/>
      <c r="S202" s="64"/>
      <c r="T202" s="78">
        <f>V43</f>
        <v>6.4376062499144002E-2</v>
      </c>
      <c r="U202" s="25"/>
      <c r="V202" s="25"/>
      <c r="W202" s="25"/>
      <c r="X202" s="5"/>
    </row>
    <row r="203" spans="1:24" ht="15.6" x14ac:dyDescent="0.3">
      <c r="A203" s="75"/>
      <c r="B203" s="76" t="s">
        <v>75</v>
      </c>
      <c r="C203" s="77"/>
      <c r="D203" s="77"/>
      <c r="E203" s="77"/>
      <c r="F203" s="77"/>
      <c r="G203" s="64"/>
      <c r="H203" s="64"/>
      <c r="I203" s="64"/>
      <c r="J203" s="64"/>
      <c r="K203" s="64"/>
      <c r="L203" s="64"/>
      <c r="M203" s="64"/>
      <c r="N203" s="64"/>
      <c r="O203" s="64"/>
      <c r="P203" s="64"/>
      <c r="Q203" s="64"/>
      <c r="R203" s="64"/>
      <c r="S203" s="64"/>
      <c r="T203" s="78">
        <f>T201-T202</f>
        <v>-9.7660624991440029E-3</v>
      </c>
      <c r="U203" s="25"/>
      <c r="V203" s="25"/>
      <c r="W203" s="25"/>
      <c r="X203" s="5"/>
    </row>
    <row r="204" spans="1:24" ht="15.6" x14ac:dyDescent="0.3">
      <c r="A204" s="75"/>
      <c r="B204" s="76" t="s">
        <v>271</v>
      </c>
      <c r="C204" s="77"/>
      <c r="D204" s="77"/>
      <c r="E204" s="77"/>
      <c r="F204" s="77"/>
      <c r="G204" s="64"/>
      <c r="H204" s="64"/>
      <c r="I204" s="64"/>
      <c r="J204" s="64"/>
      <c r="K204" s="64"/>
      <c r="L204" s="64"/>
      <c r="M204" s="64"/>
      <c r="N204" s="64"/>
      <c r="O204" s="64"/>
      <c r="P204" s="64"/>
      <c r="Q204" s="64"/>
      <c r="R204" s="64"/>
      <c r="S204" s="64"/>
      <c r="T204" s="78">
        <f>+V101/N72</f>
        <v>1.9130436049518699E-2</v>
      </c>
      <c r="U204" s="25"/>
      <c r="V204" s="25"/>
      <c r="W204" s="25"/>
      <c r="X204" s="5"/>
    </row>
    <row r="205" spans="1:24" ht="15.6" x14ac:dyDescent="0.3">
      <c r="A205" s="75"/>
      <c r="B205" s="76" t="s">
        <v>214</v>
      </c>
      <c r="C205" s="77"/>
      <c r="D205" s="77"/>
      <c r="E205" s="77"/>
      <c r="F205" s="77"/>
      <c r="G205" s="64"/>
      <c r="H205" s="64"/>
      <c r="I205" s="64"/>
      <c r="J205" s="64"/>
      <c r="K205" s="64"/>
      <c r="L205" s="64"/>
      <c r="M205" s="64"/>
      <c r="N205" s="64"/>
      <c r="O205" s="64"/>
      <c r="P205" s="64"/>
      <c r="Q205" s="64"/>
      <c r="R205" s="64"/>
      <c r="S205" s="64"/>
      <c r="T205" s="129">
        <v>50710</v>
      </c>
      <c r="U205" s="25"/>
      <c r="V205" s="25"/>
      <c r="W205" s="25"/>
      <c r="X205" s="5"/>
    </row>
    <row r="206" spans="1:24" ht="15.6" x14ac:dyDescent="0.3">
      <c r="A206" s="75"/>
      <c r="B206" s="76" t="s">
        <v>215</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216</v>
      </c>
      <c r="C207" s="77"/>
      <c r="D207" s="77"/>
      <c r="E207" s="77"/>
      <c r="F207" s="77"/>
      <c r="G207" s="64"/>
      <c r="H207" s="64"/>
      <c r="I207" s="64"/>
      <c r="J207" s="64"/>
      <c r="K207" s="64"/>
      <c r="L207" s="64"/>
      <c r="M207" s="64"/>
      <c r="N207" s="64"/>
      <c r="O207" s="64"/>
      <c r="P207" s="64"/>
      <c r="Q207" s="64"/>
      <c r="R207" s="64"/>
      <c r="S207" s="64"/>
      <c r="T207" s="129">
        <v>50710</v>
      </c>
      <c r="U207" s="25"/>
      <c r="V207" s="25"/>
      <c r="W207" s="25"/>
      <c r="X207" s="5"/>
    </row>
    <row r="208" spans="1:24" ht="15.6" x14ac:dyDescent="0.3">
      <c r="A208" s="75"/>
      <c r="B208" s="76" t="s">
        <v>76</v>
      </c>
      <c r="C208" s="77"/>
      <c r="D208" s="77"/>
      <c r="E208" s="77"/>
      <c r="F208" s="77"/>
      <c r="G208" s="64"/>
      <c r="H208" s="64"/>
      <c r="I208" s="64"/>
      <c r="J208" s="64"/>
      <c r="K208" s="64"/>
      <c r="L208" s="64"/>
      <c r="M208" s="64"/>
      <c r="N208" s="64"/>
      <c r="O208" s="64"/>
      <c r="P208" s="64"/>
      <c r="Q208" s="64"/>
      <c r="R208" s="64"/>
      <c r="S208" s="64"/>
      <c r="T208" s="133">
        <v>21.06</v>
      </c>
      <c r="U208" s="25" t="s">
        <v>115</v>
      </c>
      <c r="V208" s="25"/>
      <c r="W208" s="25"/>
      <c r="X208" s="5"/>
    </row>
    <row r="209" spans="1:24" ht="15.6" x14ac:dyDescent="0.3">
      <c r="A209" s="75"/>
      <c r="B209" s="76" t="s">
        <v>77</v>
      </c>
      <c r="C209" s="77"/>
      <c r="D209" s="77"/>
      <c r="E209" s="77"/>
      <c r="F209" s="77"/>
      <c r="G209" s="64"/>
      <c r="H209" s="64"/>
      <c r="I209" s="64"/>
      <c r="J209" s="64"/>
      <c r="K209" s="64"/>
      <c r="L209" s="64"/>
      <c r="M209" s="64"/>
      <c r="N209" s="64"/>
      <c r="O209" s="64"/>
      <c r="P209" s="64"/>
      <c r="Q209" s="64"/>
      <c r="R209" s="64"/>
      <c r="S209" s="64"/>
      <c r="T209" s="133">
        <v>19.670000000000002</v>
      </c>
      <c r="U209" s="25" t="s">
        <v>115</v>
      </c>
      <c r="V209" s="25"/>
      <c r="W209" s="25"/>
      <c r="X209" s="5"/>
    </row>
    <row r="210" spans="1:24" ht="15.6" x14ac:dyDescent="0.3">
      <c r="A210" s="75"/>
      <c r="B210" s="76" t="s">
        <v>78</v>
      </c>
      <c r="C210" s="77"/>
      <c r="D210" s="77"/>
      <c r="E210" s="77"/>
      <c r="F210" s="77"/>
      <c r="G210" s="64"/>
      <c r="H210" s="64"/>
      <c r="I210" s="64"/>
      <c r="J210" s="64"/>
      <c r="K210" s="64"/>
      <c r="L210" s="64"/>
      <c r="M210" s="64"/>
      <c r="N210" s="64"/>
      <c r="O210" s="64"/>
      <c r="P210" s="64"/>
      <c r="Q210" s="64"/>
      <c r="R210" s="64"/>
      <c r="S210" s="64"/>
      <c r="T210" s="78">
        <f>+P69/N69</f>
        <v>1.8615405460926882E-2</v>
      </c>
      <c r="U210" s="25"/>
      <c r="V210" s="25"/>
      <c r="W210" s="25"/>
      <c r="X210" s="5"/>
    </row>
    <row r="211" spans="1:24" ht="15.6" x14ac:dyDescent="0.3">
      <c r="A211" s="75"/>
      <c r="B211" s="76" t="s">
        <v>79</v>
      </c>
      <c r="C211" s="77"/>
      <c r="D211" s="77"/>
      <c r="E211" s="77"/>
      <c r="F211" s="77"/>
      <c r="G211" s="64"/>
      <c r="H211" s="64"/>
      <c r="I211" s="64"/>
      <c r="J211" s="64"/>
      <c r="K211" s="64"/>
      <c r="L211" s="64"/>
      <c r="M211" s="64"/>
      <c r="N211" s="64"/>
      <c r="O211" s="64"/>
      <c r="P211" s="64"/>
      <c r="Q211" s="64"/>
      <c r="R211" s="64"/>
      <c r="S211" s="64"/>
      <c r="T211" s="78">
        <v>8.2500000000000004E-2</v>
      </c>
      <c r="U211" s="25"/>
      <c r="V211" s="25"/>
      <c r="W211" s="25"/>
      <c r="X211" s="5"/>
    </row>
    <row r="212" spans="1:24" ht="15.6" x14ac:dyDescent="0.3">
      <c r="A212" s="75"/>
      <c r="B212" s="76"/>
      <c r="C212" s="76"/>
      <c r="D212" s="76"/>
      <c r="E212" s="76"/>
      <c r="F212" s="76"/>
      <c r="G212" s="25"/>
      <c r="H212" s="25"/>
      <c r="I212" s="25"/>
      <c r="J212" s="25"/>
      <c r="K212" s="25"/>
      <c r="L212" s="25"/>
      <c r="M212" s="25"/>
      <c r="N212" s="25"/>
      <c r="O212" s="25"/>
      <c r="P212" s="25"/>
      <c r="Q212" s="25"/>
      <c r="R212" s="25"/>
      <c r="S212" s="25"/>
      <c r="T212" s="61"/>
      <c r="U212" s="25"/>
      <c r="V212" s="79"/>
      <c r="W212" s="25"/>
      <c r="X212" s="5"/>
    </row>
    <row r="213" spans="1:24" ht="15.6" x14ac:dyDescent="0.3">
      <c r="A213" s="80"/>
      <c r="B213" s="14" t="s">
        <v>80</v>
      </c>
      <c r="C213" s="81"/>
      <c r="D213" s="81"/>
      <c r="E213" s="81"/>
      <c r="F213" s="82"/>
      <c r="G213" s="81"/>
      <c r="H213" s="17"/>
      <c r="I213" s="17"/>
      <c r="J213" s="17"/>
      <c r="K213" s="17"/>
      <c r="L213" s="17"/>
      <c r="M213" s="17"/>
      <c r="N213" s="17"/>
      <c r="O213" s="17"/>
      <c r="P213" s="17"/>
      <c r="Q213" s="17"/>
      <c r="R213" s="17"/>
      <c r="S213" s="17" t="s">
        <v>104</v>
      </c>
      <c r="T213" s="83" t="s">
        <v>111</v>
      </c>
      <c r="U213" s="8"/>
      <c r="V213" s="8"/>
      <c r="W213" s="8"/>
      <c r="X213" s="5"/>
    </row>
    <row r="214" spans="1:24" ht="15.6" x14ac:dyDescent="0.3">
      <c r="A214" s="84"/>
      <c r="B214" s="76" t="s">
        <v>81</v>
      </c>
      <c r="C214" s="54"/>
      <c r="D214" s="54"/>
      <c r="E214" s="54"/>
      <c r="F214" s="25"/>
      <c r="G214" s="25"/>
      <c r="H214" s="30"/>
      <c r="I214" s="30"/>
      <c r="J214" s="30"/>
      <c r="K214" s="30"/>
      <c r="L214" s="30"/>
      <c r="M214" s="30"/>
      <c r="N214" s="30"/>
      <c r="O214" s="30"/>
      <c r="P214" s="30"/>
      <c r="Q214" s="30"/>
      <c r="R214" s="30"/>
      <c r="S214" s="30">
        <v>0</v>
      </c>
      <c r="T214" s="85">
        <v>0</v>
      </c>
      <c r="U214" s="25"/>
      <c r="V214" s="79"/>
      <c r="W214" s="86"/>
      <c r="X214" s="5"/>
    </row>
    <row r="215" spans="1:24" ht="15.6" x14ac:dyDescent="0.3">
      <c r="A215" s="84"/>
      <c r="B215" s="76" t="s">
        <v>150</v>
      </c>
      <c r="C215" s="54"/>
      <c r="D215" s="54"/>
      <c r="E215" s="54"/>
      <c r="F215" s="25"/>
      <c r="G215" s="25"/>
      <c r="H215" s="30"/>
      <c r="I215" s="30"/>
      <c r="J215" s="30"/>
      <c r="K215" s="30"/>
      <c r="L215" s="30"/>
      <c r="M215" s="30"/>
      <c r="N215" s="30"/>
      <c r="O215" s="30"/>
      <c r="P215" s="30"/>
      <c r="Q215" s="30"/>
      <c r="R215" s="30"/>
      <c r="S215" s="152">
        <f>+R255</f>
        <v>19</v>
      </c>
      <c r="T215" s="85">
        <f>+T255</f>
        <v>3241</v>
      </c>
      <c r="U215" s="25"/>
      <c r="V215" s="79"/>
      <c r="W215" s="86"/>
      <c r="X215" s="5"/>
    </row>
    <row r="216" spans="1:24" ht="15.6" x14ac:dyDescent="0.3">
      <c r="A216" s="84"/>
      <c r="B216" s="76" t="s">
        <v>82</v>
      </c>
      <c r="C216" s="54"/>
      <c r="D216" s="54"/>
      <c r="E216" s="54"/>
      <c r="F216" s="25"/>
      <c r="G216" s="25"/>
      <c r="H216" s="30"/>
      <c r="I216" s="30"/>
      <c r="J216" s="30"/>
      <c r="K216" s="30"/>
      <c r="L216" s="30"/>
      <c r="M216" s="30"/>
      <c r="N216" s="30"/>
      <c r="O216" s="30"/>
      <c r="P216" s="30"/>
      <c r="Q216" s="30"/>
      <c r="R216" s="30"/>
      <c r="S216" s="30">
        <v>0</v>
      </c>
      <c r="T216" s="85">
        <v>0</v>
      </c>
      <c r="U216" s="25"/>
      <c r="V216" s="79"/>
      <c r="W216" s="86"/>
      <c r="X216" s="5"/>
    </row>
    <row r="217" spans="1:24" ht="15.6" x14ac:dyDescent="0.3">
      <c r="A217" s="84"/>
      <c r="B217" s="122" t="s">
        <v>83</v>
      </c>
      <c r="C217" s="54"/>
      <c r="D217" s="54"/>
      <c r="E217" s="54"/>
      <c r="F217" s="25"/>
      <c r="G217" s="25"/>
      <c r="H217" s="25"/>
      <c r="I217" s="25"/>
      <c r="J217" s="25"/>
      <c r="K217" s="25"/>
      <c r="L217" s="25"/>
      <c r="M217" s="25"/>
      <c r="N217" s="25"/>
      <c r="O217" s="25"/>
      <c r="P217" s="25"/>
      <c r="Q217" s="25"/>
      <c r="R217" s="25"/>
      <c r="S217" s="25"/>
      <c r="T217" s="85">
        <v>0</v>
      </c>
      <c r="U217" s="25"/>
      <c r="V217" s="79"/>
      <c r="W217" s="86"/>
      <c r="X217" s="5"/>
    </row>
    <row r="218" spans="1:24" ht="15.6" x14ac:dyDescent="0.3">
      <c r="A218" s="84"/>
      <c r="B218" s="122" t="s">
        <v>84</v>
      </c>
      <c r="C218" s="54"/>
      <c r="D218" s="54"/>
      <c r="E218" s="54"/>
      <c r="F218" s="25"/>
      <c r="G218" s="25"/>
      <c r="H218" s="25"/>
      <c r="I218" s="25"/>
      <c r="J218" s="25"/>
      <c r="K218" s="25"/>
      <c r="L218" s="25"/>
      <c r="M218" s="25"/>
      <c r="N218" s="25"/>
      <c r="O218" s="25"/>
      <c r="P218" s="25"/>
      <c r="Q218" s="25"/>
      <c r="R218" s="25"/>
      <c r="S218" s="25"/>
      <c r="T218" s="62" t="s">
        <v>112</v>
      </c>
      <c r="U218" s="25"/>
      <c r="V218" s="79"/>
      <c r="W218" s="86"/>
      <c r="X218" s="5"/>
    </row>
    <row r="219" spans="1:24" ht="15.6" x14ac:dyDescent="0.3">
      <c r="A219" s="87"/>
      <c r="B219" s="122" t="s">
        <v>85</v>
      </c>
      <c r="C219" s="76"/>
      <c r="D219" s="76"/>
      <c r="E219" s="76"/>
      <c r="F219" s="76"/>
      <c r="G219" s="25"/>
      <c r="H219" s="25"/>
      <c r="I219" s="25"/>
      <c r="J219" s="25"/>
      <c r="K219" s="25"/>
      <c r="L219" s="25"/>
      <c r="M219" s="25"/>
      <c r="N219" s="25"/>
      <c r="O219" s="25"/>
      <c r="P219" s="25"/>
      <c r="Q219" s="25"/>
      <c r="R219" s="25"/>
      <c r="S219" s="25"/>
      <c r="T219" s="85"/>
      <c r="U219" s="25"/>
      <c r="V219" s="79"/>
      <c r="W219" s="88"/>
      <c r="X219" s="5"/>
    </row>
    <row r="220" spans="1:24" ht="15.6" x14ac:dyDescent="0.3">
      <c r="A220" s="87"/>
      <c r="B220" s="131" t="s">
        <v>86</v>
      </c>
      <c r="C220" s="76"/>
      <c r="D220" s="76"/>
      <c r="E220" s="76"/>
      <c r="F220" s="76"/>
      <c r="G220" s="25"/>
      <c r="H220" s="25"/>
      <c r="I220" s="25"/>
      <c r="J220" s="25"/>
      <c r="K220" s="25"/>
      <c r="L220" s="25"/>
      <c r="M220" s="25"/>
      <c r="N220" s="25"/>
      <c r="O220" s="25"/>
      <c r="P220" s="25"/>
      <c r="Q220" s="25"/>
      <c r="R220" s="25"/>
      <c r="S220" s="30"/>
      <c r="T220" s="85">
        <f>+V165</f>
        <v>9</v>
      </c>
      <c r="U220" s="25"/>
      <c r="V220" s="79"/>
      <c r="W220" s="88"/>
      <c r="X220" s="5"/>
    </row>
    <row r="221" spans="1:24" ht="15.6" x14ac:dyDescent="0.3">
      <c r="A221" s="84"/>
      <c r="B221" s="76" t="s">
        <v>87</v>
      </c>
      <c r="C221" s="54"/>
      <c r="D221" s="54"/>
      <c r="E221" s="54"/>
      <c r="F221" s="54"/>
      <c r="G221" s="25"/>
      <c r="H221" s="25"/>
      <c r="I221" s="25"/>
      <c r="J221" s="25"/>
      <c r="K221" s="25"/>
      <c r="L221" s="25"/>
      <c r="M221" s="25"/>
      <c r="N221" s="25"/>
      <c r="O221" s="25"/>
      <c r="P221" s="25"/>
      <c r="Q221" s="25"/>
      <c r="R221" s="25"/>
      <c r="S221" s="30"/>
      <c r="T221" s="85">
        <f>'Oct 07'!T220+'Jan 08'!T220</f>
        <v>91</v>
      </c>
      <c r="U221" s="25"/>
      <c r="V221" s="79"/>
      <c r="W221" s="88"/>
      <c r="X221" s="5"/>
    </row>
    <row r="222" spans="1:24" ht="15.6" x14ac:dyDescent="0.3">
      <c r="A222" s="87"/>
      <c r="B222" s="122" t="s">
        <v>292</v>
      </c>
      <c r="C222" s="76"/>
      <c r="D222" s="76"/>
      <c r="E222" s="76"/>
      <c r="F222" s="76"/>
      <c r="G222" s="25"/>
      <c r="H222" s="25"/>
      <c r="I222" s="25"/>
      <c r="J222" s="25"/>
      <c r="K222" s="25"/>
      <c r="L222" s="25"/>
      <c r="M222" s="25"/>
      <c r="N222" s="25"/>
      <c r="O222" s="25"/>
      <c r="P222" s="25"/>
      <c r="Q222" s="25"/>
      <c r="R222" s="25"/>
      <c r="S222" s="30"/>
      <c r="T222" s="85"/>
      <c r="U222" s="25"/>
      <c r="V222" s="79"/>
      <c r="W222" s="88"/>
      <c r="X222" s="5"/>
    </row>
    <row r="223" spans="1:24" ht="15.6" x14ac:dyDescent="0.3">
      <c r="A223" s="87"/>
      <c r="B223" s="76" t="s">
        <v>290</v>
      </c>
      <c r="C223" s="76"/>
      <c r="D223" s="76"/>
      <c r="E223" s="76"/>
      <c r="F223" s="76"/>
      <c r="G223" s="25"/>
      <c r="H223" s="25"/>
      <c r="I223" s="25"/>
      <c r="J223" s="25"/>
      <c r="K223" s="25"/>
      <c r="L223" s="25"/>
      <c r="M223" s="25"/>
      <c r="N223" s="25"/>
      <c r="O223" s="25"/>
      <c r="P223" s="25"/>
      <c r="Q223" s="25"/>
      <c r="R223" s="25"/>
      <c r="S223" s="30">
        <v>0</v>
      </c>
      <c r="T223" s="85">
        <v>0</v>
      </c>
      <c r="U223" s="25"/>
      <c r="V223" s="79"/>
      <c r="W223" s="88"/>
      <c r="X223" s="5"/>
    </row>
    <row r="224" spans="1:24" ht="15.6" x14ac:dyDescent="0.3">
      <c r="A224" s="84"/>
      <c r="B224" s="76" t="s">
        <v>88</v>
      </c>
      <c r="C224" s="89"/>
      <c r="D224" s="89"/>
      <c r="E224" s="89"/>
      <c r="F224" s="90"/>
      <c r="G224" s="25"/>
      <c r="H224" s="25"/>
      <c r="I224" s="25"/>
      <c r="J224" s="25"/>
      <c r="K224" s="25"/>
      <c r="L224" s="25"/>
      <c r="M224" s="25"/>
      <c r="N224" s="25"/>
      <c r="O224" s="25"/>
      <c r="P224" s="25"/>
      <c r="Q224" s="25"/>
      <c r="R224" s="25"/>
      <c r="S224" s="25"/>
      <c r="T224" s="62">
        <v>0</v>
      </c>
      <c r="U224" s="25"/>
      <c r="V224" s="79"/>
      <c r="W224" s="88"/>
      <c r="X224" s="5"/>
    </row>
    <row r="225" spans="1:25" ht="15.6" x14ac:dyDescent="0.3">
      <c r="A225" s="84"/>
      <c r="B225" s="76" t="s">
        <v>89</v>
      </c>
      <c r="C225" s="89"/>
      <c r="D225" s="89"/>
      <c r="E225" s="89"/>
      <c r="F225" s="90"/>
      <c r="G225" s="25"/>
      <c r="H225" s="25"/>
      <c r="I225" s="25"/>
      <c r="J225" s="25"/>
      <c r="K225" s="25"/>
      <c r="L225" s="25"/>
      <c r="M225" s="25"/>
      <c r="N225" s="25"/>
      <c r="O225" s="25"/>
      <c r="P225" s="25"/>
      <c r="Q225" s="25"/>
      <c r="R225" s="25"/>
      <c r="S225" s="25"/>
      <c r="T225" s="62">
        <v>0</v>
      </c>
      <c r="U225" s="25"/>
      <c r="V225" s="79"/>
      <c r="W225" s="88"/>
      <c r="X225" s="5"/>
    </row>
    <row r="226" spans="1:25" ht="15.6" x14ac:dyDescent="0.3">
      <c r="A226" s="84"/>
      <c r="B226" s="122" t="s">
        <v>223</v>
      </c>
      <c r="C226" s="89"/>
      <c r="D226" s="89"/>
      <c r="E226" s="89"/>
      <c r="F226" s="90"/>
      <c r="G226" s="25"/>
      <c r="H226" s="25"/>
      <c r="I226" s="25"/>
      <c r="J226" s="25"/>
      <c r="K226" s="25"/>
      <c r="L226" s="25"/>
      <c r="M226" s="25"/>
      <c r="N226" s="25"/>
      <c r="O226" s="25"/>
      <c r="P226" s="25"/>
      <c r="Q226" s="25"/>
      <c r="R226" s="25"/>
      <c r="S226" s="25"/>
      <c r="T226" s="91"/>
      <c r="U226" s="25"/>
      <c r="V226" s="79"/>
      <c r="W226" s="88"/>
      <c r="X226" s="5"/>
    </row>
    <row r="227" spans="1:25" ht="15.6" x14ac:dyDescent="0.3">
      <c r="A227" s="84"/>
      <c r="B227" s="76" t="s">
        <v>290</v>
      </c>
      <c r="C227" s="89"/>
      <c r="D227" s="89"/>
      <c r="E227" s="89"/>
      <c r="F227" s="90"/>
      <c r="G227" s="25"/>
      <c r="H227" s="25"/>
      <c r="I227" s="25"/>
      <c r="J227" s="25"/>
      <c r="K227" s="25"/>
      <c r="L227" s="25"/>
      <c r="M227" s="25"/>
      <c r="N227" s="25"/>
      <c r="O227" s="25"/>
      <c r="P227" s="25"/>
      <c r="Q227" s="25"/>
      <c r="R227" s="25"/>
      <c r="S227" s="30">
        <v>2</v>
      </c>
      <c r="T227" s="85">
        <v>150</v>
      </c>
      <c r="U227" s="25"/>
      <c r="V227" s="79"/>
      <c r="W227" s="88"/>
      <c r="X227" s="5"/>
    </row>
    <row r="228" spans="1:25" ht="15.6" x14ac:dyDescent="0.3">
      <c r="A228" s="84"/>
      <c r="B228" s="76" t="s">
        <v>224</v>
      </c>
      <c r="C228" s="89"/>
      <c r="D228" s="89"/>
      <c r="E228" s="89"/>
      <c r="F228" s="90"/>
      <c r="G228" s="25"/>
      <c r="H228" s="25"/>
      <c r="I228" s="25"/>
      <c r="J228" s="25"/>
      <c r="K228" s="25"/>
      <c r="L228" s="25"/>
      <c r="M228" s="25"/>
      <c r="N228" s="25"/>
      <c r="O228" s="25"/>
      <c r="P228" s="25"/>
      <c r="Q228" s="25"/>
      <c r="R228" s="25"/>
      <c r="S228" s="25"/>
      <c r="T228" s="62">
        <v>1.78</v>
      </c>
      <c r="U228" s="25"/>
      <c r="V228" s="79"/>
      <c r="W228" s="88"/>
      <c r="X228" s="5"/>
    </row>
    <row r="229" spans="1:25" ht="15.6" x14ac:dyDescent="0.3">
      <c r="A229" s="84"/>
      <c r="B229" s="76"/>
      <c r="C229" s="89"/>
      <c r="D229" s="89"/>
      <c r="E229" s="89"/>
      <c r="F229" s="90"/>
      <c r="G229" s="25"/>
      <c r="H229" s="25"/>
      <c r="I229" s="25"/>
      <c r="J229" s="25"/>
      <c r="K229" s="25"/>
      <c r="L229" s="25"/>
      <c r="M229" s="25"/>
      <c r="N229" s="25"/>
      <c r="O229" s="25"/>
      <c r="P229" s="25"/>
      <c r="Q229" s="25"/>
      <c r="R229" s="25"/>
      <c r="S229" s="25"/>
      <c r="T229" s="91"/>
      <c r="U229" s="25"/>
      <c r="V229" s="79"/>
      <c r="W229" s="88"/>
      <c r="X229" s="5"/>
    </row>
    <row r="230" spans="1:25" ht="15.6" x14ac:dyDescent="0.3">
      <c r="A230" s="84"/>
      <c r="B230" s="76"/>
      <c r="C230" s="89"/>
      <c r="D230" s="89"/>
      <c r="E230" s="89"/>
      <c r="F230" s="90"/>
      <c r="G230" s="25"/>
      <c r="H230" s="25"/>
      <c r="I230" s="25"/>
      <c r="J230" s="25"/>
      <c r="K230" s="25"/>
      <c r="L230" s="25"/>
      <c r="M230" s="25"/>
      <c r="N230" s="25"/>
      <c r="O230" s="25"/>
      <c r="P230" s="25"/>
      <c r="Q230" s="25"/>
      <c r="R230" s="25"/>
      <c r="S230" s="25"/>
      <c r="T230" s="91"/>
      <c r="U230" s="25"/>
      <c r="V230" s="79"/>
      <c r="W230" s="88"/>
      <c r="X230" s="5"/>
    </row>
    <row r="231" spans="1:25" ht="17.399999999999999" x14ac:dyDescent="0.3">
      <c r="A231" s="84"/>
      <c r="B231" s="149" t="s">
        <v>174</v>
      </c>
      <c r="C231" s="89"/>
      <c r="D231" s="89"/>
      <c r="E231" s="89"/>
      <c r="F231" s="90"/>
      <c r="G231" s="25"/>
      <c r="H231" s="25"/>
      <c r="I231" s="25"/>
      <c r="J231" s="25"/>
      <c r="K231" s="25"/>
      <c r="L231" s="25"/>
      <c r="M231" s="25"/>
      <c r="N231" s="25"/>
      <c r="O231" s="25"/>
      <c r="P231" s="150" t="s">
        <v>173</v>
      </c>
      <c r="Q231" s="25"/>
      <c r="R231" s="25"/>
      <c r="S231" s="25"/>
      <c r="T231" s="91"/>
      <c r="U231" s="25"/>
      <c r="V231" s="79"/>
      <c r="W231" s="88"/>
      <c r="X231" s="5"/>
    </row>
    <row r="232" spans="1:25" ht="15.6" x14ac:dyDescent="0.3">
      <c r="A232" s="84"/>
      <c r="B232" s="76"/>
      <c r="C232" s="89"/>
      <c r="D232" s="89"/>
      <c r="E232" s="89"/>
      <c r="F232" s="90"/>
      <c r="G232" s="25"/>
      <c r="H232" s="25"/>
      <c r="I232" s="25"/>
      <c r="J232" s="25"/>
      <c r="K232" s="25"/>
      <c r="L232" s="25"/>
      <c r="M232" s="25"/>
      <c r="N232" s="25"/>
      <c r="O232" s="25"/>
      <c r="P232" s="25"/>
      <c r="Q232" s="25"/>
      <c r="R232" s="25"/>
      <c r="S232" s="25"/>
      <c r="T232" s="91"/>
      <c r="U232" s="25"/>
      <c r="V232" s="79"/>
      <c r="W232" s="88"/>
      <c r="X232" s="5"/>
    </row>
    <row r="233" spans="1:25" ht="15.6" x14ac:dyDescent="0.3">
      <c r="A233" s="6"/>
      <c r="B233" s="14" t="s">
        <v>167</v>
      </c>
      <c r="C233" s="81"/>
      <c r="D233" s="81"/>
      <c r="E233" s="81"/>
      <c r="F233" s="82"/>
      <c r="G233" s="81"/>
      <c r="H233" s="17"/>
      <c r="I233" s="17"/>
      <c r="J233" s="17"/>
      <c r="K233" s="17"/>
      <c r="L233" s="17"/>
      <c r="M233" s="17"/>
      <c r="N233" s="17"/>
      <c r="O233" s="17"/>
      <c r="P233" s="17"/>
      <c r="Q233" s="17"/>
      <c r="R233" s="83" t="s">
        <v>104</v>
      </c>
      <c r="S233" s="17" t="s">
        <v>105</v>
      </c>
      <c r="T233" s="83" t="s">
        <v>113</v>
      </c>
      <c r="U233" s="17" t="s">
        <v>105</v>
      </c>
      <c r="V233" s="8"/>
      <c r="W233" s="92"/>
      <c r="X233" s="5"/>
    </row>
    <row r="234" spans="1:25" ht="15.6" x14ac:dyDescent="0.3">
      <c r="A234" s="24"/>
      <c r="B234" s="54" t="s">
        <v>90</v>
      </c>
      <c r="C234" s="93"/>
      <c r="D234" s="93"/>
      <c r="E234" s="93"/>
      <c r="F234" s="25"/>
      <c r="G234" s="93"/>
      <c r="H234" s="93"/>
      <c r="I234" s="93"/>
      <c r="J234" s="93"/>
      <c r="K234" s="93"/>
      <c r="L234" s="93"/>
      <c r="M234" s="93"/>
      <c r="N234" s="93"/>
      <c r="O234" s="93"/>
      <c r="P234" s="93"/>
      <c r="Q234" s="93"/>
      <c r="R234" s="54">
        <v>9910</v>
      </c>
      <c r="S234" s="94">
        <f t="shared" ref="S234:S241" si="1">R234/$R$243</f>
        <v>0.99070278916325105</v>
      </c>
      <c r="T234" s="53">
        <v>1333286</v>
      </c>
      <c r="U234" s="132">
        <f t="shared" ref="U234:U241" si="2">T234/$T$243</f>
        <v>0.98971231753077804</v>
      </c>
      <c r="V234" s="79"/>
      <c r="W234" s="88"/>
      <c r="X234" s="5"/>
    </row>
    <row r="235" spans="1:25" ht="15.6" x14ac:dyDescent="0.3">
      <c r="A235" s="24"/>
      <c r="B235" s="54" t="s">
        <v>91</v>
      </c>
      <c r="C235" s="93"/>
      <c r="D235" s="93"/>
      <c r="E235" s="93"/>
      <c r="F235" s="25"/>
      <c r="G235" s="94"/>
      <c r="H235" s="93"/>
      <c r="I235" s="93"/>
      <c r="J235" s="93"/>
      <c r="K235" s="93"/>
      <c r="L235" s="93"/>
      <c r="M235" s="93"/>
      <c r="N235" s="93"/>
      <c r="O235" s="93"/>
      <c r="P235" s="93"/>
      <c r="Q235" s="93"/>
      <c r="R235" s="54">
        <v>57</v>
      </c>
      <c r="S235" s="94">
        <f t="shared" si="1"/>
        <v>5.6982905128461466E-3</v>
      </c>
      <c r="T235" s="53">
        <v>8693</v>
      </c>
      <c r="U235" s="132">
        <f t="shared" si="2"/>
        <v>6.4529059603828836E-3</v>
      </c>
      <c r="V235" s="79"/>
      <c r="W235" s="88"/>
      <c r="X235" s="5"/>
      <c r="Y235" s="109"/>
    </row>
    <row r="236" spans="1:25" ht="15.6" x14ac:dyDescent="0.3">
      <c r="A236" s="24"/>
      <c r="B236" s="54" t="s">
        <v>92</v>
      </c>
      <c r="C236" s="93"/>
      <c r="D236" s="93"/>
      <c r="E236" s="93"/>
      <c r="F236" s="25"/>
      <c r="G236" s="94"/>
      <c r="H236" s="93"/>
      <c r="I236" s="93"/>
      <c r="J236" s="93"/>
      <c r="K236" s="93"/>
      <c r="L236" s="93"/>
      <c r="M236" s="93"/>
      <c r="N236" s="93"/>
      <c r="O236" s="93"/>
      <c r="P236" s="93"/>
      <c r="Q236" s="93"/>
      <c r="R236" s="54">
        <v>27</v>
      </c>
      <c r="S236" s="94">
        <f t="shared" si="1"/>
        <v>2.6991902429271217E-3</v>
      </c>
      <c r="T236" s="53">
        <v>3824</v>
      </c>
      <c r="U236" s="132">
        <f t="shared" si="2"/>
        <v>2.8385956968255089E-3</v>
      </c>
      <c r="V236" s="79"/>
      <c r="W236" s="88"/>
      <c r="X236" s="5"/>
    </row>
    <row r="237" spans="1:25" ht="15.6" x14ac:dyDescent="0.3">
      <c r="A237" s="24"/>
      <c r="B237" s="54" t="s">
        <v>161</v>
      </c>
      <c r="C237" s="93"/>
      <c r="D237" s="93"/>
      <c r="E237" s="93"/>
      <c r="F237" s="25"/>
      <c r="G237" s="94"/>
      <c r="H237" s="93"/>
      <c r="I237" s="93"/>
      <c r="J237" s="93"/>
      <c r="K237" s="93"/>
      <c r="L237" s="93"/>
      <c r="M237" s="93"/>
      <c r="N237" s="93"/>
      <c r="O237" s="93"/>
      <c r="P237" s="93"/>
      <c r="Q237" s="93"/>
      <c r="R237" s="54">
        <v>8</v>
      </c>
      <c r="S237" s="94">
        <f t="shared" si="1"/>
        <v>7.9976007197840647E-4</v>
      </c>
      <c r="T237" s="53">
        <v>1229</v>
      </c>
      <c r="U237" s="132">
        <f t="shared" si="2"/>
        <v>9.1229971532388865E-4</v>
      </c>
      <c r="V237" s="79"/>
      <c r="W237" s="88"/>
      <c r="X237" s="5"/>
      <c r="Y237" s="109"/>
    </row>
    <row r="238" spans="1:25" ht="15.6" x14ac:dyDescent="0.3">
      <c r="A238" s="24"/>
      <c r="B238" s="54" t="s">
        <v>162</v>
      </c>
      <c r="C238" s="93"/>
      <c r="D238" s="93"/>
      <c r="E238" s="93"/>
      <c r="F238" s="25"/>
      <c r="G238" s="94"/>
      <c r="H238" s="93"/>
      <c r="I238" s="93"/>
      <c r="J238" s="93"/>
      <c r="K238" s="93"/>
      <c r="L238" s="93"/>
      <c r="M238" s="93"/>
      <c r="N238" s="93"/>
      <c r="O238" s="93"/>
      <c r="P238" s="93"/>
      <c r="Q238" s="93"/>
      <c r="R238" s="54">
        <v>0</v>
      </c>
      <c r="S238" s="94">
        <f t="shared" si="1"/>
        <v>0</v>
      </c>
      <c r="T238" s="53">
        <v>0</v>
      </c>
      <c r="U238" s="132">
        <f t="shared" si="2"/>
        <v>0</v>
      </c>
      <c r="V238" s="79"/>
      <c r="W238" s="88"/>
      <c r="X238" s="5"/>
    </row>
    <row r="239" spans="1:25" ht="15.6" x14ac:dyDescent="0.3">
      <c r="A239" s="24"/>
      <c r="B239" s="54" t="s">
        <v>163</v>
      </c>
      <c r="C239" s="93"/>
      <c r="D239" s="93"/>
      <c r="E239" s="93"/>
      <c r="F239" s="25"/>
      <c r="G239" s="94"/>
      <c r="H239" s="93"/>
      <c r="I239" s="93"/>
      <c r="J239" s="93"/>
      <c r="K239" s="93"/>
      <c r="L239" s="93"/>
      <c r="M239" s="93"/>
      <c r="N239" s="93"/>
      <c r="O239" s="93"/>
      <c r="P239" s="93"/>
      <c r="Q239" s="93"/>
      <c r="R239" s="54">
        <v>0</v>
      </c>
      <c r="S239" s="94">
        <f t="shared" si="1"/>
        <v>0</v>
      </c>
      <c r="T239" s="53">
        <v>0</v>
      </c>
      <c r="U239" s="132">
        <f t="shared" si="2"/>
        <v>0</v>
      </c>
      <c r="V239" s="79"/>
      <c r="W239" s="88"/>
      <c r="X239" s="5"/>
      <c r="Y239" s="109"/>
    </row>
    <row r="240" spans="1:25" ht="15.6" x14ac:dyDescent="0.3">
      <c r="A240" s="24"/>
      <c r="B240" s="54" t="s">
        <v>164</v>
      </c>
      <c r="C240" s="93"/>
      <c r="D240" s="93"/>
      <c r="E240" s="93"/>
      <c r="F240" s="25"/>
      <c r="G240" s="94"/>
      <c r="H240" s="93"/>
      <c r="I240" s="93"/>
      <c r="J240" s="93"/>
      <c r="K240" s="93"/>
      <c r="L240" s="93"/>
      <c r="M240" s="93"/>
      <c r="N240" s="93"/>
      <c r="O240" s="93"/>
      <c r="P240" s="93"/>
      <c r="Q240" s="93"/>
      <c r="R240" s="54">
        <v>1</v>
      </c>
      <c r="S240" s="94">
        <f t="shared" si="1"/>
        <v>9.9970008997300809E-5</v>
      </c>
      <c r="T240" s="53">
        <v>113</v>
      </c>
      <c r="U240" s="132">
        <f t="shared" si="2"/>
        <v>8.3881096689665923E-5</v>
      </c>
      <c r="V240" s="79"/>
      <c r="W240" s="88"/>
      <c r="X240" s="5"/>
    </row>
    <row r="241" spans="1:25" ht="15.6" x14ac:dyDescent="0.3">
      <c r="A241" s="24"/>
      <c r="B241" s="54" t="s">
        <v>165</v>
      </c>
      <c r="C241" s="93"/>
      <c r="D241" s="93"/>
      <c r="E241" s="93"/>
      <c r="F241" s="25"/>
      <c r="G241" s="94"/>
      <c r="H241" s="93"/>
      <c r="I241" s="93"/>
      <c r="J241" s="93"/>
      <c r="K241" s="93"/>
      <c r="L241" s="93"/>
      <c r="M241" s="93"/>
      <c r="N241" s="93"/>
      <c r="O241" s="93"/>
      <c r="P241" s="93"/>
      <c r="Q241" s="93"/>
      <c r="R241" s="54">
        <v>0</v>
      </c>
      <c r="S241" s="94">
        <f t="shared" si="1"/>
        <v>0</v>
      </c>
      <c r="T241" s="53">
        <v>0</v>
      </c>
      <c r="U241" s="132">
        <f t="shared" si="2"/>
        <v>0</v>
      </c>
      <c r="V241" s="79"/>
      <c r="W241" s="88"/>
      <c r="X241" s="5"/>
      <c r="Y241" s="109"/>
    </row>
    <row r="242" spans="1:25" ht="15.6" x14ac:dyDescent="0.3">
      <c r="A242" s="24"/>
      <c r="B242" s="54"/>
      <c r="C242" s="93"/>
      <c r="D242" s="93"/>
      <c r="E242" s="93"/>
      <c r="F242" s="25"/>
      <c r="G242" s="94"/>
      <c r="H242" s="93"/>
      <c r="I242" s="93"/>
      <c r="J242" s="93"/>
      <c r="K242" s="93"/>
      <c r="L242" s="93"/>
      <c r="M242" s="93"/>
      <c r="N242" s="93"/>
      <c r="O242" s="93"/>
      <c r="P242" s="93"/>
      <c r="Q242" s="93"/>
      <c r="R242" s="54"/>
      <c r="S242" s="94"/>
      <c r="T242" s="53"/>
      <c r="U242" s="132"/>
      <c r="V242" s="79"/>
      <c r="W242" s="88"/>
      <c r="X242" s="5"/>
    </row>
    <row r="243" spans="1:25" ht="15.6" x14ac:dyDescent="0.3">
      <c r="A243" s="24"/>
      <c r="B243" s="25" t="s">
        <v>119</v>
      </c>
      <c r="C243" s="25"/>
      <c r="D243" s="25"/>
      <c r="E243" s="25"/>
      <c r="F243" s="25"/>
      <c r="G243" s="25"/>
      <c r="H243" s="95"/>
      <c r="I243" s="95"/>
      <c r="J243" s="95"/>
      <c r="K243" s="95"/>
      <c r="L243" s="95"/>
      <c r="M243" s="95"/>
      <c r="N243" s="95"/>
      <c r="O243" s="95"/>
      <c r="P243" s="95"/>
      <c r="Q243" s="95"/>
      <c r="R243" s="34">
        <f>SUM(R234:R242)</f>
        <v>10003</v>
      </c>
      <c r="S243" s="132">
        <f>SUM(S234:S242)</f>
        <v>1</v>
      </c>
      <c r="T243" s="53">
        <f>SUM(T234:T242)</f>
        <v>1347145</v>
      </c>
      <c r="U243" s="132">
        <f>SUM(U234:U242)</f>
        <v>1</v>
      </c>
      <c r="V243" s="25"/>
      <c r="W243" s="25"/>
      <c r="X243" s="5"/>
    </row>
    <row r="244" spans="1:25" ht="15.6" x14ac:dyDescent="0.3">
      <c r="A244" s="24"/>
      <c r="B244" s="25"/>
      <c r="C244" s="25"/>
      <c r="D244" s="25"/>
      <c r="E244" s="25"/>
      <c r="F244" s="25"/>
      <c r="G244" s="25"/>
      <c r="H244" s="95"/>
      <c r="I244" s="95"/>
      <c r="J244" s="95"/>
      <c r="K244" s="95"/>
      <c r="L244" s="95"/>
      <c r="M244" s="95"/>
      <c r="N244" s="95"/>
      <c r="O244" s="95"/>
      <c r="P244" s="95"/>
      <c r="Q244" s="95"/>
      <c r="R244" s="34"/>
      <c r="S244" s="132"/>
      <c r="T244" s="53"/>
      <c r="U244" s="132"/>
      <c r="V244" s="25"/>
      <c r="W244" s="25"/>
      <c r="X244" s="5"/>
    </row>
    <row r="245" spans="1:25" ht="15.6" x14ac:dyDescent="0.3">
      <c r="A245" s="141"/>
      <c r="B245" s="14" t="s">
        <v>283</v>
      </c>
      <c r="C245" s="81"/>
      <c r="D245" s="81"/>
      <c r="E245" s="81"/>
      <c r="F245" s="82"/>
      <c r="G245" s="81"/>
      <c r="H245" s="17"/>
      <c r="I245" s="17"/>
      <c r="J245" s="17"/>
      <c r="K245" s="17"/>
      <c r="L245" s="17"/>
      <c r="M245" s="17"/>
      <c r="N245" s="17"/>
      <c r="O245" s="17"/>
      <c r="P245" s="17"/>
      <c r="Q245" s="17"/>
      <c r="R245" s="83" t="s">
        <v>104</v>
      </c>
      <c r="S245" s="17" t="s">
        <v>105</v>
      </c>
      <c r="T245" s="83" t="s">
        <v>113</v>
      </c>
      <c r="U245" s="17" t="s">
        <v>105</v>
      </c>
      <c r="V245" s="139"/>
      <c r="W245" s="140"/>
      <c r="X245" s="5"/>
    </row>
    <row r="246" spans="1:25" ht="15.6" x14ac:dyDescent="0.3">
      <c r="A246" s="24"/>
      <c r="B246" s="54" t="s">
        <v>90</v>
      </c>
      <c r="C246" s="93"/>
      <c r="D246" s="93"/>
      <c r="E246" s="93"/>
      <c r="F246" s="25"/>
      <c r="G246" s="93"/>
      <c r="H246" s="93"/>
      <c r="I246" s="93"/>
      <c r="J246" s="93"/>
      <c r="K246" s="93"/>
      <c r="L246" s="93"/>
      <c r="M246" s="93"/>
      <c r="N246" s="93"/>
      <c r="O246" s="93"/>
      <c r="P246" s="93"/>
      <c r="Q246" s="93"/>
      <c r="R246" s="54">
        <v>2</v>
      </c>
      <c r="S246" s="94">
        <f t="shared" ref="S246:S253" si="3">R246/$R$255</f>
        <v>0.10526315789473684</v>
      </c>
      <c r="T246" s="53">
        <v>303</v>
      </c>
      <c r="U246" s="132">
        <f t="shared" ref="U246:U253" si="4">T246/$T$255</f>
        <v>9.3489663684048138E-2</v>
      </c>
      <c r="V246" s="25"/>
      <c r="W246" s="25"/>
      <c r="X246" s="5"/>
    </row>
    <row r="247" spans="1:25" ht="15.6" x14ac:dyDescent="0.3">
      <c r="A247" s="24"/>
      <c r="B247" s="54" t="s">
        <v>91</v>
      </c>
      <c r="C247" s="93"/>
      <c r="D247" s="93"/>
      <c r="E247" s="93"/>
      <c r="F247" s="25"/>
      <c r="G247" s="94"/>
      <c r="H247" s="93"/>
      <c r="I247" s="93"/>
      <c r="J247" s="93"/>
      <c r="K247" s="93"/>
      <c r="L247" s="93"/>
      <c r="M247" s="93"/>
      <c r="N247" s="93"/>
      <c r="O247" s="93"/>
      <c r="P247" s="93"/>
      <c r="Q247" s="93"/>
      <c r="R247" s="54">
        <v>1</v>
      </c>
      <c r="S247" s="94">
        <f t="shared" si="3"/>
        <v>5.2631578947368418E-2</v>
      </c>
      <c r="T247" s="53">
        <v>79</v>
      </c>
      <c r="U247" s="132">
        <f t="shared" si="4"/>
        <v>2.4375192841715521E-2</v>
      </c>
      <c r="V247" s="25"/>
      <c r="W247" s="25"/>
      <c r="X247" s="5"/>
    </row>
    <row r="248" spans="1:25" ht="15.6" x14ac:dyDescent="0.3">
      <c r="A248" s="24"/>
      <c r="B248" s="54" t="s">
        <v>92</v>
      </c>
      <c r="C248" s="93"/>
      <c r="D248" s="93"/>
      <c r="E248" s="93"/>
      <c r="F248" s="25"/>
      <c r="G248" s="94"/>
      <c r="H248" s="93"/>
      <c r="I248" s="93"/>
      <c r="J248" s="93"/>
      <c r="K248" s="93"/>
      <c r="L248" s="93"/>
      <c r="M248" s="93"/>
      <c r="N248" s="93"/>
      <c r="O248" s="93"/>
      <c r="P248" s="93"/>
      <c r="Q248" s="93"/>
      <c r="R248" s="54">
        <v>3</v>
      </c>
      <c r="S248" s="94">
        <f t="shared" si="3"/>
        <v>0.15789473684210525</v>
      </c>
      <c r="T248" s="53">
        <v>880</v>
      </c>
      <c r="U248" s="132">
        <f t="shared" si="4"/>
        <v>0.271521135452021</v>
      </c>
      <c r="V248" s="25"/>
      <c r="W248" s="25"/>
      <c r="X248" s="5"/>
    </row>
    <row r="249" spans="1:25" ht="15.6" x14ac:dyDescent="0.3">
      <c r="A249" s="24"/>
      <c r="B249" s="54" t="s">
        <v>161</v>
      </c>
      <c r="C249" s="93"/>
      <c r="D249" s="93"/>
      <c r="E249" s="93"/>
      <c r="F249" s="25"/>
      <c r="G249" s="94"/>
      <c r="H249" s="93"/>
      <c r="I249" s="93"/>
      <c r="J249" s="93"/>
      <c r="K249" s="93"/>
      <c r="L249" s="93"/>
      <c r="M249" s="93"/>
      <c r="N249" s="93"/>
      <c r="O249" s="93"/>
      <c r="P249" s="93"/>
      <c r="Q249" s="93"/>
      <c r="R249" s="54">
        <v>5</v>
      </c>
      <c r="S249" s="94">
        <f t="shared" si="3"/>
        <v>0.26315789473684209</v>
      </c>
      <c r="T249" s="53">
        <v>844</v>
      </c>
      <c r="U249" s="132">
        <f t="shared" si="4"/>
        <v>0.26041345263807469</v>
      </c>
      <c r="V249" s="25"/>
      <c r="W249" s="25"/>
      <c r="X249" s="5"/>
    </row>
    <row r="250" spans="1:25" ht="15.6" x14ac:dyDescent="0.3">
      <c r="A250" s="24"/>
      <c r="B250" s="54" t="s">
        <v>162</v>
      </c>
      <c r="C250" s="93"/>
      <c r="D250" s="93"/>
      <c r="E250" s="93"/>
      <c r="F250" s="25"/>
      <c r="G250" s="94"/>
      <c r="H250" s="93"/>
      <c r="I250" s="93"/>
      <c r="J250" s="93"/>
      <c r="K250" s="93"/>
      <c r="L250" s="93"/>
      <c r="M250" s="93"/>
      <c r="N250" s="93"/>
      <c r="O250" s="93"/>
      <c r="P250" s="93"/>
      <c r="Q250" s="93"/>
      <c r="R250" s="54">
        <v>1</v>
      </c>
      <c r="S250" s="94">
        <f t="shared" si="3"/>
        <v>5.2631578947368418E-2</v>
      </c>
      <c r="T250" s="53">
        <v>162</v>
      </c>
      <c r="U250" s="132">
        <f t="shared" si="4"/>
        <v>4.9984572662758409E-2</v>
      </c>
      <c r="V250" s="25"/>
      <c r="W250" s="25"/>
      <c r="X250" s="5"/>
    </row>
    <row r="251" spans="1:25" ht="15.6" x14ac:dyDescent="0.3">
      <c r="A251" s="24"/>
      <c r="B251" s="54" t="s">
        <v>163</v>
      </c>
      <c r="C251" s="93"/>
      <c r="D251" s="93"/>
      <c r="E251" s="93"/>
      <c r="F251" s="25"/>
      <c r="G251" s="94"/>
      <c r="H251" s="93"/>
      <c r="I251" s="93"/>
      <c r="J251" s="93"/>
      <c r="K251" s="93"/>
      <c r="L251" s="93"/>
      <c r="M251" s="93"/>
      <c r="N251" s="93"/>
      <c r="O251" s="93"/>
      <c r="P251" s="93"/>
      <c r="Q251" s="93"/>
      <c r="R251" s="54">
        <v>2</v>
      </c>
      <c r="S251" s="94">
        <f t="shared" si="3"/>
        <v>0.10526315789473684</v>
      </c>
      <c r="T251" s="53">
        <v>317</v>
      </c>
      <c r="U251" s="132">
        <f t="shared" si="4"/>
        <v>9.7809318111693924E-2</v>
      </c>
      <c r="V251" s="25"/>
      <c r="W251" s="25"/>
      <c r="X251" s="5"/>
    </row>
    <row r="252" spans="1:25" ht="15.6" x14ac:dyDescent="0.3">
      <c r="A252" s="24"/>
      <c r="B252" s="54" t="s">
        <v>164</v>
      </c>
      <c r="C252" s="93"/>
      <c r="D252" s="93"/>
      <c r="E252" s="93"/>
      <c r="F252" s="25"/>
      <c r="G252" s="94"/>
      <c r="H252" s="93"/>
      <c r="I252" s="93"/>
      <c r="J252" s="93"/>
      <c r="K252" s="93"/>
      <c r="L252" s="93"/>
      <c r="M252" s="93"/>
      <c r="N252" s="93"/>
      <c r="O252" s="93"/>
      <c r="P252" s="93"/>
      <c r="Q252" s="93"/>
      <c r="R252" s="54">
        <v>1</v>
      </c>
      <c r="S252" s="94">
        <f t="shared" si="3"/>
        <v>5.2631578947368418E-2</v>
      </c>
      <c r="T252" s="53">
        <v>144</v>
      </c>
      <c r="U252" s="132">
        <f t="shared" si="4"/>
        <v>4.4430731255785248E-2</v>
      </c>
      <c r="V252" s="25"/>
      <c r="W252" s="25"/>
      <c r="X252" s="5"/>
    </row>
    <row r="253" spans="1:25" ht="15.6" x14ac:dyDescent="0.3">
      <c r="A253" s="24"/>
      <c r="B253" s="54" t="s">
        <v>165</v>
      </c>
      <c r="C253" s="93"/>
      <c r="D253" s="93"/>
      <c r="E253" s="93"/>
      <c r="F253" s="25"/>
      <c r="G253" s="94"/>
      <c r="H253" s="93"/>
      <c r="I253" s="93"/>
      <c r="J253" s="93"/>
      <c r="K253" s="93"/>
      <c r="L253" s="93"/>
      <c r="M253" s="93"/>
      <c r="N253" s="93"/>
      <c r="O253" s="93"/>
      <c r="P253" s="93"/>
      <c r="Q253" s="93"/>
      <c r="R253" s="54">
        <v>4</v>
      </c>
      <c r="S253" s="94">
        <f t="shared" si="3"/>
        <v>0.21052631578947367</v>
      </c>
      <c r="T253" s="53">
        <v>512</v>
      </c>
      <c r="U253" s="132">
        <f t="shared" si="4"/>
        <v>0.15797593335390311</v>
      </c>
      <c r="V253" s="25"/>
      <c r="W253" s="25"/>
      <c r="X253" s="5"/>
    </row>
    <row r="254" spans="1:25" ht="15.6" x14ac:dyDescent="0.3">
      <c r="A254" s="24"/>
      <c r="B254" s="54"/>
      <c r="C254" s="93"/>
      <c r="D254" s="93"/>
      <c r="E254" s="93"/>
      <c r="F254" s="25"/>
      <c r="G254" s="94"/>
      <c r="H254" s="93"/>
      <c r="I254" s="93"/>
      <c r="J254" s="93"/>
      <c r="K254" s="93"/>
      <c r="L254" s="93"/>
      <c r="M254" s="93"/>
      <c r="N254" s="93"/>
      <c r="O254" s="93"/>
      <c r="P254" s="93"/>
      <c r="Q254" s="93"/>
      <c r="R254" s="54"/>
      <c r="S254" s="94"/>
      <c r="T254" s="53"/>
      <c r="U254" s="132"/>
      <c r="V254" s="25"/>
      <c r="W254" s="25"/>
      <c r="X254" s="5"/>
    </row>
    <row r="255" spans="1:25" ht="15.6" x14ac:dyDescent="0.3">
      <c r="A255" s="24"/>
      <c r="B255" s="25" t="s">
        <v>119</v>
      </c>
      <c r="C255" s="25"/>
      <c r="D255" s="25"/>
      <c r="E255" s="25"/>
      <c r="F255" s="25"/>
      <c r="G255" s="25"/>
      <c r="H255" s="95"/>
      <c r="I255" s="95"/>
      <c r="J255" s="95"/>
      <c r="K255" s="95"/>
      <c r="L255" s="95"/>
      <c r="M255" s="95"/>
      <c r="N255" s="95"/>
      <c r="O255" s="95"/>
      <c r="P255" s="95"/>
      <c r="Q255" s="95"/>
      <c r="R255" s="34">
        <f>SUM(R246:R254)</f>
        <v>19</v>
      </c>
      <c r="S255" s="132">
        <f>SUM(S246:S254)</f>
        <v>1</v>
      </c>
      <c r="T255" s="53">
        <f>SUM(T246:T254)</f>
        <v>3241</v>
      </c>
      <c r="U255" s="132">
        <f>SUM(U246:U254)</f>
        <v>1</v>
      </c>
      <c r="V255" s="25"/>
      <c r="W255" s="25"/>
      <c r="X255" s="5"/>
    </row>
    <row r="256" spans="1:25" ht="15.6" x14ac:dyDescent="0.3">
      <c r="A256" s="24"/>
      <c r="B256" s="25"/>
      <c r="C256" s="25"/>
      <c r="D256" s="25"/>
      <c r="E256" s="25"/>
      <c r="F256" s="25"/>
      <c r="G256" s="25"/>
      <c r="H256" s="95"/>
      <c r="I256" s="95"/>
      <c r="J256" s="95"/>
      <c r="K256" s="95"/>
      <c r="L256" s="95"/>
      <c r="M256" s="95"/>
      <c r="N256" s="95"/>
      <c r="O256" s="95"/>
      <c r="P256" s="95"/>
      <c r="Q256" s="95"/>
      <c r="R256" s="34"/>
      <c r="S256" s="132"/>
      <c r="T256" s="53"/>
      <c r="U256" s="132"/>
      <c r="V256" s="25"/>
      <c r="W256" s="25"/>
      <c r="X256" s="5"/>
    </row>
    <row r="257" spans="1:24" ht="15.6" x14ac:dyDescent="0.3">
      <c r="A257" s="141"/>
      <c r="B257" s="14" t="s">
        <v>169</v>
      </c>
      <c r="C257" s="139"/>
      <c r="D257" s="139"/>
      <c r="E257" s="139"/>
      <c r="F257" s="139"/>
      <c r="G257" s="139"/>
      <c r="H257" s="145"/>
      <c r="I257" s="145"/>
      <c r="J257" s="145"/>
      <c r="K257" s="145"/>
      <c r="L257" s="145"/>
      <c r="M257" s="145"/>
      <c r="N257" s="145"/>
      <c r="O257" s="145"/>
      <c r="P257" s="145"/>
      <c r="Q257" s="145"/>
      <c r="R257" s="83" t="s">
        <v>104</v>
      </c>
      <c r="S257" s="17" t="s">
        <v>105</v>
      </c>
      <c r="T257" s="83" t="s">
        <v>113</v>
      </c>
      <c r="U257" s="17" t="s">
        <v>105</v>
      </c>
      <c r="V257" s="139"/>
      <c r="W257" s="140"/>
      <c r="X257" s="5"/>
    </row>
    <row r="258" spans="1:24" ht="15.6" x14ac:dyDescent="0.3">
      <c r="A258" s="24"/>
      <c r="B258" s="54" t="s">
        <v>90</v>
      </c>
      <c r="C258" s="25"/>
      <c r="D258" s="25"/>
      <c r="E258" s="25"/>
      <c r="F258" s="25"/>
      <c r="G258" s="25"/>
      <c r="H258" s="95"/>
      <c r="I258" s="95"/>
      <c r="J258" s="95"/>
      <c r="K258" s="95"/>
      <c r="L258" s="95"/>
      <c r="M258" s="95"/>
      <c r="N258" s="95"/>
      <c r="O258" s="95"/>
      <c r="P258" s="95"/>
      <c r="Q258" s="95"/>
      <c r="R258" s="54">
        <v>0</v>
      </c>
      <c r="S258" s="94">
        <v>0</v>
      </c>
      <c r="T258" s="53">
        <v>0</v>
      </c>
      <c r="U258" s="132">
        <v>0</v>
      </c>
      <c r="V258" s="25"/>
      <c r="W258" s="25"/>
      <c r="X258" s="5"/>
    </row>
    <row r="259" spans="1:24" ht="15.6" x14ac:dyDescent="0.3">
      <c r="A259" s="24"/>
      <c r="B259" s="54" t="s">
        <v>91</v>
      </c>
      <c r="C259" s="25"/>
      <c r="D259" s="25"/>
      <c r="E259" s="25"/>
      <c r="F259" s="25"/>
      <c r="G259" s="25"/>
      <c r="H259" s="95"/>
      <c r="I259" s="95"/>
      <c r="J259" s="95"/>
      <c r="K259" s="95"/>
      <c r="L259" s="95"/>
      <c r="M259" s="95"/>
      <c r="N259" s="95"/>
      <c r="O259" s="95"/>
      <c r="P259" s="95"/>
      <c r="Q259" s="95"/>
      <c r="R259" s="54">
        <v>0</v>
      </c>
      <c r="S259" s="94">
        <v>0</v>
      </c>
      <c r="T259" s="53">
        <v>0</v>
      </c>
      <c r="U259" s="132">
        <v>0</v>
      </c>
      <c r="V259" s="25"/>
      <c r="W259" s="25"/>
      <c r="X259" s="5"/>
    </row>
    <row r="260" spans="1:24" ht="15.6" x14ac:dyDescent="0.3">
      <c r="A260" s="24"/>
      <c r="B260" s="54" t="s">
        <v>92</v>
      </c>
      <c r="C260" s="25"/>
      <c r="D260" s="25"/>
      <c r="E260" s="25"/>
      <c r="F260" s="25"/>
      <c r="G260" s="25"/>
      <c r="H260" s="95"/>
      <c r="I260" s="95"/>
      <c r="J260" s="95"/>
      <c r="K260" s="95"/>
      <c r="L260" s="95"/>
      <c r="M260" s="95"/>
      <c r="N260" s="95"/>
      <c r="O260" s="95"/>
      <c r="P260" s="95"/>
      <c r="Q260" s="95"/>
      <c r="R260" s="54">
        <v>0</v>
      </c>
      <c r="S260" s="94">
        <v>0</v>
      </c>
      <c r="T260" s="53">
        <v>0</v>
      </c>
      <c r="U260" s="132">
        <v>0</v>
      </c>
      <c r="V260" s="25"/>
      <c r="W260" s="25"/>
      <c r="X260" s="5"/>
    </row>
    <row r="261" spans="1:24" ht="15.6" x14ac:dyDescent="0.3">
      <c r="A261" s="24"/>
      <c r="B261" s="54" t="s">
        <v>161</v>
      </c>
      <c r="C261" s="25"/>
      <c r="D261" s="25"/>
      <c r="E261" s="25"/>
      <c r="F261" s="25"/>
      <c r="G261" s="25"/>
      <c r="H261" s="95"/>
      <c r="I261" s="95"/>
      <c r="J261" s="95"/>
      <c r="K261" s="95"/>
      <c r="L261" s="95"/>
      <c r="M261" s="95"/>
      <c r="N261" s="95"/>
      <c r="O261" s="95"/>
      <c r="P261" s="95"/>
      <c r="Q261" s="95"/>
      <c r="R261" s="54">
        <v>0</v>
      </c>
      <c r="S261" s="94">
        <v>0</v>
      </c>
      <c r="T261" s="53">
        <v>0</v>
      </c>
      <c r="U261" s="132">
        <v>0</v>
      </c>
      <c r="V261" s="25"/>
      <c r="W261" s="25"/>
      <c r="X261" s="5"/>
    </row>
    <row r="262" spans="1:24" ht="15.6" x14ac:dyDescent="0.3">
      <c r="A262" s="24"/>
      <c r="B262" s="54" t="s">
        <v>162</v>
      </c>
      <c r="C262" s="25"/>
      <c r="D262" s="25"/>
      <c r="E262" s="25"/>
      <c r="F262" s="25"/>
      <c r="G262" s="25"/>
      <c r="H262" s="95"/>
      <c r="I262" s="95"/>
      <c r="J262" s="95"/>
      <c r="K262" s="95"/>
      <c r="L262" s="95"/>
      <c r="M262" s="95"/>
      <c r="N262" s="95"/>
      <c r="O262" s="95"/>
      <c r="P262" s="95"/>
      <c r="Q262" s="95"/>
      <c r="R262" s="54">
        <v>0</v>
      </c>
      <c r="S262" s="94">
        <v>0</v>
      </c>
      <c r="T262" s="53">
        <v>0</v>
      </c>
      <c r="U262" s="132">
        <v>0</v>
      </c>
      <c r="V262" s="25"/>
      <c r="W262" s="25"/>
      <c r="X262" s="5"/>
    </row>
    <row r="263" spans="1:24" ht="15.6" x14ac:dyDescent="0.3">
      <c r="A263" s="24"/>
      <c r="B263" s="54" t="s">
        <v>163</v>
      </c>
      <c r="C263" s="25"/>
      <c r="D263" s="25"/>
      <c r="E263" s="25"/>
      <c r="F263" s="25"/>
      <c r="G263" s="25"/>
      <c r="H263" s="95"/>
      <c r="I263" s="95"/>
      <c r="J263" s="95"/>
      <c r="K263" s="95"/>
      <c r="L263" s="95"/>
      <c r="M263" s="95"/>
      <c r="N263" s="95"/>
      <c r="O263" s="95"/>
      <c r="P263" s="95"/>
      <c r="Q263" s="95"/>
      <c r="R263" s="54">
        <v>0</v>
      </c>
      <c r="S263" s="94">
        <v>0</v>
      </c>
      <c r="T263" s="53">
        <v>0</v>
      </c>
      <c r="U263" s="132">
        <v>0</v>
      </c>
      <c r="V263" s="25"/>
      <c r="W263" s="25"/>
      <c r="X263" s="5"/>
    </row>
    <row r="264" spans="1:24" ht="15.6" x14ac:dyDescent="0.3">
      <c r="A264" s="24"/>
      <c r="B264" s="54" t="s">
        <v>164</v>
      </c>
      <c r="C264" s="25"/>
      <c r="D264" s="25"/>
      <c r="E264" s="25"/>
      <c r="F264" s="25"/>
      <c r="G264" s="25"/>
      <c r="H264" s="95"/>
      <c r="I264" s="95"/>
      <c r="J264" s="95"/>
      <c r="K264" s="95"/>
      <c r="L264" s="95"/>
      <c r="M264" s="95"/>
      <c r="N264" s="95"/>
      <c r="O264" s="95"/>
      <c r="P264" s="95"/>
      <c r="Q264" s="95"/>
      <c r="R264" s="54">
        <v>0</v>
      </c>
      <c r="S264" s="94">
        <v>0</v>
      </c>
      <c r="T264" s="53">
        <v>0</v>
      </c>
      <c r="U264" s="132">
        <v>0</v>
      </c>
      <c r="V264" s="25"/>
      <c r="W264" s="25"/>
      <c r="X264" s="5"/>
    </row>
    <row r="265" spans="1:24" ht="15.6" x14ac:dyDescent="0.3">
      <c r="A265" s="24"/>
      <c r="B265" s="54" t="s">
        <v>165</v>
      </c>
      <c r="C265" s="25"/>
      <c r="D265" s="25"/>
      <c r="E265" s="25"/>
      <c r="F265" s="25"/>
      <c r="G265" s="25"/>
      <c r="H265" s="95"/>
      <c r="I265" s="95"/>
      <c r="J265" s="95"/>
      <c r="K265" s="95"/>
      <c r="L265" s="95"/>
      <c r="M265" s="95"/>
      <c r="N265" s="95"/>
      <c r="O265" s="95"/>
      <c r="P265" s="95"/>
      <c r="Q265" s="95"/>
      <c r="R265" s="54">
        <v>0</v>
      </c>
      <c r="S265" s="94">
        <v>0</v>
      </c>
      <c r="T265" s="53">
        <v>0</v>
      </c>
      <c r="U265" s="132">
        <v>0</v>
      </c>
      <c r="V265" s="25"/>
      <c r="W265" s="25"/>
      <c r="X265" s="5"/>
    </row>
    <row r="266" spans="1:24" ht="15.6" x14ac:dyDescent="0.3">
      <c r="A266" s="24"/>
      <c r="B266" s="54"/>
      <c r="C266" s="25"/>
      <c r="D266" s="25"/>
      <c r="E266" s="25"/>
      <c r="F266" s="25"/>
      <c r="G266" s="25"/>
      <c r="H266" s="95"/>
      <c r="I266" s="95"/>
      <c r="J266" s="95"/>
      <c r="K266" s="95"/>
      <c r="L266" s="95"/>
      <c r="M266" s="95"/>
      <c r="N266" s="95"/>
      <c r="O266" s="95"/>
      <c r="P266" s="95"/>
      <c r="Q266" s="95"/>
      <c r="R266" s="54"/>
      <c r="S266" s="94"/>
      <c r="T266" s="53"/>
      <c r="U266" s="132"/>
      <c r="V266" s="25"/>
      <c r="W266" s="25"/>
      <c r="X266" s="5"/>
    </row>
    <row r="267" spans="1:24" ht="15.6" x14ac:dyDescent="0.3">
      <c r="A267" s="24"/>
      <c r="B267" s="25" t="s">
        <v>119</v>
      </c>
      <c r="C267" s="25"/>
      <c r="D267" s="25"/>
      <c r="E267" s="25"/>
      <c r="F267" s="25"/>
      <c r="G267" s="25"/>
      <c r="H267" s="95"/>
      <c r="I267" s="95"/>
      <c r="J267" s="95"/>
      <c r="K267" s="95"/>
      <c r="L267" s="95"/>
      <c r="M267" s="95"/>
      <c r="N267" s="95"/>
      <c r="O267" s="95"/>
      <c r="P267" s="95"/>
      <c r="Q267" s="95"/>
      <c r="R267" s="34">
        <f>SUM(R258:R265)</f>
        <v>0</v>
      </c>
      <c r="S267" s="94">
        <f>SUM(S258:S265)</f>
        <v>0</v>
      </c>
      <c r="T267" s="53">
        <f>SUM(T258:T265)</f>
        <v>0</v>
      </c>
      <c r="U267" s="132">
        <f>SUM(U258:U265)</f>
        <v>0</v>
      </c>
      <c r="V267" s="25"/>
      <c r="W267" s="25"/>
      <c r="X267" s="5"/>
    </row>
    <row r="268" spans="1:24" ht="15.6" x14ac:dyDescent="0.3">
      <c r="A268" s="24"/>
      <c r="B268" s="25"/>
      <c r="C268" s="25"/>
      <c r="D268" s="25"/>
      <c r="E268" s="25"/>
      <c r="F268" s="25"/>
      <c r="G268" s="25"/>
      <c r="H268" s="95"/>
      <c r="I268" s="95"/>
      <c r="J268" s="95"/>
      <c r="K268" s="95"/>
      <c r="L268" s="95"/>
      <c r="M268" s="95"/>
      <c r="N268" s="95"/>
      <c r="O268" s="95"/>
      <c r="P268" s="95"/>
      <c r="Q268" s="95"/>
      <c r="R268" s="34"/>
      <c r="S268" s="132"/>
      <c r="T268" s="53"/>
      <c r="U268" s="132"/>
      <c r="V268" s="25"/>
      <c r="W268" s="25"/>
      <c r="X268" s="5"/>
    </row>
    <row r="269" spans="1:24" ht="15.6" x14ac:dyDescent="0.3">
      <c r="A269" s="24"/>
      <c r="B269" s="142" t="s">
        <v>170</v>
      </c>
      <c r="C269" s="25"/>
      <c r="D269" s="25"/>
      <c r="E269" s="25"/>
      <c r="F269" s="25"/>
      <c r="G269" s="25"/>
      <c r="H269" s="95"/>
      <c r="I269" s="95"/>
      <c r="J269" s="95"/>
      <c r="K269" s="95"/>
      <c r="L269" s="95"/>
      <c r="M269" s="95"/>
      <c r="N269" s="95"/>
      <c r="O269" s="95"/>
      <c r="P269" s="95"/>
      <c r="Q269" s="95"/>
      <c r="R269" s="161">
        <f>R267+R255+R243</f>
        <v>10022</v>
      </c>
      <c r="S269" s="143"/>
      <c r="T269" s="144">
        <f>+T267+T255+T243</f>
        <v>1350386</v>
      </c>
      <c r="U269" s="143"/>
      <c r="V269" s="25"/>
      <c r="W269" s="25"/>
      <c r="X269" s="5"/>
    </row>
    <row r="270" spans="1:24" ht="15.6" x14ac:dyDescent="0.3">
      <c r="A270" s="24"/>
      <c r="B270" s="25"/>
      <c r="C270" s="25"/>
      <c r="D270" s="25"/>
      <c r="E270" s="25"/>
      <c r="F270" s="25"/>
      <c r="G270" s="25"/>
      <c r="H270" s="95"/>
      <c r="I270" s="95"/>
      <c r="J270" s="95"/>
      <c r="K270" s="95"/>
      <c r="L270" s="95"/>
      <c r="M270" s="95"/>
      <c r="N270" s="95"/>
      <c r="O270" s="95"/>
      <c r="P270" s="95"/>
      <c r="Q270" s="95"/>
      <c r="R270" s="95"/>
      <c r="S270" s="95"/>
      <c r="T270" s="53"/>
      <c r="U270" s="95"/>
      <c r="V270" s="25"/>
      <c r="W270" s="25"/>
      <c r="X270" s="5"/>
    </row>
    <row r="271" spans="1:24" ht="15.6" x14ac:dyDescent="0.3">
      <c r="A271" s="6"/>
      <c r="B271" s="8"/>
      <c r="C271" s="8"/>
      <c r="D271" s="8"/>
      <c r="E271" s="8"/>
      <c r="F271" s="8"/>
      <c r="G271" s="8"/>
      <c r="H271" s="96"/>
      <c r="I271" s="96"/>
      <c r="J271" s="96"/>
      <c r="K271" s="96"/>
      <c r="L271" s="96"/>
      <c r="M271" s="96"/>
      <c r="N271" s="96"/>
      <c r="O271" s="96"/>
      <c r="P271" s="96"/>
      <c r="Q271" s="96"/>
      <c r="R271" s="96"/>
      <c r="S271" s="96"/>
      <c r="T271" s="97"/>
      <c r="U271" s="96"/>
      <c r="V271" s="8"/>
      <c r="W271" s="8"/>
      <c r="X271" s="5"/>
    </row>
    <row r="272" spans="1:24" ht="15.6" x14ac:dyDescent="0.3">
      <c r="A272" s="167"/>
      <c r="B272" s="14" t="s">
        <v>93</v>
      </c>
      <c r="C272" s="15"/>
      <c r="D272" s="15"/>
      <c r="E272" s="15"/>
      <c r="F272" s="17" t="s">
        <v>99</v>
      </c>
      <c r="G272" s="15"/>
      <c r="H272" s="14" t="s">
        <v>101</v>
      </c>
      <c r="I272" s="162"/>
      <c r="J272" s="162"/>
      <c r="K272" s="162"/>
      <c r="L272" s="162"/>
      <c r="M272" s="162"/>
      <c r="N272" s="162"/>
      <c r="O272" s="162"/>
      <c r="P272" s="162"/>
      <c r="Q272" s="162"/>
      <c r="R272" s="162"/>
      <c r="S272" s="162"/>
      <c r="T272" s="162"/>
      <c r="U272" s="162"/>
      <c r="V272" s="162"/>
      <c r="W272" s="162"/>
      <c r="X272" s="5"/>
    </row>
    <row r="273" spans="1:24" ht="15.6" x14ac:dyDescent="0.3">
      <c r="A273" s="167"/>
      <c r="B273" s="162"/>
      <c r="C273" s="8"/>
      <c r="D273" s="8"/>
      <c r="E273" s="8"/>
      <c r="F273" s="8"/>
      <c r="G273" s="8"/>
      <c r="H273" s="8"/>
      <c r="I273" s="162"/>
      <c r="J273" s="162"/>
      <c r="K273" s="162"/>
      <c r="L273" s="162"/>
      <c r="M273" s="162"/>
      <c r="N273" s="162"/>
      <c r="O273" s="162"/>
      <c r="P273" s="162"/>
      <c r="Q273" s="162"/>
      <c r="R273" s="162"/>
      <c r="S273" s="162"/>
      <c r="T273" s="162"/>
      <c r="U273" s="162"/>
      <c r="V273" s="162"/>
      <c r="W273" s="162"/>
      <c r="X273" s="5"/>
    </row>
    <row r="274" spans="1:24" ht="15.6" x14ac:dyDescent="0.3">
      <c r="A274" s="167"/>
      <c r="B274" s="13" t="s">
        <v>94</v>
      </c>
      <c r="C274" s="13"/>
      <c r="D274" s="13"/>
      <c r="E274" s="13"/>
      <c r="F274" s="130" t="s">
        <v>153</v>
      </c>
      <c r="G274" s="13"/>
      <c r="H274" s="13" t="s">
        <v>157</v>
      </c>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277</v>
      </c>
      <c r="C275" s="13"/>
      <c r="D275" s="13"/>
      <c r="E275" s="13"/>
      <c r="F275" s="130" t="s">
        <v>278</v>
      </c>
      <c r="G275" s="13"/>
      <c r="H275" s="13" t="s">
        <v>279</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t="s">
        <v>95</v>
      </c>
      <c r="C276" s="13"/>
      <c r="D276" s="13"/>
      <c r="E276" s="13"/>
      <c r="F276" s="130" t="s">
        <v>152</v>
      </c>
      <c r="G276" s="13"/>
      <c r="H276" s="13" t="s">
        <v>158</v>
      </c>
      <c r="I276" s="162"/>
      <c r="J276" s="162"/>
      <c r="K276" s="162"/>
      <c r="L276" s="162"/>
      <c r="M276" s="162"/>
      <c r="N276" s="162"/>
      <c r="O276" s="162"/>
      <c r="P276" s="162"/>
      <c r="Q276" s="162"/>
      <c r="R276" s="162"/>
      <c r="S276" s="162"/>
      <c r="T276" s="162"/>
      <c r="U276" s="162"/>
      <c r="V276" s="162"/>
      <c r="W276" s="162"/>
      <c r="X276" s="5"/>
    </row>
    <row r="277" spans="1:24" ht="15.6" x14ac:dyDescent="0.3">
      <c r="A277" s="167"/>
      <c r="B277" s="13"/>
      <c r="C277" s="13"/>
      <c r="D277" s="13"/>
      <c r="E277" s="13"/>
      <c r="F277" s="13"/>
      <c r="G277" s="99"/>
      <c r="H277" s="162"/>
      <c r="I277" s="162"/>
      <c r="J277" s="162"/>
      <c r="K277" s="162"/>
      <c r="L277" s="162"/>
      <c r="M277" s="162"/>
      <c r="N277" s="162"/>
      <c r="O277" s="162"/>
      <c r="P277" s="162"/>
      <c r="Q277" s="162"/>
      <c r="R277" s="162"/>
      <c r="S277" s="162"/>
      <c r="T277" s="162"/>
      <c r="U277" s="162"/>
      <c r="V277" s="162"/>
      <c r="W277" s="162"/>
      <c r="X277" s="5"/>
    </row>
    <row r="278" spans="1:24" ht="18" thickBot="1" x14ac:dyDescent="0.35">
      <c r="A278" s="167"/>
      <c r="B278" s="49" t="str">
        <f>B195</f>
        <v>PM12 INVESTOR REPORT QUARTER ENDING JANUARY 2008</v>
      </c>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x14ac:dyDescent="0.25">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row>
  </sheetData>
  <phoneticPr fontId="0" type="noConversion"/>
  <hyperlinks>
    <hyperlink ref="P231" r:id="rId1" xr:uid="{00000000-0004-0000-0500-000000000000}"/>
    <hyperlink ref="I9" r:id="rId2" xr:uid="{00000000-0004-0000-05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6" max="14" man="1"/>
    <brk id="195" max="14" man="1"/>
  </rowBreaks>
  <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7A2C-7000-407F-A4B3-DDEE3C178E02}">
  <sheetPr>
    <tabColor rgb="FF2D2926"/>
  </sheetPr>
  <dimension ref="A1:AA351"/>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0.68500000000000005</v>
      </c>
      <c r="T16" s="516" t="s">
        <v>145</v>
      </c>
      <c r="U16" s="515">
        <v>0.315</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44431</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264057.59064359998</v>
      </c>
      <c r="E32" s="529"/>
      <c r="F32" s="530">
        <f>F31*F38</f>
        <v>46967.442999999999</v>
      </c>
      <c r="G32" s="530"/>
      <c r="H32" s="534">
        <f>H31*H38</f>
        <v>79358.78300000001</v>
      </c>
      <c r="I32" s="534"/>
      <c r="J32" s="533">
        <f>J31*J38</f>
        <v>100736.2588</v>
      </c>
      <c r="K32" s="530"/>
      <c r="L32" s="530">
        <f>L31*L38</f>
        <v>19151.134999999998</v>
      </c>
      <c r="M32" s="530"/>
      <c r="N32" s="534">
        <f>N31*N38</f>
        <v>96521.720400000006</v>
      </c>
      <c r="O32" s="530"/>
      <c r="P32" s="530">
        <f>P31*P38</f>
        <v>13022.7718</v>
      </c>
      <c r="Q32" s="530"/>
      <c r="R32" s="534">
        <f>R31*R38</f>
        <v>81200.812399999995</v>
      </c>
      <c r="S32" s="530"/>
      <c r="T32" s="530"/>
      <c r="U32" s="529"/>
      <c r="V32" s="530"/>
      <c r="W32" s="531"/>
      <c r="X32" s="512"/>
    </row>
    <row r="33" spans="1:25" s="513" customFormat="1" x14ac:dyDescent="0.3">
      <c r="A33" s="521"/>
      <c r="B33" s="527" t="s">
        <v>139</v>
      </c>
      <c r="C33" s="529"/>
      <c r="D33" s="619">
        <f>D34*D37</f>
        <v>253165.88391510001</v>
      </c>
      <c r="E33" s="532"/>
      <c r="F33" s="535">
        <f>F37*F31</f>
        <v>45030.185000000005</v>
      </c>
      <c r="G33" s="535"/>
      <c r="H33" s="537">
        <f>H31*H37</f>
        <v>76085.485000000001</v>
      </c>
      <c r="I33" s="537"/>
      <c r="J33" s="536">
        <f>J37*J31</f>
        <v>96581.143299999996</v>
      </c>
      <c r="K33" s="535"/>
      <c r="L33" s="535">
        <f>L37*L31</f>
        <v>18361.204999999998</v>
      </c>
      <c r="M33" s="535"/>
      <c r="N33" s="537">
        <f>N37*N31</f>
        <v>92540.473199999993</v>
      </c>
      <c r="O33" s="535"/>
      <c r="P33" s="535">
        <f>P37*P31</f>
        <v>12485.6194</v>
      </c>
      <c r="Q33" s="535"/>
      <c r="R33" s="537">
        <f>R37*R31</f>
        <v>77851.5092</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264057.59064359998</v>
      </c>
      <c r="E35" s="529"/>
      <c r="F35" s="530">
        <f>F34*F38</f>
        <v>46967.442999999999</v>
      </c>
      <c r="G35" s="530"/>
      <c r="H35" s="530">
        <f>H34*H38</f>
        <v>54730.3515444</v>
      </c>
      <c r="I35" s="530"/>
      <c r="J35" s="530">
        <f>J34*J38</f>
        <v>54748.051237599997</v>
      </c>
      <c r="K35" s="530"/>
      <c r="L35" s="530">
        <f>L34*L38</f>
        <v>19151.134999999998</v>
      </c>
      <c r="M35" s="530"/>
      <c r="N35" s="530">
        <f>N34*N38</f>
        <v>66567.047123800003</v>
      </c>
      <c r="O35" s="530"/>
      <c r="P35" s="530">
        <f>P34*P38</f>
        <v>13022.7718</v>
      </c>
      <c r="Q35" s="530"/>
      <c r="R35" s="530">
        <f>R34*R38</f>
        <v>56000.2168762</v>
      </c>
      <c r="S35" s="530"/>
      <c r="T35" s="530"/>
      <c r="U35" s="529"/>
      <c r="V35" s="530">
        <f>SUM(C35:R35)</f>
        <v>575244.60722559993</v>
      </c>
      <c r="W35" s="531"/>
      <c r="X35" s="512"/>
    </row>
    <row r="36" spans="1:25" s="513" customFormat="1" x14ac:dyDescent="0.3">
      <c r="A36" s="525"/>
      <c r="B36" s="527" t="s">
        <v>295</v>
      </c>
      <c r="C36" s="532"/>
      <c r="D36" s="535">
        <f>D34*D37</f>
        <v>253165.88391510001</v>
      </c>
      <c r="E36" s="532"/>
      <c r="F36" s="535">
        <f>F34*F37</f>
        <v>45030.185000000005</v>
      </c>
      <c r="G36" s="535"/>
      <c r="H36" s="535">
        <f>H34*H37</f>
        <v>52472.898198000003</v>
      </c>
      <c r="I36" s="535"/>
      <c r="J36" s="535">
        <f>J34*J37</f>
        <v>52489.832806600003</v>
      </c>
      <c r="K36" s="535"/>
      <c r="L36" s="535">
        <f>L34*L37</f>
        <v>18361.204999999998</v>
      </c>
      <c r="M36" s="535"/>
      <c r="N36" s="535">
        <f>N34*N37</f>
        <v>63821.345235399996</v>
      </c>
      <c r="O36" s="535"/>
      <c r="P36" s="535">
        <f>P34*P37</f>
        <v>12485.6194</v>
      </c>
      <c r="Q36" s="535"/>
      <c r="R36" s="535">
        <f>R34*R37</f>
        <v>53690.366764600003</v>
      </c>
      <c r="S36" s="538"/>
      <c r="T36" s="538"/>
      <c r="U36" s="529"/>
      <c r="V36" s="535">
        <f>SUM(C36:R36)</f>
        <v>551517.33631970012</v>
      </c>
      <c r="W36" s="531"/>
      <c r="X36" s="512"/>
      <c r="Y36" s="621"/>
    </row>
    <row r="37" spans="1:25" x14ac:dyDescent="0.3">
      <c r="A37" s="420"/>
      <c r="B37" s="493" t="s">
        <v>135</v>
      </c>
      <c r="C37" s="494"/>
      <c r="D37" s="495">
        <v>0.3105503</v>
      </c>
      <c r="E37" s="496"/>
      <c r="F37" s="495">
        <v>0.31055300000000002</v>
      </c>
      <c r="G37" s="495"/>
      <c r="H37" s="495">
        <v>0.31055300000000002</v>
      </c>
      <c r="I37" s="495"/>
      <c r="J37" s="495">
        <v>0.3105503</v>
      </c>
      <c r="K37" s="495"/>
      <c r="L37" s="495">
        <v>0.7344482</v>
      </c>
      <c r="M37" s="495"/>
      <c r="N37" s="495">
        <v>0.7344482</v>
      </c>
      <c r="O37" s="495"/>
      <c r="P37" s="495">
        <v>0.7344482</v>
      </c>
      <c r="Q37" s="495"/>
      <c r="R37" s="495">
        <v>0.7344482</v>
      </c>
      <c r="S37" s="425"/>
      <c r="T37" s="425"/>
      <c r="U37" s="424"/>
      <c r="V37" s="424"/>
      <c r="W37" s="426"/>
      <c r="X37" s="405"/>
    </row>
    <row r="38" spans="1:25" x14ac:dyDescent="0.3">
      <c r="A38" s="420"/>
      <c r="B38" s="493" t="s">
        <v>136</v>
      </c>
      <c r="C38" s="494"/>
      <c r="D38" s="495">
        <v>0.3239108</v>
      </c>
      <c r="E38" s="496"/>
      <c r="F38" s="495">
        <v>0.32391340000000002</v>
      </c>
      <c r="G38" s="495"/>
      <c r="H38" s="495">
        <v>0.32391340000000002</v>
      </c>
      <c r="I38" s="495"/>
      <c r="J38" s="495">
        <v>0.3239108</v>
      </c>
      <c r="K38" s="495"/>
      <c r="L38" s="495">
        <v>0.76604539999999999</v>
      </c>
      <c r="M38" s="495"/>
      <c r="N38" s="495">
        <v>0.76604539999999999</v>
      </c>
      <c r="O38" s="495"/>
      <c r="P38" s="495">
        <v>0.76604539999999999</v>
      </c>
      <c r="Q38" s="495"/>
      <c r="R38" s="495">
        <v>0.76604539999999999</v>
      </c>
      <c r="S38" s="427"/>
      <c r="T38" s="428"/>
      <c r="U38" s="424"/>
      <c r="V38" s="427"/>
      <c r="W38" s="426"/>
      <c r="X38" s="405"/>
    </row>
    <row r="39" spans="1:25"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5" s="513" customFormat="1" x14ac:dyDescent="0.3">
      <c r="A40" s="521"/>
      <c r="B40" s="522" t="s">
        <v>12</v>
      </c>
      <c r="C40" s="522"/>
      <c r="D40" s="540">
        <v>3.2588000000000001E-3</v>
      </c>
      <c r="E40" s="522"/>
      <c r="F40" s="540">
        <v>3.2588000000000001E-3</v>
      </c>
      <c r="G40" s="539"/>
      <c r="H40" s="540">
        <v>0</v>
      </c>
      <c r="I40" s="540"/>
      <c r="J40" s="540">
        <v>3.7588000000000001E-3</v>
      </c>
      <c r="K40" s="539"/>
      <c r="L40" s="540">
        <v>5.6588000000000003E-3</v>
      </c>
      <c r="M40" s="539"/>
      <c r="N40" s="540">
        <v>0</v>
      </c>
      <c r="O40" s="539"/>
      <c r="P40" s="540">
        <v>1.00588E-2</v>
      </c>
      <c r="Q40" s="539"/>
      <c r="R40" s="540">
        <v>3.79E-3</v>
      </c>
      <c r="S40" s="539"/>
      <c r="T40" s="540"/>
      <c r="U40" s="522"/>
      <c r="V40" s="528"/>
      <c r="W40" s="524"/>
      <c r="X40" s="512"/>
    </row>
    <row r="41" spans="1:25" s="513" customFormat="1" x14ac:dyDescent="0.3">
      <c r="A41" s="521"/>
      <c r="B41" s="522" t="s">
        <v>13</v>
      </c>
      <c r="C41" s="522"/>
      <c r="D41" s="540">
        <v>2.9575000000000001E-3</v>
      </c>
      <c r="E41" s="522"/>
      <c r="F41" s="540">
        <v>2.9575000000000001E-3</v>
      </c>
      <c r="G41" s="539"/>
      <c r="H41" s="540">
        <v>0</v>
      </c>
      <c r="I41" s="540"/>
      <c r="J41" s="540">
        <v>4.1374999999999997E-3</v>
      </c>
      <c r="K41" s="539"/>
      <c r="L41" s="540">
        <v>5.3575000000000003E-3</v>
      </c>
      <c r="M41" s="539"/>
      <c r="N41" s="540">
        <v>0</v>
      </c>
      <c r="O41" s="539"/>
      <c r="P41" s="540">
        <v>9.7575000000000005E-3</v>
      </c>
      <c r="Q41" s="539"/>
      <c r="R41" s="540">
        <v>3.7299999999999998E-3</v>
      </c>
      <c r="S41" s="539"/>
      <c r="T41" s="540"/>
      <c r="U41" s="522"/>
      <c r="V41" s="539" t="s">
        <v>199</v>
      </c>
      <c r="W41" s="524"/>
      <c r="X41" s="512"/>
    </row>
    <row r="42" spans="1:25" s="513" customFormat="1" x14ac:dyDescent="0.3">
      <c r="A42" s="521"/>
      <c r="B42" s="522" t="s">
        <v>296</v>
      </c>
      <c r="C42" s="522"/>
      <c r="D42" s="528" t="s">
        <v>237</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5" s="513" customFormat="1" x14ac:dyDescent="0.3">
      <c r="A43" s="521"/>
      <c r="B43" s="522" t="s">
        <v>297</v>
      </c>
      <c r="C43" s="541"/>
      <c r="D43" s="540">
        <f>+D40</f>
        <v>3.2588000000000001E-3</v>
      </c>
      <c r="E43" s="540"/>
      <c r="F43" s="540">
        <f>+F40</f>
        <v>3.2588000000000001E-3</v>
      </c>
      <c r="G43" s="540"/>
      <c r="H43" s="540">
        <v>3.1808000000000001E-3</v>
      </c>
      <c r="I43" s="540"/>
      <c r="J43" s="540">
        <v>3.4228000000000001E-3</v>
      </c>
      <c r="K43" s="540"/>
      <c r="L43" s="540">
        <f>+L40</f>
        <v>5.6588000000000003E-3</v>
      </c>
      <c r="M43" s="540"/>
      <c r="N43" s="540">
        <v>5.8608000000000002E-3</v>
      </c>
      <c r="O43" s="540"/>
      <c r="P43" s="540">
        <f>+P40</f>
        <v>1.00588E-2</v>
      </c>
      <c r="Q43" s="539"/>
      <c r="R43" s="540">
        <v>1.05308E-2</v>
      </c>
      <c r="S43" s="528"/>
      <c r="T43" s="528"/>
      <c r="U43" s="522"/>
      <c r="V43" s="539">
        <f>SUMPRODUCT(D43:R43,D35:R35)/V35</f>
        <v>4.5098648686187816E-3</v>
      </c>
      <c r="W43" s="524"/>
      <c r="X43" s="512"/>
    </row>
    <row r="44" spans="1:25" s="513" customFormat="1" x14ac:dyDescent="0.3">
      <c r="A44" s="521"/>
      <c r="B44" s="522" t="s">
        <v>298</v>
      </c>
      <c r="C44" s="541"/>
      <c r="D44" s="540">
        <f>+D41</f>
        <v>2.9575000000000001E-3</v>
      </c>
      <c r="E44" s="540"/>
      <c r="F44" s="540">
        <f>+F41</f>
        <v>2.9575000000000001E-3</v>
      </c>
      <c r="G44" s="540"/>
      <c r="H44" s="540">
        <v>2.8795000000000001E-3</v>
      </c>
      <c r="I44" s="540"/>
      <c r="J44" s="540">
        <v>3.1215000000000001E-3</v>
      </c>
      <c r="K44" s="540"/>
      <c r="L44" s="540">
        <f>+L41</f>
        <v>5.3575000000000003E-3</v>
      </c>
      <c r="M44" s="540"/>
      <c r="N44" s="540">
        <v>5.5595000000000002E-3</v>
      </c>
      <c r="O44" s="540"/>
      <c r="P44" s="540">
        <f>+P41</f>
        <v>9.7575000000000005E-3</v>
      </c>
      <c r="Q44" s="539"/>
      <c r="R44" s="540">
        <v>1.0229500000000001E-2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5" s="513" customFormat="1" x14ac:dyDescent="0.3">
      <c r="A48" s="521"/>
      <c r="B48" s="522" t="s">
        <v>299</v>
      </c>
      <c r="C48" s="522"/>
      <c r="D48" s="528" t="s">
        <v>237</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40"/>
      <c r="E50" s="540"/>
      <c r="F50" s="540"/>
      <c r="G50" s="540"/>
      <c r="H50" s="540"/>
      <c r="I50" s="540"/>
      <c r="J50" s="540"/>
      <c r="K50" s="540"/>
      <c r="L50" s="540"/>
      <c r="M50" s="540"/>
      <c r="N50" s="540"/>
      <c r="O50" s="540"/>
      <c r="P50" s="540"/>
      <c r="Q50" s="540"/>
      <c r="R50" s="540"/>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0.36799032150494942</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44424</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90</v>
      </c>
      <c r="S57" s="522"/>
      <c r="T57" s="549">
        <v>44243</v>
      </c>
      <c r="U57" s="550"/>
      <c r="V57" s="549">
        <v>44332</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91</v>
      </c>
      <c r="S58" s="522"/>
      <c r="T58" s="549">
        <v>44333</v>
      </c>
      <c r="U58" s="550"/>
      <c r="V58" s="549">
        <v>44423</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44410</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420</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575245</v>
      </c>
      <c r="O68" s="562"/>
      <c r="P68" s="562">
        <v>23728</v>
      </c>
      <c r="Q68" s="562"/>
      <c r="R68" s="562">
        <v>0</v>
      </c>
      <c r="S68" s="562"/>
      <c r="T68" s="562">
        <v>0</v>
      </c>
      <c r="U68" s="562"/>
      <c r="V68" s="563">
        <f>+N68-P68+R68-T68</f>
        <v>551517</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575245</v>
      </c>
      <c r="O71" s="562"/>
      <c r="P71" s="562">
        <f>SUM(P68:P70)</f>
        <v>23728</v>
      </c>
      <c r="Q71" s="562"/>
      <c r="R71" s="562">
        <f>SUM(R68:R70)</f>
        <v>0</v>
      </c>
      <c r="S71" s="562"/>
      <c r="T71" s="562">
        <f>SUM(T68:T70)</f>
        <v>0</v>
      </c>
      <c r="U71" s="562"/>
      <c r="V71" s="562">
        <f>SUM(V68:V70)</f>
        <v>551517</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575245</v>
      </c>
      <c r="O84" s="562"/>
      <c r="P84" s="562"/>
      <c r="Q84" s="562"/>
      <c r="R84" s="562"/>
      <c r="S84" s="562"/>
      <c r="T84" s="562"/>
      <c r="U84" s="562"/>
      <c r="V84" s="562">
        <f>SUM(V71:V83)</f>
        <v>551517</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44407</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23728-25</f>
        <v>23703</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2930+1439-1148-513</f>
        <v>2708</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41+56</f>
        <v>97</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3</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304</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23703</v>
      </c>
      <c r="U96" s="522"/>
      <c r="V96" s="562">
        <f>SUM(V88:V95)</f>
        <v>3112</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23703</v>
      </c>
      <c r="U100" s="522"/>
      <c r="V100" s="562">
        <f>V96+V98+V97+V99</f>
        <v>3112</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-221-68-8</f>
        <v>-297</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v>-305</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-38</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-97</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-27</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-147</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-33</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-9</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25</v>
      </c>
      <c r="U114" s="522"/>
      <c r="V114" s="563">
        <v>-25</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-221</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-209</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-304</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-18</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-1377</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-10892</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-1937</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-2257</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-2258</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-790</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-2746</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-538</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-2310</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-23728</v>
      </c>
      <c r="U137" s="562"/>
      <c r="V137" s="562">
        <f>SUM(V102:V134)</f>
        <v>-3112</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JULY 2021</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25</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25</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-25</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551517</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551517</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+'April 21'!S188</f>
        <v>57078</v>
      </c>
      <c r="T186" s="563">
        <f>+'April 21'!T188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8.2011661807580172</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2.04</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19.919354838709676</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7.93</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13.033333333333333</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7.17</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JULY 2021</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44407</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1.789E-2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4.5098648686187816E-3</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1.3380135131381218E-2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5.409868838494902E-3</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7.55</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4.1248511503794036E-2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6.7599999999999993E-2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0</v>
      </c>
      <c r="T221" s="577">
        <v>0</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63</v>
      </c>
      <c r="T222" s="579">
        <f>+T274</f>
        <v>10193</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+R296</f>
        <v>0</v>
      </c>
      <c r="T223" s="579">
        <f>+T296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25</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'April 21'!T228+'July 21'!T227</f>
        <v>8849</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1</v>
      </c>
      <c r="T234" s="579">
        <v>187</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2.73</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4167</v>
      </c>
      <c r="S241" s="588">
        <f t="shared" ref="S241:S248" si="2">R241/$R$250</f>
        <v>0.99403625954198471</v>
      </c>
      <c r="T241" s="589">
        <f t="shared" ref="T241:T248" si="3">+T253+T265+T287</f>
        <v>547182</v>
      </c>
      <c r="U241" s="588">
        <f t="shared" ref="U241:U248" si="4">T241/$T$250</f>
        <v>0.99213986150925537</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7</v>
      </c>
      <c r="S242" s="593">
        <f t="shared" si="2"/>
        <v>1.6698473282442748E-3</v>
      </c>
      <c r="T242" s="563">
        <f t="shared" si="3"/>
        <v>934</v>
      </c>
      <c r="U242" s="593">
        <f t="shared" si="4"/>
        <v>1.6935108074637771E-3</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1</v>
      </c>
      <c r="S243" s="593">
        <f t="shared" si="2"/>
        <v>2.3854961832061068E-4</v>
      </c>
      <c r="T243" s="563">
        <f t="shared" si="3"/>
        <v>64</v>
      </c>
      <c r="U243" s="593">
        <f t="shared" si="4"/>
        <v>1.1604356710672563E-4</v>
      </c>
      <c r="V243" s="582"/>
      <c r="W243" s="583"/>
      <c r="X243" s="512"/>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13</v>
      </c>
      <c r="S244" s="593">
        <f t="shared" si="2"/>
        <v>3.1011450381679389E-3</v>
      </c>
      <c r="T244" s="563">
        <f t="shared" si="3"/>
        <v>2547</v>
      </c>
      <c r="U244" s="593">
        <f t="shared" si="4"/>
        <v>4.6181713347004712E-3</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2</v>
      </c>
      <c r="S245" s="593">
        <f t="shared" si="2"/>
        <v>4.7709923664122136E-4</v>
      </c>
      <c r="T245" s="563">
        <f t="shared" si="3"/>
        <v>265</v>
      </c>
      <c r="U245" s="593">
        <f t="shared" si="4"/>
        <v>4.8049289505128581E-4</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1</v>
      </c>
      <c r="S246" s="593">
        <f t="shared" si="2"/>
        <v>2.3854961832061068E-4</v>
      </c>
      <c r="T246" s="563">
        <f t="shared" si="3"/>
        <v>299</v>
      </c>
      <c r="U246" s="593">
        <f t="shared" si="4"/>
        <v>5.4214104007673381E-4</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0</v>
      </c>
      <c r="S247" s="593">
        <f t="shared" si="2"/>
        <v>0</v>
      </c>
      <c r="T247" s="563">
        <f t="shared" si="3"/>
        <v>0</v>
      </c>
      <c r="U247" s="593">
        <f t="shared" si="4"/>
        <v>0</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1</v>
      </c>
      <c r="S248" s="593">
        <f t="shared" si="2"/>
        <v>2.3854961832061068E-4</v>
      </c>
      <c r="T248" s="563">
        <f t="shared" si="3"/>
        <v>226</v>
      </c>
      <c r="U248" s="593">
        <f t="shared" si="4"/>
        <v>4.097788463456249E-4</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4192</v>
      </c>
      <c r="S250" s="593">
        <f>SUM(S241:S249)</f>
        <v>0.99999999999999989</v>
      </c>
      <c r="T250" s="563">
        <f>SUM(T241:T249)</f>
        <v>551517</v>
      </c>
      <c r="U250" s="593">
        <f>SUM(U241:U249)</f>
        <v>1</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4104</v>
      </c>
      <c r="S253" s="595">
        <f t="shared" ref="S253:S260" si="5">R253/$R$262</f>
        <v>0.99394526519738435</v>
      </c>
      <c r="T253" s="596">
        <v>536989</v>
      </c>
      <c r="U253" s="595">
        <f t="shared" ref="U253:U260" si="6">T253/$T$262</f>
        <v>0.99199185700246062</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7</v>
      </c>
      <c r="S254" s="593">
        <f t="shared" si="5"/>
        <v>1.6953257447323807E-3</v>
      </c>
      <c r="T254" s="563">
        <v>934</v>
      </c>
      <c r="U254" s="593">
        <f t="shared" si="6"/>
        <v>1.725399206390258E-3</v>
      </c>
      <c r="V254" s="582"/>
      <c r="W254" s="583"/>
      <c r="X254" s="512"/>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1</v>
      </c>
      <c r="S255" s="593">
        <f t="shared" si="5"/>
        <v>2.4218939210462581E-4</v>
      </c>
      <c r="T255" s="563">
        <v>64</v>
      </c>
      <c r="U255" s="593">
        <f t="shared" si="6"/>
        <v>1.1822863941003908E-4</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13</v>
      </c>
      <c r="S256" s="593">
        <f t="shared" si="5"/>
        <v>3.1484620973601355E-3</v>
      </c>
      <c r="T256" s="563">
        <v>2547</v>
      </c>
      <c r="U256" s="593">
        <f t="shared" si="6"/>
        <v>4.705130384021399E-3</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2</v>
      </c>
      <c r="S257" s="593">
        <f t="shared" si="5"/>
        <v>4.8437878420925162E-4</v>
      </c>
      <c r="T257" s="563">
        <v>265</v>
      </c>
      <c r="U257" s="593">
        <f t="shared" si="6"/>
        <v>4.8954046005719308E-4</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1</v>
      </c>
      <c r="S258" s="593">
        <f t="shared" si="5"/>
        <v>2.4218939210462581E-4</v>
      </c>
      <c r="T258" s="563">
        <v>299</v>
      </c>
      <c r="U258" s="593">
        <f t="shared" si="6"/>
        <v>5.5234942474377633E-4</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0</v>
      </c>
      <c r="S259" s="593">
        <f t="shared" si="5"/>
        <v>0</v>
      </c>
      <c r="T259" s="563">
        <v>0</v>
      </c>
      <c r="U259" s="593">
        <f t="shared" si="6"/>
        <v>0</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1</v>
      </c>
      <c r="S260" s="593">
        <f t="shared" si="5"/>
        <v>2.4218939210462581E-4</v>
      </c>
      <c r="T260" s="563">
        <v>226</v>
      </c>
      <c r="U260" s="593">
        <f t="shared" si="6"/>
        <v>4.1749488291670055E-4</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4129</v>
      </c>
      <c r="S262" s="593">
        <f>SUM(S253:S261)</f>
        <v>1</v>
      </c>
      <c r="T262" s="563">
        <f>SUM(T253:T261)</f>
        <v>541324</v>
      </c>
      <c r="U262" s="593">
        <f>SUM(U253:U261)</f>
        <v>1</v>
      </c>
      <c r="V262" s="522"/>
      <c r="W262" s="524"/>
      <c r="X262" s="512"/>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63</v>
      </c>
      <c r="S265" s="595">
        <f t="shared" ref="S265:S272" si="7">R265/$R$274</f>
        <v>1</v>
      </c>
      <c r="T265" s="596">
        <v>10193</v>
      </c>
      <c r="U265" s="595">
        <f t="shared" ref="U265:U272" si="8">T265/$T$274</f>
        <v>1</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0</v>
      </c>
      <c r="S267" s="593">
        <f t="shared" si="7"/>
        <v>0</v>
      </c>
      <c r="T267" s="563">
        <v>0</v>
      </c>
      <c r="U267" s="593">
        <f t="shared" si="8"/>
        <v>0</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0</v>
      </c>
      <c r="S268" s="593">
        <f t="shared" si="7"/>
        <v>0</v>
      </c>
      <c r="T268" s="563">
        <v>0</v>
      </c>
      <c r="U268" s="593">
        <f t="shared" si="8"/>
        <v>0</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0</v>
      </c>
      <c r="S269" s="593">
        <f t="shared" si="7"/>
        <v>0</v>
      </c>
      <c r="T269" s="563">
        <v>0</v>
      </c>
      <c r="U269" s="593">
        <f t="shared" si="8"/>
        <v>0</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0</v>
      </c>
      <c r="S270" s="593">
        <f t="shared" si="7"/>
        <v>0</v>
      </c>
      <c r="T270" s="563">
        <v>0</v>
      </c>
      <c r="U270" s="593">
        <f t="shared" si="8"/>
        <v>0</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0</v>
      </c>
      <c r="S271" s="593">
        <f t="shared" si="7"/>
        <v>0</v>
      </c>
      <c r="T271" s="563">
        <v>0</v>
      </c>
      <c r="U271" s="593">
        <f t="shared" si="8"/>
        <v>0</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0</v>
      </c>
      <c r="S272" s="593">
        <f t="shared" si="7"/>
        <v>0</v>
      </c>
      <c r="T272" s="563">
        <v>0</v>
      </c>
      <c r="U272" s="593">
        <f t="shared" si="8"/>
        <v>0</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63</v>
      </c>
      <c r="S274" s="593">
        <f>SUM(S265:S273)</f>
        <v>1</v>
      </c>
      <c r="T274" s="563">
        <f>SUM(T265:T273)</f>
        <v>10193</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58</v>
      </c>
      <c r="S277" s="593">
        <f>R277/R284</f>
        <v>0.92063492063492058</v>
      </c>
      <c r="T277" s="563">
        <v>9644</v>
      </c>
      <c r="U277" s="593">
        <f>T277/T284</f>
        <v>0.94613950750515063</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0</v>
      </c>
      <c r="S278" s="593">
        <f>R278/R284</f>
        <v>0</v>
      </c>
      <c r="T278" s="563">
        <v>0</v>
      </c>
      <c r="U278" s="593">
        <f>T278/T284</f>
        <v>0</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1</v>
      </c>
      <c r="S279" s="593">
        <f>R279/R284</f>
        <v>1.5873015873015872E-2</v>
      </c>
      <c r="T279" s="563">
        <v>122</v>
      </c>
      <c r="U279" s="593">
        <f>T279/T284</f>
        <v>1.1968998332188757E-2</v>
      </c>
      <c r="V279" s="522"/>
      <c r="W279" s="524"/>
      <c r="X279" s="512"/>
    </row>
    <row r="280" spans="1:24" s="513" customFormat="1" x14ac:dyDescent="0.3">
      <c r="A280" s="521"/>
      <c r="B280" s="522" t="s">
        <v>413</v>
      </c>
      <c r="C280" s="522"/>
      <c r="D280" s="522"/>
      <c r="E280" s="522"/>
      <c r="F280" s="522"/>
      <c r="G280" s="522"/>
      <c r="H280" s="594"/>
      <c r="I280" s="594"/>
      <c r="J280" s="594"/>
      <c r="K280" s="594"/>
      <c r="L280" s="594"/>
      <c r="M280" s="594"/>
      <c r="N280" s="594"/>
      <c r="O280" s="594"/>
      <c r="P280" s="594"/>
      <c r="Q280" s="594"/>
      <c r="R280" s="562">
        <v>2</v>
      </c>
      <c r="S280" s="593">
        <f>R280/R284</f>
        <v>3.1746031746031744E-2</v>
      </c>
      <c r="T280" s="563">
        <v>290</v>
      </c>
      <c r="U280" s="593">
        <f>T280/T284</f>
        <v>2.8450897674874916E-2</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2</v>
      </c>
      <c r="S281" s="593">
        <f>R281/R284</f>
        <v>3.1746031746031744E-2</v>
      </c>
      <c r="T281" s="563">
        <v>137</v>
      </c>
      <c r="U281" s="593">
        <f>T281/T284</f>
        <v>1.3440596487785735E-2</v>
      </c>
      <c r="V281" s="522"/>
      <c r="W281" s="524"/>
      <c r="X281" s="512"/>
    </row>
    <row r="282" spans="1:24" s="513" customFormat="1" x14ac:dyDescent="0.3">
      <c r="A282" s="521"/>
      <c r="B282" s="424" t="s">
        <v>402</v>
      </c>
      <c r="C282" s="522"/>
      <c r="D282" s="522"/>
      <c r="E282" s="522"/>
      <c r="F282" s="522"/>
      <c r="G282" s="522"/>
      <c r="H282" s="594"/>
      <c r="I282" s="594"/>
      <c r="J282" s="594"/>
      <c r="K282" s="594"/>
      <c r="L282" s="594"/>
      <c r="M282" s="594"/>
      <c r="N282" s="594"/>
      <c r="O282" s="594"/>
      <c r="P282" s="594"/>
      <c r="Q282" s="594"/>
      <c r="R282" s="562">
        <v>0</v>
      </c>
      <c r="S282" s="593">
        <f>R282/R284</f>
        <v>0</v>
      </c>
      <c r="T282" s="563">
        <v>0</v>
      </c>
      <c r="U282" s="593">
        <f>T282/T284</f>
        <v>0</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63</v>
      </c>
      <c r="S284" s="593">
        <f>SUM(S277:S282)</f>
        <v>1</v>
      </c>
      <c r="T284" s="563">
        <f>SUM(T277:T282)</f>
        <v>10193</v>
      </c>
      <c r="U284" s="593">
        <f>SUM(U277:U283)</f>
        <v>1.0000000000000002</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0</v>
      </c>
      <c r="S296" s="593">
        <f>SUM(S287:S295)</f>
        <v>0</v>
      </c>
      <c r="T296" s="563">
        <f>SUM(T287:T294)</f>
        <v>0</v>
      </c>
      <c r="U296" s="593">
        <f>SUM(U287:U295)</f>
        <v>0</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4192</v>
      </c>
      <c r="S298" s="593"/>
      <c r="T298" s="599">
        <f>+T296+T274+T262</f>
        <v>551517</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626" t="s">
        <v>381</v>
      </c>
      <c r="B300" s="627" t="s">
        <v>382</v>
      </c>
      <c r="C300" s="628"/>
      <c r="D300" s="628"/>
      <c r="E300" s="628"/>
      <c r="F300" s="628"/>
      <c r="G300" s="628"/>
      <c r="H300" s="629"/>
      <c r="I300" s="629"/>
      <c r="J300" s="629"/>
      <c r="K300" s="629"/>
      <c r="L300" s="629"/>
      <c r="M300" s="629"/>
      <c r="N300" s="629"/>
      <c r="O300" s="629"/>
      <c r="P300" s="629"/>
      <c r="Q300" s="629"/>
      <c r="R300" s="638" t="s">
        <v>104</v>
      </c>
      <c r="S300" s="639" t="s">
        <v>105</v>
      </c>
      <c r="T300" s="638" t="s">
        <v>113</v>
      </c>
      <c r="U300" s="639" t="s">
        <v>105</v>
      </c>
      <c r="V300" s="627" t="s">
        <v>412</v>
      </c>
      <c r="W300" s="468"/>
      <c r="X300" s="512"/>
    </row>
    <row r="301" spans="1:24" s="513" customFormat="1" x14ac:dyDescent="0.3">
      <c r="A301" s="630"/>
      <c r="B301" s="631" t="s">
        <v>90</v>
      </c>
      <c r="C301" s="632"/>
      <c r="D301" s="632"/>
      <c r="E301" s="632"/>
      <c r="F301" s="632"/>
      <c r="G301" s="632"/>
      <c r="H301" s="633"/>
      <c r="I301" s="633"/>
      <c r="J301" s="633"/>
      <c r="K301" s="633"/>
      <c r="L301" s="633"/>
      <c r="M301" s="633"/>
      <c r="N301" s="633"/>
      <c r="O301" s="633"/>
      <c r="P301" s="633"/>
      <c r="Q301" s="633"/>
      <c r="R301" s="631">
        <v>0</v>
      </c>
      <c r="S301" s="640">
        <v>0</v>
      </c>
      <c r="T301" s="641">
        <v>0</v>
      </c>
      <c r="U301" s="640">
        <v>0</v>
      </c>
      <c r="V301" s="552"/>
      <c r="W301" s="552"/>
      <c r="X301" s="512"/>
    </row>
    <row r="302" spans="1:24" s="513" customFormat="1" x14ac:dyDescent="0.3">
      <c r="A302" s="634"/>
      <c r="B302" s="635" t="s">
        <v>91</v>
      </c>
      <c r="C302" s="636"/>
      <c r="D302" s="636"/>
      <c r="E302" s="636"/>
      <c r="F302" s="636"/>
      <c r="G302" s="636"/>
      <c r="H302" s="637"/>
      <c r="I302" s="637"/>
      <c r="J302" s="637"/>
      <c r="K302" s="637"/>
      <c r="L302" s="637"/>
      <c r="M302" s="637"/>
      <c r="N302" s="637"/>
      <c r="O302" s="637"/>
      <c r="P302" s="637"/>
      <c r="Q302" s="637"/>
      <c r="R302" s="635">
        <v>0</v>
      </c>
      <c r="S302" s="646">
        <v>0</v>
      </c>
      <c r="T302" s="643">
        <v>0</v>
      </c>
      <c r="U302" s="646">
        <v>0</v>
      </c>
      <c r="V302" s="522"/>
      <c r="W302" s="524"/>
      <c r="X302" s="512"/>
    </row>
    <row r="303" spans="1:24" s="513" customFormat="1" x14ac:dyDescent="0.3">
      <c r="A303" s="634"/>
      <c r="B303" s="635" t="s">
        <v>92</v>
      </c>
      <c r="C303" s="636"/>
      <c r="D303" s="636"/>
      <c r="E303" s="636"/>
      <c r="F303" s="636"/>
      <c r="G303" s="636"/>
      <c r="H303" s="637"/>
      <c r="I303" s="637"/>
      <c r="J303" s="637"/>
      <c r="K303" s="637"/>
      <c r="L303" s="637"/>
      <c r="M303" s="637"/>
      <c r="N303" s="637"/>
      <c r="O303" s="637"/>
      <c r="P303" s="637"/>
      <c r="Q303" s="637"/>
      <c r="R303" s="635">
        <v>0</v>
      </c>
      <c r="S303" s="646">
        <v>0</v>
      </c>
      <c r="T303" s="643">
        <v>0</v>
      </c>
      <c r="U303" s="646">
        <v>0</v>
      </c>
      <c r="V303" s="522"/>
      <c r="W303" s="524"/>
      <c r="X303" s="512"/>
    </row>
    <row r="304" spans="1:24" s="513" customFormat="1" x14ac:dyDescent="0.3">
      <c r="A304" s="634"/>
      <c r="B304" s="635" t="s">
        <v>161</v>
      </c>
      <c r="C304" s="636"/>
      <c r="D304" s="636"/>
      <c r="E304" s="636"/>
      <c r="F304" s="636"/>
      <c r="G304" s="636"/>
      <c r="H304" s="637"/>
      <c r="I304" s="637"/>
      <c r="J304" s="637"/>
      <c r="K304" s="637"/>
      <c r="L304" s="637"/>
      <c r="M304" s="637"/>
      <c r="N304" s="637"/>
      <c r="O304" s="637"/>
      <c r="P304" s="637"/>
      <c r="Q304" s="637"/>
      <c r="R304" s="635">
        <v>0</v>
      </c>
      <c r="S304" s="646">
        <v>0</v>
      </c>
      <c r="T304" s="643">
        <v>0</v>
      </c>
      <c r="U304" s="646">
        <v>0</v>
      </c>
      <c r="V304" s="522"/>
      <c r="W304" s="524"/>
      <c r="X304" s="512"/>
    </row>
    <row r="305" spans="1:24" s="513" customFormat="1" x14ac:dyDescent="0.3">
      <c r="A305" s="634"/>
      <c r="B305" s="635" t="s">
        <v>162</v>
      </c>
      <c r="C305" s="636"/>
      <c r="D305" s="636"/>
      <c r="E305" s="636"/>
      <c r="F305" s="636"/>
      <c r="G305" s="636"/>
      <c r="H305" s="637"/>
      <c r="I305" s="637"/>
      <c r="J305" s="637"/>
      <c r="K305" s="637"/>
      <c r="L305" s="637"/>
      <c r="M305" s="637"/>
      <c r="N305" s="637"/>
      <c r="O305" s="637"/>
      <c r="P305" s="637"/>
      <c r="Q305" s="637"/>
      <c r="R305" s="635">
        <v>0</v>
      </c>
      <c r="S305" s="646">
        <v>0</v>
      </c>
      <c r="T305" s="643">
        <v>0</v>
      </c>
      <c r="U305" s="646">
        <v>0</v>
      </c>
      <c r="V305" s="522"/>
      <c r="W305" s="524"/>
      <c r="X305" s="512"/>
    </row>
    <row r="306" spans="1:24" s="513" customFormat="1" x14ac:dyDescent="0.3">
      <c r="A306" s="634"/>
      <c r="B306" s="635" t="s">
        <v>163</v>
      </c>
      <c r="C306" s="636"/>
      <c r="D306" s="636"/>
      <c r="E306" s="636"/>
      <c r="F306" s="636"/>
      <c r="G306" s="636"/>
      <c r="H306" s="637"/>
      <c r="I306" s="637"/>
      <c r="J306" s="637"/>
      <c r="K306" s="637"/>
      <c r="L306" s="637"/>
      <c r="M306" s="637"/>
      <c r="N306" s="637"/>
      <c r="O306" s="637"/>
      <c r="P306" s="637"/>
      <c r="Q306" s="637"/>
      <c r="R306" s="635">
        <v>0</v>
      </c>
      <c r="S306" s="646">
        <v>0</v>
      </c>
      <c r="T306" s="643">
        <v>0</v>
      </c>
      <c r="U306" s="646">
        <v>0</v>
      </c>
      <c r="V306" s="522"/>
      <c r="W306" s="524"/>
      <c r="X306" s="512"/>
    </row>
    <row r="307" spans="1:24" s="513" customFormat="1" x14ac:dyDescent="0.3">
      <c r="A307" s="634"/>
      <c r="B307" s="635" t="s">
        <v>164</v>
      </c>
      <c r="C307" s="636"/>
      <c r="D307" s="636"/>
      <c r="E307" s="636"/>
      <c r="F307" s="636"/>
      <c r="G307" s="636"/>
      <c r="H307" s="637"/>
      <c r="I307" s="637"/>
      <c r="J307" s="637"/>
      <c r="K307" s="637"/>
      <c r="L307" s="637"/>
      <c r="M307" s="637"/>
      <c r="N307" s="637"/>
      <c r="O307" s="637"/>
      <c r="P307" s="637"/>
      <c r="Q307" s="637"/>
      <c r="R307" s="635">
        <v>0</v>
      </c>
      <c r="S307" s="646">
        <v>0</v>
      </c>
      <c r="T307" s="643">
        <v>0</v>
      </c>
      <c r="U307" s="646">
        <v>0</v>
      </c>
      <c r="V307" s="522"/>
      <c r="W307" s="524"/>
      <c r="X307" s="512"/>
    </row>
    <row r="308" spans="1:24" s="513" customFormat="1" x14ac:dyDescent="0.3">
      <c r="A308" s="634"/>
      <c r="B308" s="635" t="s">
        <v>165</v>
      </c>
      <c r="C308" s="636"/>
      <c r="D308" s="636"/>
      <c r="E308" s="636"/>
      <c r="F308" s="636"/>
      <c r="G308" s="636"/>
      <c r="H308" s="637"/>
      <c r="I308" s="637"/>
      <c r="J308" s="637"/>
      <c r="K308" s="637"/>
      <c r="L308" s="637"/>
      <c r="M308" s="637"/>
      <c r="N308" s="637"/>
      <c r="O308" s="637"/>
      <c r="P308" s="637"/>
      <c r="Q308" s="637"/>
      <c r="R308" s="655">
        <v>0</v>
      </c>
      <c r="S308" s="640">
        <v>0</v>
      </c>
      <c r="T308" s="656">
        <v>0</v>
      </c>
      <c r="U308" s="640">
        <v>0</v>
      </c>
      <c r="V308" s="657"/>
      <c r="W308" s="524"/>
      <c r="X308" s="512"/>
    </row>
    <row r="309" spans="1:24" s="513" customFormat="1" x14ac:dyDescent="0.3">
      <c r="A309" s="634"/>
      <c r="B309" s="635"/>
      <c r="C309" s="636"/>
      <c r="D309" s="636"/>
      <c r="E309" s="636"/>
      <c r="F309" s="636"/>
      <c r="G309" s="636"/>
      <c r="H309" s="637"/>
      <c r="I309" s="637"/>
      <c r="J309" s="637"/>
      <c r="K309" s="637"/>
      <c r="L309" s="637"/>
      <c r="M309" s="637"/>
      <c r="N309" s="637"/>
      <c r="O309" s="637"/>
      <c r="P309" s="670"/>
      <c r="Q309" s="637"/>
      <c r="R309" s="671"/>
      <c r="S309" s="672"/>
      <c r="T309" s="673"/>
      <c r="U309" s="672"/>
      <c r="V309" s="674"/>
      <c r="W309" s="524"/>
      <c r="X309" s="512"/>
    </row>
    <row r="310" spans="1:24" s="513" customFormat="1" x14ac:dyDescent="0.3">
      <c r="A310" s="634"/>
      <c r="B310" s="636" t="s">
        <v>119</v>
      </c>
      <c r="C310" s="636"/>
      <c r="D310" s="636"/>
      <c r="E310" s="636"/>
      <c r="F310" s="636"/>
      <c r="G310" s="636"/>
      <c r="H310" s="637"/>
      <c r="I310" s="637"/>
      <c r="J310" s="637"/>
      <c r="K310" s="637"/>
      <c r="L310" s="637"/>
      <c r="M310" s="637"/>
      <c r="N310" s="637"/>
      <c r="O310" s="637"/>
      <c r="P310" s="637"/>
      <c r="Q310" s="675"/>
      <c r="R310" s="671">
        <f>SUM(R301:R308)</f>
        <v>0</v>
      </c>
      <c r="S310" s="672">
        <f>SUM(S301:S309)</f>
        <v>0</v>
      </c>
      <c r="T310" s="673">
        <f>SUM(T301:T308)</f>
        <v>0</v>
      </c>
      <c r="U310" s="672">
        <f>SUM(U301:U309)</f>
        <v>0</v>
      </c>
      <c r="V310" s="674"/>
      <c r="W310" s="524"/>
      <c r="X310" s="512"/>
    </row>
    <row r="311" spans="1:24" s="513" customFormat="1" ht="16.2" thickBot="1" x14ac:dyDescent="0.35">
      <c r="A311" s="634"/>
      <c r="B311" s="636" t="s">
        <v>396</v>
      </c>
      <c r="C311" s="636"/>
      <c r="D311" s="636"/>
      <c r="E311" s="636"/>
      <c r="F311" s="636"/>
      <c r="G311" s="636"/>
      <c r="H311" s="637"/>
      <c r="I311" s="637"/>
      <c r="J311" s="637"/>
      <c r="K311" s="637"/>
      <c r="L311" s="637"/>
      <c r="M311" s="637"/>
      <c r="N311" s="637"/>
      <c r="O311" s="637"/>
      <c r="P311" s="637"/>
      <c r="Q311" s="637"/>
      <c r="R311" s="666"/>
      <c r="S311" s="667">
        <f>R310/R298</f>
        <v>0</v>
      </c>
      <c r="T311" s="668"/>
      <c r="U311" s="667">
        <f>T310/T298</f>
        <v>0</v>
      </c>
      <c r="V311" s="552"/>
      <c r="W311" s="524"/>
      <c r="X311" s="512"/>
    </row>
    <row r="312" spans="1:24" s="513" customFormat="1" ht="16.2" thickTop="1" x14ac:dyDescent="0.3">
      <c r="A312" s="634"/>
      <c r="B312" s="636" t="s">
        <v>406</v>
      </c>
      <c r="C312" s="636"/>
      <c r="D312" s="636"/>
      <c r="E312" s="636"/>
      <c r="F312" s="636"/>
      <c r="G312" s="636"/>
      <c r="H312" s="637"/>
      <c r="I312" s="637"/>
      <c r="J312" s="637"/>
      <c r="K312" s="637"/>
      <c r="L312" s="637"/>
      <c r="M312" s="637"/>
      <c r="N312" s="637"/>
      <c r="O312" s="637"/>
      <c r="P312" s="637"/>
      <c r="Q312" s="637"/>
      <c r="R312" s="658">
        <v>0</v>
      </c>
      <c r="S312" s="659">
        <v>0</v>
      </c>
      <c r="T312" s="660">
        <v>0</v>
      </c>
      <c r="U312" s="659">
        <v>0</v>
      </c>
      <c r="V312" s="669">
        <v>0</v>
      </c>
      <c r="W312" s="524"/>
      <c r="X312" s="512"/>
    </row>
    <row r="313" spans="1:24" s="513" customFormat="1" ht="16.2" thickBot="1" x14ac:dyDescent="0.35">
      <c r="A313" s="634"/>
      <c r="B313" s="636" t="s">
        <v>407</v>
      </c>
      <c r="C313" s="636"/>
      <c r="D313" s="636"/>
      <c r="E313" s="636"/>
      <c r="F313" s="636"/>
      <c r="G313" s="636"/>
      <c r="H313" s="637"/>
      <c r="I313" s="637"/>
      <c r="J313" s="637"/>
      <c r="K313" s="637"/>
      <c r="L313" s="637"/>
      <c r="M313" s="637"/>
      <c r="N313" s="637"/>
      <c r="O313" s="637"/>
      <c r="P313" s="637"/>
      <c r="Q313" s="637"/>
      <c r="R313" s="661">
        <v>0</v>
      </c>
      <c r="S313" s="662">
        <v>0</v>
      </c>
      <c r="T313" s="663">
        <v>0</v>
      </c>
      <c r="U313" s="664">
        <v>0</v>
      </c>
      <c r="V313" s="665">
        <v>0</v>
      </c>
      <c r="W313" s="524"/>
      <c r="X313" s="512"/>
    </row>
    <row r="314" spans="1:24" s="513" customFormat="1" ht="16.2" thickTop="1" x14ac:dyDescent="0.3">
      <c r="A314" s="509"/>
      <c r="B314" s="591"/>
      <c r="C314" s="552"/>
      <c r="D314" s="552"/>
      <c r="E314" s="552"/>
      <c r="F314" s="552"/>
      <c r="G314" s="552"/>
      <c r="H314" s="597"/>
      <c r="I314" s="597"/>
      <c r="J314" s="597"/>
      <c r="K314" s="597"/>
      <c r="L314" s="597"/>
      <c r="M314" s="597"/>
      <c r="N314" s="597"/>
      <c r="O314" s="597"/>
      <c r="P314" s="597"/>
      <c r="Q314" s="597"/>
      <c r="R314" s="624"/>
      <c r="S314" s="595"/>
      <c r="T314" s="625"/>
      <c r="U314" s="595"/>
      <c r="V314" s="625"/>
      <c r="W314" s="645"/>
      <c r="X314" s="512"/>
    </row>
    <row r="315" spans="1:24" s="513" customFormat="1" x14ac:dyDescent="0.3">
      <c r="A315" s="509"/>
      <c r="B315" s="510"/>
      <c r="C315" s="510"/>
      <c r="D315" s="510"/>
      <c r="E315" s="510"/>
      <c r="F315" s="510"/>
      <c r="G315" s="510"/>
      <c r="H315" s="600"/>
      <c r="I315" s="600"/>
      <c r="J315" s="600"/>
      <c r="K315" s="600"/>
      <c r="L315" s="600"/>
      <c r="M315" s="600"/>
      <c r="N315" s="600"/>
      <c r="O315" s="600"/>
      <c r="P315" s="600"/>
      <c r="Q315" s="600"/>
      <c r="R315" s="600"/>
      <c r="S315" s="600"/>
      <c r="T315" s="601"/>
      <c r="U315" s="600"/>
      <c r="V315" s="510"/>
      <c r="W315" s="510"/>
      <c r="X315" s="512"/>
    </row>
    <row r="316" spans="1:24" s="513" customFormat="1" x14ac:dyDescent="0.3">
      <c r="A316" s="509"/>
      <c r="B316" s="508" t="s">
        <v>93</v>
      </c>
      <c r="C316" s="510"/>
      <c r="D316" s="510"/>
      <c r="E316" s="510"/>
      <c r="F316" s="516" t="s">
        <v>99</v>
      </c>
      <c r="G316" s="510"/>
      <c r="H316" s="508" t="s">
        <v>101</v>
      </c>
      <c r="I316" s="510"/>
      <c r="J316" s="510"/>
      <c r="K316" s="510"/>
      <c r="L316" s="510"/>
      <c r="M316" s="510"/>
      <c r="N316" s="510"/>
      <c r="O316" s="510"/>
      <c r="P316" s="510"/>
      <c r="Q316" s="510"/>
      <c r="R316" s="510"/>
      <c r="S316" s="510"/>
      <c r="T316" s="510"/>
      <c r="U316" s="510"/>
      <c r="V316" s="510"/>
      <c r="W316" s="510"/>
      <c r="X316" s="512"/>
    </row>
    <row r="317" spans="1:24" s="513" customFormat="1" x14ac:dyDescent="0.3">
      <c r="A317" s="509"/>
      <c r="B317" s="508" t="s">
        <v>327</v>
      </c>
      <c r="C317" s="508"/>
      <c r="D317" s="508"/>
      <c r="E317" s="508"/>
      <c r="F317" s="602" t="s">
        <v>278</v>
      </c>
      <c r="G317" s="508"/>
      <c r="H317" s="402" t="s">
        <v>350</v>
      </c>
      <c r="I317" s="510"/>
      <c r="J317" s="510"/>
      <c r="K317" s="510"/>
      <c r="L317" s="510"/>
      <c r="M317" s="510"/>
      <c r="N317" s="510"/>
      <c r="O317" s="510"/>
      <c r="P317" s="510"/>
      <c r="Q317" s="510"/>
      <c r="R317" s="510"/>
      <c r="S317" s="510"/>
      <c r="T317" s="510"/>
      <c r="U317" s="510"/>
      <c r="V317" s="510"/>
      <c r="W317" s="510"/>
      <c r="X317" s="512"/>
    </row>
    <row r="318" spans="1:24" s="513" customFormat="1" x14ac:dyDescent="0.3">
      <c r="A318" s="509"/>
      <c r="B318" s="508" t="s">
        <v>328</v>
      </c>
      <c r="C318" s="508"/>
      <c r="D318" s="508"/>
      <c r="E318" s="508"/>
      <c r="F318" s="602" t="s">
        <v>152</v>
      </c>
      <c r="G318" s="508"/>
      <c r="H318" s="402" t="s">
        <v>351</v>
      </c>
      <c r="I318" s="510"/>
      <c r="J318" s="510"/>
      <c r="K318" s="510"/>
      <c r="L318" s="510"/>
      <c r="M318" s="510"/>
      <c r="N318" s="510"/>
      <c r="O318" s="510"/>
      <c r="P318" s="510"/>
      <c r="Q318" s="510"/>
      <c r="R318" s="510"/>
      <c r="S318" s="510"/>
      <c r="T318" s="510"/>
      <c r="U318" s="510"/>
      <c r="V318" s="510"/>
      <c r="W318" s="510"/>
      <c r="X318" s="512"/>
    </row>
    <row r="319" spans="1:24" s="513" customFormat="1" x14ac:dyDescent="0.3">
      <c r="A319" s="509"/>
      <c r="B319" s="508"/>
      <c r="C319" s="508"/>
      <c r="D319" s="508"/>
      <c r="E319" s="508"/>
      <c r="F319" s="602"/>
      <c r="G319" s="508"/>
      <c r="H319" s="402"/>
      <c r="I319" s="510"/>
      <c r="J319" s="510"/>
      <c r="K319" s="510"/>
      <c r="L319" s="510"/>
      <c r="M319" s="510"/>
      <c r="N319" s="510"/>
      <c r="O319" s="510"/>
      <c r="P319" s="510"/>
      <c r="Q319" s="510"/>
      <c r="R319" s="510"/>
      <c r="S319" s="510"/>
      <c r="T319" s="510"/>
      <c r="U319" s="510"/>
      <c r="V319" s="510"/>
      <c r="W319" s="510"/>
      <c r="X319" s="512"/>
    </row>
    <row r="320" spans="1:24" s="513" customFormat="1" x14ac:dyDescent="0.3">
      <c r="A320" s="509"/>
      <c r="B320" s="644" t="s">
        <v>391</v>
      </c>
      <c r="C320" s="508"/>
      <c r="D320" s="508"/>
      <c r="E320" s="508"/>
      <c r="F320" s="602"/>
      <c r="G320" s="508"/>
      <c r="H320" s="402"/>
      <c r="I320" s="510"/>
      <c r="J320" s="510"/>
      <c r="K320" s="510"/>
      <c r="L320" s="510"/>
      <c r="M320" s="510"/>
      <c r="N320" s="510"/>
      <c r="O320" s="510"/>
      <c r="P320" s="510"/>
      <c r="Q320" s="510"/>
      <c r="R320" s="510"/>
      <c r="S320" s="510"/>
      <c r="T320" s="510"/>
      <c r="U320" s="510"/>
      <c r="V320" s="510"/>
      <c r="W320" s="510"/>
      <c r="X320" s="512"/>
    </row>
    <row r="321" spans="1:24" s="513" customFormat="1" x14ac:dyDescent="0.3">
      <c r="A321" s="509"/>
      <c r="B321" s="508"/>
      <c r="C321" s="508"/>
      <c r="D321" s="508"/>
      <c r="E321" s="508"/>
      <c r="F321" s="602"/>
      <c r="G321" s="508"/>
      <c r="H321" s="402"/>
      <c r="I321" s="510"/>
      <c r="J321" s="510"/>
      <c r="K321" s="510"/>
      <c r="L321" s="510"/>
      <c r="M321" s="510"/>
      <c r="N321" s="510"/>
      <c r="O321" s="510"/>
      <c r="P321" s="510"/>
      <c r="Q321" s="510"/>
      <c r="R321" s="510"/>
      <c r="S321" s="510"/>
      <c r="T321" s="510"/>
      <c r="U321" s="510"/>
      <c r="V321" s="510"/>
      <c r="W321" s="510"/>
      <c r="X321" s="512"/>
    </row>
    <row r="322" spans="1:24" s="513" customFormat="1" ht="18" x14ac:dyDescent="0.35">
      <c r="A322" s="509"/>
      <c r="B322" s="647" t="s">
        <v>174</v>
      </c>
      <c r="C322" s="508"/>
      <c r="D322" s="508"/>
      <c r="E322" s="508"/>
      <c r="F322" s="602"/>
      <c r="G322" s="508"/>
      <c r="H322" s="402"/>
      <c r="I322" s="510"/>
      <c r="J322" s="510"/>
      <c r="K322" s="510"/>
      <c r="L322" s="552"/>
      <c r="M322" s="552"/>
      <c r="N322" s="552"/>
      <c r="O322" s="552"/>
      <c r="P322" s="648" t="s">
        <v>349</v>
      </c>
      <c r="Q322" s="552"/>
      <c r="R322" s="552"/>
      <c r="S322" s="552"/>
      <c r="T322" s="510"/>
      <c r="U322" s="510"/>
      <c r="V322" s="510"/>
      <c r="W322" s="510"/>
      <c r="X322" s="512"/>
    </row>
    <row r="323" spans="1:24" s="513" customFormat="1" x14ac:dyDescent="0.3">
      <c r="A323" s="509"/>
      <c r="B323" s="508"/>
      <c r="C323" s="508"/>
      <c r="D323" s="508"/>
      <c r="E323" s="508"/>
      <c r="F323" s="602"/>
      <c r="G323" s="508"/>
      <c r="H323" s="402"/>
      <c r="I323" s="510"/>
      <c r="J323" s="510"/>
      <c r="K323" s="510"/>
      <c r="L323" s="510"/>
      <c r="M323" s="510"/>
      <c r="N323" s="510"/>
      <c r="O323" s="510"/>
      <c r="P323" s="510"/>
      <c r="Q323" s="510"/>
      <c r="R323" s="510"/>
      <c r="S323" s="510"/>
      <c r="T323" s="510"/>
      <c r="U323" s="510"/>
      <c r="V323" s="510"/>
      <c r="W323" s="510"/>
      <c r="X323" s="512"/>
    </row>
    <row r="324" spans="1:24" s="513" customFormat="1" x14ac:dyDescent="0.3">
      <c r="A324" s="509"/>
      <c r="B324" s="508"/>
      <c r="C324" s="508"/>
      <c r="D324" s="508"/>
      <c r="E324" s="508"/>
      <c r="F324" s="508"/>
      <c r="G324" s="508"/>
      <c r="H324" s="510"/>
      <c r="I324" s="510"/>
      <c r="J324" s="510"/>
      <c r="K324" s="510"/>
      <c r="L324" s="510"/>
      <c r="M324" s="510"/>
      <c r="N324" s="510"/>
      <c r="O324" s="510"/>
      <c r="P324" s="510"/>
      <c r="Q324" s="510"/>
      <c r="R324" s="510"/>
      <c r="S324" s="510"/>
      <c r="T324" s="510"/>
      <c r="U324" s="510"/>
      <c r="V324" s="510"/>
      <c r="W324" s="510"/>
      <c r="X324" s="512"/>
    </row>
    <row r="325" spans="1:24" s="513" customFormat="1" ht="18.600000000000001" thickBot="1" x14ac:dyDescent="0.4">
      <c r="A325" s="509"/>
      <c r="B325" s="603" t="str">
        <f>B202</f>
        <v>PM12 INVESTOR REPORT QUARTER ENDING JULY 2021</v>
      </c>
      <c r="C325" s="508"/>
      <c r="D325" s="508"/>
      <c r="E325" s="508"/>
      <c r="F325" s="508"/>
      <c r="G325" s="508"/>
      <c r="H325" s="510"/>
      <c r="I325" s="510"/>
      <c r="J325" s="510"/>
      <c r="K325" s="510"/>
      <c r="L325" s="510"/>
      <c r="M325" s="510"/>
      <c r="N325" s="510"/>
      <c r="O325" s="510"/>
      <c r="P325" s="510"/>
      <c r="Q325" s="510"/>
      <c r="R325" s="510"/>
      <c r="S325" s="510"/>
      <c r="T325" s="510"/>
      <c r="U325" s="510"/>
      <c r="V325" s="510"/>
      <c r="W325" s="510"/>
      <c r="X325" s="512"/>
    </row>
    <row r="326" spans="1:24" x14ac:dyDescent="0.3">
      <c r="A326" s="492"/>
      <c r="B326" s="492"/>
      <c r="C326" s="492"/>
      <c r="D326" s="492"/>
      <c r="E326" s="492"/>
      <c r="F326" s="492"/>
      <c r="G326" s="492"/>
      <c r="H326" s="492"/>
      <c r="I326" s="492"/>
      <c r="J326" s="492"/>
      <c r="K326" s="492"/>
      <c r="L326" s="492"/>
      <c r="M326" s="492"/>
      <c r="N326" s="492"/>
      <c r="O326" s="492"/>
      <c r="P326" s="492"/>
      <c r="Q326" s="492"/>
      <c r="R326" s="492"/>
      <c r="S326" s="492"/>
      <c r="T326" s="492"/>
      <c r="U326" s="492"/>
      <c r="V326" s="492"/>
      <c r="W326" s="492"/>
    </row>
    <row r="327" spans="1:24" x14ac:dyDescent="0.3">
      <c r="B327" s="406" t="s">
        <v>384</v>
      </c>
    </row>
    <row r="328" spans="1:24" x14ac:dyDescent="0.3">
      <c r="B328" s="623" t="s">
        <v>378</v>
      </c>
    </row>
    <row r="330" spans="1:24" x14ac:dyDescent="0.3">
      <c r="B330" s="649" t="s">
        <v>385</v>
      </c>
    </row>
    <row r="331" spans="1:24" x14ac:dyDescent="0.3">
      <c r="B331" s="406" t="s">
        <v>386</v>
      </c>
    </row>
    <row r="332" spans="1:24" x14ac:dyDescent="0.3">
      <c r="B332" s="406" t="s">
        <v>387</v>
      </c>
    </row>
    <row r="333" spans="1:24" x14ac:dyDescent="0.3">
      <c r="B333" s="406" t="s">
        <v>388</v>
      </c>
    </row>
    <row r="334" spans="1:24" x14ac:dyDescent="0.3">
      <c r="B334" s="406" t="s">
        <v>389</v>
      </c>
    </row>
    <row r="335" spans="1:24" x14ac:dyDescent="0.3">
      <c r="B335" s="406" t="s">
        <v>392</v>
      </c>
    </row>
    <row r="336" spans="1:24" x14ac:dyDescent="0.3">
      <c r="B336" s="652" t="s">
        <v>390</v>
      </c>
    </row>
    <row r="337" spans="2:2" x14ac:dyDescent="0.3">
      <c r="B337" s="652" t="s">
        <v>403</v>
      </c>
    </row>
    <row r="339" spans="2:2" s="652" customFormat="1" x14ac:dyDescent="0.3">
      <c r="B339" s="654" t="s">
        <v>408</v>
      </c>
    </row>
    <row r="340" spans="2:2" s="652" customFormat="1" x14ac:dyDescent="0.3">
      <c r="B340" s="652" t="s">
        <v>415</v>
      </c>
    </row>
    <row r="341" spans="2:2" s="652" customFormat="1" x14ac:dyDescent="0.3">
      <c r="B341" s="652" t="s">
        <v>424</v>
      </c>
    </row>
    <row r="342" spans="2:2" s="652" customFormat="1" x14ac:dyDescent="0.3"/>
    <row r="343" spans="2:2" s="652" customFormat="1" x14ac:dyDescent="0.3">
      <c r="B343" s="652" t="s">
        <v>425</v>
      </c>
    </row>
    <row r="345" spans="2:2" x14ac:dyDescent="0.3">
      <c r="B345" s="649" t="s">
        <v>393</v>
      </c>
    </row>
    <row r="346" spans="2:2" x14ac:dyDescent="0.3">
      <c r="B346" s="406" t="s">
        <v>394</v>
      </c>
    </row>
    <row r="347" spans="2:2" x14ac:dyDescent="0.3">
      <c r="B347" s="406" t="s">
        <v>395</v>
      </c>
    </row>
    <row r="349" spans="2:2" x14ac:dyDescent="0.3">
      <c r="B349" s="649" t="s">
        <v>421</v>
      </c>
    </row>
    <row r="350" spans="2:2" x14ac:dyDescent="0.3">
      <c r="B350" s="406" t="s">
        <v>423</v>
      </c>
    </row>
    <row r="351" spans="2:2" x14ac:dyDescent="0.3">
      <c r="B351" s="676" t="s">
        <v>422</v>
      </c>
    </row>
  </sheetData>
  <hyperlinks>
    <hyperlink ref="I9" r:id="rId1" xr:uid="{407811AD-46B7-4CFF-A61F-EFE4AC6217D0}"/>
    <hyperlink ref="P238" r:id="rId2" xr:uid="{0C199B51-1BEF-4993-825D-100459F3B389}"/>
    <hyperlink ref="B328" r:id="rId3" xr:uid="{0055F2FE-F830-44BE-B99E-B9C7BEA30406}"/>
    <hyperlink ref="P322" r:id="rId4" xr:uid="{3D3E9307-F2E6-4EC2-A451-FD37484C9591}"/>
    <hyperlink ref="B351" r:id="rId5" display="https://investorreporting.paragonbankinggroup.co.uk/bondinvestor_viewer/resources/bondinvestor/pdf/investornews/2021/libor-mortgages-transition-july-19" xr:uid="{EE098FD1-6638-4494-8702-577E44C6D38B}"/>
  </hyperlinks>
  <printOptions horizontalCentered="1" verticalCentered="1"/>
  <pageMargins left="0.19685039370078741" right="0.19685039370078741" top="0.27559055118110237" bottom="0.27559055118110237" header="0" footer="0"/>
  <pageSetup scale="37" orientation="landscape" r:id="rId6"/>
  <headerFooter alignWithMargins="0"/>
  <rowBreaks count="3" manualBreakCount="3">
    <brk id="64" max="23" man="1"/>
    <brk id="141" max="14" man="1"/>
    <brk id="202" max="14" man="1"/>
  </rowBreaks>
  <drawing r:id="rId7"/>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DEA56-9A14-43E7-9DE6-B02B2121BEDD}">
  <sheetPr>
    <tabColor rgb="FF89CB31"/>
  </sheetPr>
  <dimension ref="A1:AA318"/>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0.6855</v>
      </c>
      <c r="T16" s="516" t="s">
        <v>145</v>
      </c>
      <c r="U16" s="515">
        <v>0.3145</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44522</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253165.88391510001</v>
      </c>
      <c r="E32" s="529"/>
      <c r="F32" s="530">
        <f>F31*F38</f>
        <v>45030.185000000005</v>
      </c>
      <c r="G32" s="530"/>
      <c r="H32" s="534">
        <f>H31*H38</f>
        <v>76085.485000000001</v>
      </c>
      <c r="I32" s="534"/>
      <c r="J32" s="533">
        <f>J31*J38</f>
        <v>96581.143299999996</v>
      </c>
      <c r="K32" s="530"/>
      <c r="L32" s="530">
        <f>L31*L38</f>
        <v>18361.204999999998</v>
      </c>
      <c r="M32" s="530"/>
      <c r="N32" s="534">
        <f>N31*N38</f>
        <v>92540.473199999993</v>
      </c>
      <c r="O32" s="530"/>
      <c r="P32" s="530">
        <f>P31*P38</f>
        <v>12485.6194</v>
      </c>
      <c r="Q32" s="530"/>
      <c r="R32" s="534">
        <f>R31*R38</f>
        <v>77851.5092</v>
      </c>
      <c r="S32" s="530"/>
      <c r="T32" s="530"/>
      <c r="U32" s="529"/>
      <c r="V32" s="530"/>
      <c r="W32" s="531"/>
      <c r="X32" s="512"/>
    </row>
    <row r="33" spans="1:25" s="513" customFormat="1" x14ac:dyDescent="0.3">
      <c r="A33" s="521"/>
      <c r="B33" s="527" t="s">
        <v>139</v>
      </c>
      <c r="C33" s="529"/>
      <c r="D33" s="619">
        <f>D34*D37</f>
        <v>246062.65362900001</v>
      </c>
      <c r="E33" s="532"/>
      <c r="F33" s="535">
        <f>F37*F31</f>
        <v>43766.771000000001</v>
      </c>
      <c r="G33" s="535"/>
      <c r="H33" s="537">
        <f>H31*H37</f>
        <v>73950.751000000004</v>
      </c>
      <c r="I33" s="537"/>
      <c r="J33" s="536">
        <f>J37*J31</f>
        <v>93871.307000000001</v>
      </c>
      <c r="K33" s="535"/>
      <c r="L33" s="535">
        <f>L37*L31</f>
        <v>17846.035</v>
      </c>
      <c r="M33" s="535"/>
      <c r="N33" s="537">
        <f>N37*N31</f>
        <v>89944.016399999993</v>
      </c>
      <c r="O33" s="535"/>
      <c r="P33" s="535">
        <f>P37*P31</f>
        <v>12135.3038</v>
      </c>
      <c r="Q33" s="535"/>
      <c r="R33" s="537">
        <f>R37*R31</f>
        <v>75667.188399999999</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253165.88391510001</v>
      </c>
      <c r="E35" s="529"/>
      <c r="F35" s="530">
        <f>F34*F38</f>
        <v>45030.185000000005</v>
      </c>
      <c r="G35" s="530"/>
      <c r="H35" s="530">
        <f>H34*H38</f>
        <v>52472.898198000003</v>
      </c>
      <c r="I35" s="530"/>
      <c r="J35" s="530">
        <f>J34*J38</f>
        <v>52489.832806600003</v>
      </c>
      <c r="K35" s="530"/>
      <c r="L35" s="530">
        <f>L34*L38</f>
        <v>18361.204999999998</v>
      </c>
      <c r="M35" s="530"/>
      <c r="N35" s="530">
        <f>N34*N38</f>
        <v>63821.345235399996</v>
      </c>
      <c r="O35" s="530"/>
      <c r="P35" s="530">
        <f>P34*P38</f>
        <v>12485.6194</v>
      </c>
      <c r="Q35" s="530"/>
      <c r="R35" s="530">
        <f>R34*R38</f>
        <v>53690.366764600003</v>
      </c>
      <c r="S35" s="530"/>
      <c r="T35" s="530"/>
      <c r="U35" s="529"/>
      <c r="V35" s="530">
        <f>SUM(C35:R35)</f>
        <v>551517.33631970012</v>
      </c>
      <c r="W35" s="531"/>
      <c r="X35" s="512"/>
    </row>
    <row r="36" spans="1:25" s="513" customFormat="1" x14ac:dyDescent="0.3">
      <c r="A36" s="525"/>
      <c r="B36" s="527" t="s">
        <v>295</v>
      </c>
      <c r="C36" s="532"/>
      <c r="D36" s="535">
        <f>D34*D37</f>
        <v>246062.65362900001</v>
      </c>
      <c r="E36" s="532"/>
      <c r="F36" s="535">
        <f>F34*F37</f>
        <v>43766.771000000001</v>
      </c>
      <c r="G36" s="535"/>
      <c r="H36" s="535">
        <f>H34*H37</f>
        <v>51000.6636468</v>
      </c>
      <c r="I36" s="535"/>
      <c r="J36" s="535">
        <f>J34*J37</f>
        <v>51017.093414000003</v>
      </c>
      <c r="K36" s="535"/>
      <c r="L36" s="535">
        <f>L34*L37</f>
        <v>17846.035</v>
      </c>
      <c r="M36" s="535"/>
      <c r="N36" s="535">
        <f>N34*N37</f>
        <v>62030.676135799993</v>
      </c>
      <c r="O36" s="535"/>
      <c r="P36" s="535">
        <f>P34*P37</f>
        <v>12135.3038</v>
      </c>
      <c r="Q36" s="535"/>
      <c r="R36" s="535">
        <f>R34*R37</f>
        <v>52183.947864199996</v>
      </c>
      <c r="S36" s="538"/>
      <c r="T36" s="538"/>
      <c r="U36" s="529"/>
      <c r="V36" s="535">
        <f>SUM(C36:R36)</f>
        <v>536043.14448979998</v>
      </c>
      <c r="W36" s="531"/>
      <c r="X36" s="512"/>
      <c r="Y36" s="621"/>
    </row>
    <row r="37" spans="1:25" x14ac:dyDescent="0.3">
      <c r="A37" s="420"/>
      <c r="B37" s="493" t="s">
        <v>135</v>
      </c>
      <c r="C37" s="494"/>
      <c r="D37" s="495">
        <v>0.30183700000000002</v>
      </c>
      <c r="E37" s="496"/>
      <c r="F37" s="495">
        <v>0.30183979999999999</v>
      </c>
      <c r="G37" s="495"/>
      <c r="H37" s="495">
        <v>0.30183979999999999</v>
      </c>
      <c r="I37" s="495"/>
      <c r="J37" s="495">
        <v>0.30183700000000002</v>
      </c>
      <c r="K37" s="495"/>
      <c r="L37" s="495">
        <v>0.71384139999999996</v>
      </c>
      <c r="M37" s="495"/>
      <c r="N37" s="495">
        <v>0.71384139999999996</v>
      </c>
      <c r="O37" s="495"/>
      <c r="P37" s="495">
        <v>0.71384139999999996</v>
      </c>
      <c r="Q37" s="495"/>
      <c r="R37" s="495">
        <v>0.71384139999999996</v>
      </c>
      <c r="S37" s="425"/>
      <c r="T37" s="425"/>
      <c r="U37" s="424"/>
      <c r="V37" s="424"/>
      <c r="W37" s="426"/>
      <c r="X37" s="405"/>
    </row>
    <row r="38" spans="1:25" x14ac:dyDescent="0.3">
      <c r="A38" s="420"/>
      <c r="B38" s="493" t="s">
        <v>136</v>
      </c>
      <c r="C38" s="494"/>
      <c r="D38" s="495">
        <v>0.3105503</v>
      </c>
      <c r="E38" s="496"/>
      <c r="F38" s="495">
        <v>0.31055300000000002</v>
      </c>
      <c r="G38" s="495"/>
      <c r="H38" s="495">
        <v>0.31055300000000002</v>
      </c>
      <c r="I38" s="495"/>
      <c r="J38" s="495">
        <v>0.3105503</v>
      </c>
      <c r="K38" s="495"/>
      <c r="L38" s="495">
        <v>0.7344482</v>
      </c>
      <c r="M38" s="495"/>
      <c r="N38" s="495">
        <v>0.7344482</v>
      </c>
      <c r="O38" s="495"/>
      <c r="P38" s="495">
        <v>0.7344482</v>
      </c>
      <c r="Q38" s="495"/>
      <c r="R38" s="495">
        <v>0.7344482</v>
      </c>
      <c r="S38" s="427"/>
      <c r="T38" s="428"/>
      <c r="U38" s="424"/>
      <c r="V38" s="427"/>
      <c r="W38" s="426"/>
      <c r="X38" s="405"/>
    </row>
    <row r="39" spans="1:25"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5" s="513" customFormat="1" x14ac:dyDescent="0.3">
      <c r="A40" s="521"/>
      <c r="B40" s="522" t="s">
        <v>12</v>
      </c>
      <c r="C40" s="522"/>
      <c r="D40" s="540">
        <v>3.1063000000000002E-3</v>
      </c>
      <c r="E40" s="522"/>
      <c r="F40" s="540">
        <v>3.1063000000000002E-3</v>
      </c>
      <c r="G40" s="539"/>
      <c r="H40" s="540">
        <v>0</v>
      </c>
      <c r="I40" s="540"/>
      <c r="J40" s="540">
        <v>3.4475E-3</v>
      </c>
      <c r="K40" s="539"/>
      <c r="L40" s="540">
        <v>5.5063000000000004E-3</v>
      </c>
      <c r="M40" s="539"/>
      <c r="N40" s="540">
        <v>0</v>
      </c>
      <c r="O40" s="539"/>
      <c r="P40" s="540">
        <v>9.9062999999999998E-3</v>
      </c>
      <c r="Q40" s="539"/>
      <c r="R40" s="540">
        <v>3.6700000000000001E-3</v>
      </c>
      <c r="S40" s="539"/>
      <c r="T40" s="540"/>
      <c r="U40" s="522"/>
      <c r="V40" s="528"/>
      <c r="W40" s="524"/>
      <c r="X40" s="512"/>
    </row>
    <row r="41" spans="1:25" s="513" customFormat="1" x14ac:dyDescent="0.3">
      <c r="A41" s="521"/>
      <c r="B41" s="522" t="s">
        <v>13</v>
      </c>
      <c r="C41" s="522"/>
      <c r="D41" s="540">
        <v>3.2588000000000001E-3</v>
      </c>
      <c r="E41" s="522"/>
      <c r="F41" s="540">
        <v>3.2588000000000001E-3</v>
      </c>
      <c r="G41" s="539"/>
      <c r="H41" s="540">
        <v>0</v>
      </c>
      <c r="I41" s="540"/>
      <c r="J41" s="540">
        <v>3.7588000000000001E-3</v>
      </c>
      <c r="K41" s="539"/>
      <c r="L41" s="540">
        <v>5.6588000000000003E-3</v>
      </c>
      <c r="M41" s="539"/>
      <c r="N41" s="540">
        <v>0</v>
      </c>
      <c r="O41" s="539"/>
      <c r="P41" s="540">
        <v>1.00588E-2</v>
      </c>
      <c r="Q41" s="539"/>
      <c r="R41" s="540">
        <v>3.79E-3</v>
      </c>
      <c r="S41" s="539"/>
      <c r="T41" s="540"/>
      <c r="U41" s="522"/>
      <c r="V41" s="539" t="s">
        <v>199</v>
      </c>
      <c r="W41" s="524"/>
      <c r="X41" s="512"/>
    </row>
    <row r="42" spans="1:25" s="513" customFormat="1" x14ac:dyDescent="0.3">
      <c r="A42" s="521"/>
      <c r="B42" s="522" t="s">
        <v>296</v>
      </c>
      <c r="C42" s="522"/>
      <c r="D42" s="528" t="s">
        <v>237</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5" s="513" customFormat="1" x14ac:dyDescent="0.3">
      <c r="A43" s="521"/>
      <c r="B43" s="522" t="s">
        <v>297</v>
      </c>
      <c r="C43" s="541"/>
      <c r="D43" s="540">
        <f>+D40</f>
        <v>3.1063000000000002E-3</v>
      </c>
      <c r="E43" s="540"/>
      <c r="F43" s="540">
        <f>+F40</f>
        <v>3.1063000000000002E-3</v>
      </c>
      <c r="G43" s="540"/>
      <c r="H43" s="540">
        <v>3.0282999999999998E-3</v>
      </c>
      <c r="I43" s="540"/>
      <c r="J43" s="540">
        <v>3.2702999999999999E-3</v>
      </c>
      <c r="K43" s="540"/>
      <c r="L43" s="540">
        <f>+L40</f>
        <v>5.5063000000000004E-3</v>
      </c>
      <c r="M43" s="540"/>
      <c r="N43" s="540">
        <v>5.7083000000000004E-3</v>
      </c>
      <c r="O43" s="540"/>
      <c r="P43" s="540">
        <f>+P40</f>
        <v>9.9062999999999998E-3</v>
      </c>
      <c r="Q43" s="539"/>
      <c r="R43" s="540">
        <v>1.03783E-2</v>
      </c>
      <c r="S43" s="528"/>
      <c r="T43" s="528"/>
      <c r="U43" s="522"/>
      <c r="V43" s="539">
        <f>SUMPRODUCT(D43:R43,D35:R35)/V35</f>
        <v>4.3573650027065591E-3</v>
      </c>
      <c r="W43" s="524"/>
      <c r="X43" s="512"/>
    </row>
    <row r="44" spans="1:25" s="513" customFormat="1" x14ac:dyDescent="0.3">
      <c r="A44" s="521"/>
      <c r="B44" s="522" t="s">
        <v>298</v>
      </c>
      <c r="C44" s="541"/>
      <c r="D44" s="540">
        <v>3.2588000000000001E-3</v>
      </c>
      <c r="E44" s="540"/>
      <c r="F44" s="540">
        <v>3.2588000000000001E-3</v>
      </c>
      <c r="G44" s="540"/>
      <c r="H44" s="540">
        <v>3.1808000000000001E-3</v>
      </c>
      <c r="I44" s="540"/>
      <c r="J44" s="540">
        <v>3.4228000000000001E-3</v>
      </c>
      <c r="K44" s="540"/>
      <c r="L44" s="540">
        <v>5.6588000000000003E-3</v>
      </c>
      <c r="M44" s="540"/>
      <c r="N44" s="540">
        <v>5.8608000000000002E-3</v>
      </c>
      <c r="O44" s="540"/>
      <c r="P44" s="540">
        <v>1.00588E-2</v>
      </c>
      <c r="Q44" s="539"/>
      <c r="R44" s="540">
        <v>1.05308E-2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5" s="513" customFormat="1" x14ac:dyDescent="0.3">
      <c r="A48" s="521"/>
      <c r="B48" s="522" t="s">
        <v>299</v>
      </c>
      <c r="C48" s="522"/>
      <c r="D48" s="528" t="s">
        <v>237</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40"/>
      <c r="E50" s="540"/>
      <c r="F50" s="540"/>
      <c r="G50" s="540"/>
      <c r="H50" s="540"/>
      <c r="I50" s="540"/>
      <c r="J50" s="540"/>
      <c r="K50" s="540"/>
      <c r="L50" s="540"/>
      <c r="M50" s="540"/>
      <c r="N50" s="540"/>
      <c r="O50" s="540"/>
      <c r="P50" s="540"/>
      <c r="Q50" s="540"/>
      <c r="R50" s="540"/>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0.36799030218405543</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44515</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91</v>
      </c>
      <c r="S57" s="522"/>
      <c r="T57" s="549">
        <v>44333</v>
      </c>
      <c r="U57" s="550"/>
      <c r="V57" s="549">
        <v>44423</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91</v>
      </c>
      <c r="S58" s="522"/>
      <c r="T58" s="549">
        <v>44424</v>
      </c>
      <c r="U58" s="550"/>
      <c r="V58" s="549">
        <v>44514</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44501</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426</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551517</v>
      </c>
      <c r="O68" s="562"/>
      <c r="P68" s="562">
        <v>15474</v>
      </c>
      <c r="Q68" s="562"/>
      <c r="R68" s="562">
        <v>0</v>
      </c>
      <c r="S68" s="562"/>
      <c r="T68" s="562">
        <v>0</v>
      </c>
      <c r="U68" s="562"/>
      <c r="V68" s="563">
        <f>+N68-P68+R68-T68</f>
        <v>536043</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551517</v>
      </c>
      <c r="O71" s="562"/>
      <c r="P71" s="562">
        <f>SUM(P68:P70)</f>
        <v>15474</v>
      </c>
      <c r="Q71" s="562"/>
      <c r="R71" s="562">
        <f>SUM(R68:R70)</f>
        <v>0</v>
      </c>
      <c r="S71" s="562"/>
      <c r="T71" s="562">
        <f>SUM(T68:T70)</f>
        <v>0</v>
      </c>
      <c r="U71" s="562"/>
      <c r="V71" s="562">
        <f>SUM(V68:V70)</f>
        <v>536043</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551517</v>
      </c>
      <c r="O84" s="562"/>
      <c r="P84" s="562"/>
      <c r="Q84" s="562"/>
      <c r="R84" s="562"/>
      <c r="S84" s="562"/>
      <c r="T84" s="562"/>
      <c r="U84" s="562"/>
      <c r="V84" s="562">
        <f>SUM(V71:V83)</f>
        <v>536043</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44498</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15474-56</f>
        <v>15418</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2481+1238-718-426</f>
        <v>2575</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104+36</f>
        <v>140</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4</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239</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15418</v>
      </c>
      <c r="U96" s="522"/>
      <c r="V96" s="562">
        <f>SUM(V88:V95)</f>
        <v>2958</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15418</v>
      </c>
      <c r="U100" s="522"/>
      <c r="V100" s="562">
        <f>V96+V98+V97+V99</f>
        <v>2958</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-212-63-7</f>
        <v>-282</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v>-278</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-35</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-91</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-25</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-139</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-31</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-11</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56</v>
      </c>
      <c r="U114" s="522"/>
      <c r="V114" s="563">
        <v>-56</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-212</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-208</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-239</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-18</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-1328</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-7103</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-1263</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-1472</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-1473</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-515</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-1791</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-350</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-1507</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-15474</v>
      </c>
      <c r="U137" s="562"/>
      <c r="V137" s="562">
        <f>SUM(V102:V134)</f>
        <v>-2958</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OCTOBER 2021</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56</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56</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-56</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536043</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536043</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+'July 21'!S188</f>
        <v>57078</v>
      </c>
      <c r="T186" s="563">
        <f>+'July 21'!T188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8.5431309904153352</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2.04</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20.353448275862068</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7.98</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13.205882352941176</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7.2</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OCTOBER 2021</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44498</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1.7950000000000001E-2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4.3573650027065591E-3</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1.3592634997293442E-2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5.3633886172139754E-3</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7.37</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2.8057158709523005E-2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6.83E-2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0</v>
      </c>
      <c r="T221" s="577">
        <v>0</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65</v>
      </c>
      <c r="T222" s="579">
        <f>+T274</f>
        <v>10375</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+R296</f>
        <v>0</v>
      </c>
      <c r="T223" s="579">
        <f>+T296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56</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'July 21'!T228+'Oct 21'!T227</f>
        <v>8905</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3</v>
      </c>
      <c r="T234" s="579">
        <v>294</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0</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4071</v>
      </c>
      <c r="S241" s="588">
        <f t="shared" ref="S241:S248" si="2">R241/$R$250</f>
        <v>0.9943820224719101</v>
      </c>
      <c r="T241" s="589">
        <f t="shared" ref="T241:T248" si="3">+T253+T265+T287</f>
        <v>531937</v>
      </c>
      <c r="U241" s="588">
        <f t="shared" ref="U241:U248" si="4">T241/$T$250</f>
        <v>0.99234016674035475</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1</v>
      </c>
      <c r="S242" s="593">
        <f t="shared" si="2"/>
        <v>2.4425989252564728E-4</v>
      </c>
      <c r="T242" s="563">
        <f t="shared" si="3"/>
        <v>292</v>
      </c>
      <c r="U242" s="593">
        <f t="shared" si="4"/>
        <v>5.4473241885445755E-4</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14</v>
      </c>
      <c r="S243" s="593">
        <f t="shared" si="2"/>
        <v>3.4196384953590619E-3</v>
      </c>
      <c r="T243" s="563">
        <f t="shared" si="3"/>
        <v>2711</v>
      </c>
      <c r="U243" s="593">
        <f t="shared" si="4"/>
        <v>5.0574300942275155E-3</v>
      </c>
      <c r="V243" s="582"/>
      <c r="W243" s="583"/>
      <c r="X243" s="512"/>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1</v>
      </c>
      <c r="S244" s="593">
        <f t="shared" si="2"/>
        <v>2.4425989252564728E-4</v>
      </c>
      <c r="T244" s="563">
        <f t="shared" si="3"/>
        <v>73</v>
      </c>
      <c r="U244" s="593">
        <f t="shared" si="4"/>
        <v>1.3618310471361439E-4</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0</v>
      </c>
      <c r="S245" s="593">
        <f t="shared" si="2"/>
        <v>0</v>
      </c>
      <c r="T245" s="563">
        <f t="shared" si="3"/>
        <v>0</v>
      </c>
      <c r="U245" s="593">
        <f t="shared" si="4"/>
        <v>0</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1</v>
      </c>
      <c r="S246" s="593">
        <f t="shared" si="2"/>
        <v>2.4425989252564728E-4</v>
      </c>
      <c r="T246" s="563">
        <f t="shared" si="3"/>
        <v>64</v>
      </c>
      <c r="U246" s="593">
        <f t="shared" si="4"/>
        <v>1.1939340687220987E-4</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4</v>
      </c>
      <c r="S247" s="593">
        <f t="shared" si="2"/>
        <v>9.7703957010258913E-4</v>
      </c>
      <c r="T247" s="563">
        <f t="shared" si="3"/>
        <v>637</v>
      </c>
      <c r="U247" s="593">
        <f t="shared" si="4"/>
        <v>1.1883375027749641E-3</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2</v>
      </c>
      <c r="S248" s="593">
        <f t="shared" si="2"/>
        <v>4.8851978505129456E-4</v>
      </c>
      <c r="T248" s="563">
        <f t="shared" si="3"/>
        <v>329</v>
      </c>
      <c r="U248" s="593">
        <f t="shared" si="4"/>
        <v>6.1375673220245386E-4</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4094</v>
      </c>
      <c r="S250" s="593">
        <f>SUM(S241:S249)</f>
        <v>1</v>
      </c>
      <c r="T250" s="563">
        <f>SUM(T241:T249)</f>
        <v>536043</v>
      </c>
      <c r="U250" s="593">
        <f>SUM(U241:U249)</f>
        <v>0.99999999999999989</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4011</v>
      </c>
      <c r="S253" s="595">
        <f t="shared" ref="S253:S260" si="5">R253/$R$262</f>
        <v>0.99553239017125839</v>
      </c>
      <c r="T253" s="596">
        <v>522076</v>
      </c>
      <c r="U253" s="595">
        <f t="shared" ref="U253:U260" si="6">T253/$T$262</f>
        <v>0.99316678968474403</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1</v>
      </c>
      <c r="S254" s="593">
        <f t="shared" si="5"/>
        <v>2.4820054604120131E-4</v>
      </c>
      <c r="T254" s="563">
        <v>292</v>
      </c>
      <c r="U254" s="593">
        <f t="shared" si="6"/>
        <v>5.5548368932482103E-4</v>
      </c>
      <c r="V254" s="582"/>
      <c r="W254" s="583"/>
      <c r="X254" s="512"/>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13</v>
      </c>
      <c r="S255" s="593">
        <f t="shared" si="5"/>
        <v>3.226607098535617E-3</v>
      </c>
      <c r="T255" s="563">
        <v>2634</v>
      </c>
      <c r="U255" s="593">
        <f t="shared" si="6"/>
        <v>5.0107672523341728E-3</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1</v>
      </c>
      <c r="S256" s="593">
        <f t="shared" si="5"/>
        <v>2.4820054604120131E-4</v>
      </c>
      <c r="T256" s="563">
        <v>73</v>
      </c>
      <c r="U256" s="593">
        <f t="shared" si="6"/>
        <v>1.3887092233120526E-4</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0</v>
      </c>
      <c r="S257" s="593">
        <f t="shared" si="5"/>
        <v>0</v>
      </c>
      <c r="T257" s="563">
        <v>0</v>
      </c>
      <c r="U257" s="593">
        <f t="shared" si="6"/>
        <v>0</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0</v>
      </c>
      <c r="S258" s="593">
        <f t="shared" si="5"/>
        <v>0</v>
      </c>
      <c r="T258" s="563">
        <v>0</v>
      </c>
      <c r="U258" s="593">
        <f t="shared" si="6"/>
        <v>0</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2</v>
      </c>
      <c r="S259" s="593">
        <f t="shared" si="5"/>
        <v>4.9640109208240262E-4</v>
      </c>
      <c r="T259" s="563">
        <v>491</v>
      </c>
      <c r="U259" s="593">
        <f t="shared" si="6"/>
        <v>9.3404962828249011E-4</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1</v>
      </c>
      <c r="S260" s="593">
        <f t="shared" si="5"/>
        <v>2.4820054604120131E-4</v>
      </c>
      <c r="T260" s="563">
        <v>102</v>
      </c>
      <c r="U260" s="593">
        <f t="shared" si="6"/>
        <v>1.9403882298332789E-4</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4029</v>
      </c>
      <c r="S262" s="593">
        <f>SUM(S253:S261)</f>
        <v>1</v>
      </c>
      <c r="T262" s="563">
        <f>SUM(T253:T261)</f>
        <v>525668</v>
      </c>
      <c r="U262" s="593">
        <f>SUM(U253:U261)</f>
        <v>1</v>
      </c>
      <c r="V262" s="522"/>
      <c r="W262" s="524"/>
      <c r="X262" s="512"/>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60</v>
      </c>
      <c r="S265" s="595">
        <f t="shared" ref="S265:S272" si="7">R265/$R$274</f>
        <v>0.92307692307692313</v>
      </c>
      <c r="T265" s="596">
        <v>9861</v>
      </c>
      <c r="U265" s="595">
        <f t="shared" ref="U265:U272" si="8">T265/$T$274</f>
        <v>0.95045783132530115</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1</v>
      </c>
      <c r="S267" s="593">
        <f t="shared" si="7"/>
        <v>1.5384615384615385E-2</v>
      </c>
      <c r="T267" s="563">
        <v>77</v>
      </c>
      <c r="U267" s="593">
        <f t="shared" si="8"/>
        <v>7.4216867469879518E-3</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0</v>
      </c>
      <c r="S268" s="593">
        <f t="shared" si="7"/>
        <v>0</v>
      </c>
      <c r="T268" s="563">
        <v>0</v>
      </c>
      <c r="U268" s="593">
        <f t="shared" si="8"/>
        <v>0</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0</v>
      </c>
      <c r="S269" s="593">
        <f t="shared" si="7"/>
        <v>0</v>
      </c>
      <c r="T269" s="563">
        <v>0</v>
      </c>
      <c r="U269" s="593">
        <f t="shared" si="8"/>
        <v>0</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1</v>
      </c>
      <c r="S270" s="593">
        <f t="shared" si="7"/>
        <v>1.5384615384615385E-2</v>
      </c>
      <c r="T270" s="563">
        <v>64</v>
      </c>
      <c r="U270" s="593">
        <f t="shared" si="8"/>
        <v>6.1686746987951804E-3</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2</v>
      </c>
      <c r="S271" s="593">
        <f t="shared" si="7"/>
        <v>3.0769230769230771E-2</v>
      </c>
      <c r="T271" s="563">
        <v>146</v>
      </c>
      <c r="U271" s="593">
        <f t="shared" si="8"/>
        <v>1.4072289156626507E-2</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1</v>
      </c>
      <c r="S272" s="593">
        <f t="shared" si="7"/>
        <v>1.5384615384615385E-2</v>
      </c>
      <c r="T272" s="563">
        <v>227</v>
      </c>
      <c r="U272" s="593">
        <f t="shared" si="8"/>
        <v>2.1879518072289158E-2</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65</v>
      </c>
      <c r="S274" s="593">
        <f>SUM(S265:S273)</f>
        <v>1</v>
      </c>
      <c r="T274" s="563">
        <f>SUM(T265:T273)</f>
        <v>10375</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61</v>
      </c>
      <c r="S277" s="593">
        <f>R277/R284</f>
        <v>0.93846153846153846</v>
      </c>
      <c r="T277" s="563">
        <v>9970</v>
      </c>
      <c r="U277" s="593">
        <f>T277/T284</f>
        <v>0.96096385542168672</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1</v>
      </c>
      <c r="S278" s="593">
        <f>R278/R284</f>
        <v>1.5384615384615385E-2</v>
      </c>
      <c r="T278" s="563">
        <v>73</v>
      </c>
      <c r="U278" s="593">
        <f>T278/T284</f>
        <v>7.0361445783132534E-3</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0</v>
      </c>
      <c r="S279" s="593">
        <f>R279/R284</f>
        <v>0</v>
      </c>
      <c r="T279" s="563">
        <v>0</v>
      </c>
      <c r="U279" s="593">
        <f>T279/T284</f>
        <v>0</v>
      </c>
      <c r="V279" s="522"/>
      <c r="W279" s="524"/>
      <c r="X279" s="512"/>
    </row>
    <row r="280" spans="1:24" s="513" customFormat="1" x14ac:dyDescent="0.3">
      <c r="A280" s="521"/>
      <c r="B280" s="522" t="s">
        <v>413</v>
      </c>
      <c r="C280" s="522"/>
      <c r="D280" s="522"/>
      <c r="E280" s="522"/>
      <c r="F280" s="522"/>
      <c r="G280" s="522"/>
      <c r="H280" s="594"/>
      <c r="I280" s="594"/>
      <c r="J280" s="594"/>
      <c r="K280" s="594"/>
      <c r="L280" s="594"/>
      <c r="M280" s="594"/>
      <c r="N280" s="594"/>
      <c r="O280" s="594"/>
      <c r="P280" s="594"/>
      <c r="Q280" s="594"/>
      <c r="R280" s="562">
        <v>1</v>
      </c>
      <c r="S280" s="593">
        <f>R280/R284</f>
        <v>1.5384615384615385E-2</v>
      </c>
      <c r="T280" s="563">
        <v>175</v>
      </c>
      <c r="U280" s="593">
        <f>T280/T284</f>
        <v>1.6867469879518072E-2</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1</v>
      </c>
      <c r="S281" s="593">
        <f>R281/R284</f>
        <v>1.5384615384615385E-2</v>
      </c>
      <c r="T281" s="563">
        <v>80</v>
      </c>
      <c r="U281" s="593">
        <f>T281/T284</f>
        <v>7.7108433734939755E-3</v>
      </c>
      <c r="V281" s="522"/>
      <c r="W281" s="524"/>
      <c r="X281" s="512"/>
    </row>
    <row r="282" spans="1:24" s="513" customFormat="1" x14ac:dyDescent="0.3">
      <c r="A282" s="521"/>
      <c r="B282" s="424" t="s">
        <v>402</v>
      </c>
      <c r="C282" s="522"/>
      <c r="D282" s="522"/>
      <c r="E282" s="522"/>
      <c r="F282" s="522"/>
      <c r="G282" s="522"/>
      <c r="H282" s="594"/>
      <c r="I282" s="594"/>
      <c r="J282" s="594"/>
      <c r="K282" s="594"/>
      <c r="L282" s="594"/>
      <c r="M282" s="594"/>
      <c r="N282" s="594"/>
      <c r="O282" s="594"/>
      <c r="P282" s="594"/>
      <c r="Q282" s="594"/>
      <c r="R282" s="562">
        <v>1</v>
      </c>
      <c r="S282" s="593">
        <f>R282/R284</f>
        <v>1.5384615384615385E-2</v>
      </c>
      <c r="T282" s="563">
        <v>77</v>
      </c>
      <c r="U282" s="593">
        <f>T282/T284</f>
        <v>7.4216867469879518E-3</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65</v>
      </c>
      <c r="S284" s="593">
        <f>SUM(S277:S282)</f>
        <v>0.99999999999999978</v>
      </c>
      <c r="T284" s="563">
        <f>SUM(T277:T282)</f>
        <v>10375</v>
      </c>
      <c r="U284" s="593">
        <f>SUM(U277:U283)</f>
        <v>0.99999999999999989</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0</v>
      </c>
      <c r="S296" s="593">
        <f>SUM(S287:S295)</f>
        <v>0</v>
      </c>
      <c r="T296" s="563">
        <f>SUM(T287:T294)</f>
        <v>0</v>
      </c>
      <c r="U296" s="593">
        <f>SUM(U287:U295)</f>
        <v>0</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4094</v>
      </c>
      <c r="S298" s="593"/>
      <c r="T298" s="599">
        <f>+T296+T274+T262</f>
        <v>536043</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509"/>
      <c r="B300" s="510"/>
      <c r="C300" s="510"/>
      <c r="D300" s="510"/>
      <c r="E300" s="510"/>
      <c r="F300" s="510"/>
      <c r="G300" s="510"/>
      <c r="H300" s="600"/>
      <c r="I300" s="600"/>
      <c r="J300" s="600"/>
      <c r="K300" s="600"/>
      <c r="L300" s="600"/>
      <c r="M300" s="600"/>
      <c r="N300" s="600"/>
      <c r="O300" s="600"/>
      <c r="P300" s="600"/>
      <c r="Q300" s="600"/>
      <c r="R300" s="600"/>
      <c r="S300" s="600"/>
      <c r="T300" s="601"/>
      <c r="U300" s="600"/>
      <c r="V300" s="510"/>
      <c r="W300" s="510"/>
      <c r="X300" s="512"/>
    </row>
    <row r="301" spans="1:24" s="513" customFormat="1" x14ac:dyDescent="0.3">
      <c r="A301" s="509"/>
      <c r="B301" s="508" t="s">
        <v>93</v>
      </c>
      <c r="C301" s="510"/>
      <c r="D301" s="510"/>
      <c r="E301" s="510"/>
      <c r="F301" s="516" t="s">
        <v>99</v>
      </c>
      <c r="G301" s="510"/>
      <c r="H301" s="508" t="s">
        <v>101</v>
      </c>
      <c r="I301" s="510"/>
      <c r="J301" s="510"/>
      <c r="K301" s="510"/>
      <c r="L301" s="510"/>
      <c r="M301" s="510"/>
      <c r="N301" s="510"/>
      <c r="O301" s="510"/>
      <c r="P301" s="510"/>
      <c r="Q301" s="510"/>
      <c r="R301" s="510"/>
      <c r="S301" s="510"/>
      <c r="T301" s="510"/>
      <c r="U301" s="510"/>
      <c r="V301" s="510"/>
      <c r="W301" s="510"/>
      <c r="X301" s="512"/>
    </row>
    <row r="302" spans="1:24" s="513" customFormat="1" x14ac:dyDescent="0.3">
      <c r="A302" s="509"/>
      <c r="B302" s="508" t="s">
        <v>327</v>
      </c>
      <c r="C302" s="508"/>
      <c r="D302" s="508"/>
      <c r="E302" s="508"/>
      <c r="F302" s="602" t="s">
        <v>278</v>
      </c>
      <c r="G302" s="508"/>
      <c r="H302" s="402" t="s">
        <v>350</v>
      </c>
      <c r="I302" s="510"/>
      <c r="J302" s="510"/>
      <c r="K302" s="510"/>
      <c r="L302" s="510"/>
      <c r="M302" s="510"/>
      <c r="N302" s="510"/>
      <c r="O302" s="510"/>
      <c r="P302" s="510"/>
      <c r="Q302" s="510"/>
      <c r="R302" s="510"/>
      <c r="S302" s="510"/>
      <c r="T302" s="510"/>
      <c r="U302" s="510"/>
      <c r="V302" s="510"/>
      <c r="W302" s="510"/>
      <c r="X302" s="512"/>
    </row>
    <row r="303" spans="1:24" s="513" customFormat="1" x14ac:dyDescent="0.3">
      <c r="A303" s="509"/>
      <c r="B303" s="508" t="s">
        <v>328</v>
      </c>
      <c r="C303" s="508"/>
      <c r="D303" s="508"/>
      <c r="E303" s="508"/>
      <c r="F303" s="602" t="s">
        <v>152</v>
      </c>
      <c r="G303" s="508"/>
      <c r="H303" s="402" t="s">
        <v>351</v>
      </c>
      <c r="I303" s="510"/>
      <c r="J303" s="510"/>
      <c r="K303" s="510"/>
      <c r="L303" s="510"/>
      <c r="M303" s="510"/>
      <c r="N303" s="510"/>
      <c r="O303" s="510"/>
      <c r="P303" s="510"/>
      <c r="Q303" s="510"/>
      <c r="R303" s="510"/>
      <c r="S303" s="510"/>
      <c r="T303" s="510"/>
      <c r="U303" s="510"/>
      <c r="V303" s="510"/>
      <c r="W303" s="510"/>
      <c r="X303" s="512"/>
    </row>
    <row r="304" spans="1:24" s="513" customFormat="1" x14ac:dyDescent="0.3">
      <c r="A304" s="509"/>
      <c r="B304" s="508"/>
      <c r="C304" s="508"/>
      <c r="D304" s="508"/>
      <c r="E304" s="508"/>
      <c r="F304" s="602"/>
      <c r="G304" s="508"/>
      <c r="H304" s="402"/>
      <c r="I304" s="510"/>
      <c r="J304" s="510"/>
      <c r="K304" s="510"/>
      <c r="L304" s="510"/>
      <c r="M304" s="510"/>
      <c r="N304" s="510"/>
      <c r="O304" s="510"/>
      <c r="P304" s="510"/>
      <c r="Q304" s="510"/>
      <c r="R304" s="510"/>
      <c r="S304" s="510"/>
      <c r="T304" s="510"/>
      <c r="U304" s="510"/>
      <c r="V304" s="510"/>
      <c r="W304" s="510"/>
      <c r="X304" s="512"/>
    </row>
    <row r="305" spans="1:24" s="513" customFormat="1" ht="18" x14ac:dyDescent="0.35">
      <c r="A305" s="509"/>
      <c r="B305" s="647" t="s">
        <v>174</v>
      </c>
      <c r="C305" s="508"/>
      <c r="D305" s="508"/>
      <c r="E305" s="508"/>
      <c r="F305" s="602"/>
      <c r="G305" s="508"/>
      <c r="H305" s="402"/>
      <c r="I305" s="510"/>
      <c r="J305" s="510"/>
      <c r="K305" s="510"/>
      <c r="L305" s="552"/>
      <c r="M305" s="552"/>
      <c r="N305" s="552"/>
      <c r="O305" s="552"/>
      <c r="P305" s="648" t="s">
        <v>349</v>
      </c>
      <c r="Q305" s="552"/>
      <c r="R305" s="552"/>
      <c r="S305" s="552"/>
      <c r="T305" s="510"/>
      <c r="U305" s="510"/>
      <c r="V305" s="510"/>
      <c r="W305" s="510"/>
      <c r="X305" s="512"/>
    </row>
    <row r="306" spans="1:24" s="513" customFormat="1" x14ac:dyDescent="0.3">
      <c r="A306" s="509"/>
      <c r="B306" s="508"/>
      <c r="C306" s="508"/>
      <c r="D306" s="508"/>
      <c r="E306" s="508"/>
      <c r="F306" s="508"/>
      <c r="G306" s="508"/>
      <c r="H306" s="510"/>
      <c r="I306" s="510"/>
      <c r="J306" s="510"/>
      <c r="K306" s="510"/>
      <c r="L306" s="510"/>
      <c r="M306" s="510"/>
      <c r="N306" s="510"/>
      <c r="O306" s="510"/>
      <c r="P306" s="510"/>
      <c r="Q306" s="510"/>
      <c r="R306" s="510"/>
      <c r="S306" s="510"/>
      <c r="T306" s="510"/>
      <c r="U306" s="510"/>
      <c r="V306" s="510"/>
      <c r="W306" s="510"/>
      <c r="X306" s="512"/>
    </row>
    <row r="307" spans="1:24" s="513" customFormat="1" ht="18.600000000000001" thickBot="1" x14ac:dyDescent="0.4">
      <c r="A307" s="509"/>
      <c r="B307" s="603" t="str">
        <f>B202</f>
        <v>PM12 INVESTOR REPORT QUARTER ENDING OCTOBER 2021</v>
      </c>
      <c r="C307" s="508"/>
      <c r="D307" s="508"/>
      <c r="E307" s="508"/>
      <c r="F307" s="508"/>
      <c r="G307" s="508"/>
      <c r="H307" s="510"/>
      <c r="I307" s="510"/>
      <c r="J307" s="510"/>
      <c r="K307" s="510"/>
      <c r="L307" s="510"/>
      <c r="M307" s="510"/>
      <c r="N307" s="510"/>
      <c r="O307" s="510"/>
      <c r="P307" s="510"/>
      <c r="Q307" s="510"/>
      <c r="R307" s="510"/>
      <c r="S307" s="510"/>
      <c r="T307" s="510"/>
      <c r="U307" s="510"/>
      <c r="V307" s="510"/>
      <c r="W307" s="510"/>
      <c r="X307" s="512"/>
    </row>
    <row r="308" spans="1:24" x14ac:dyDescent="0.3">
      <c r="A308" s="492"/>
      <c r="B308" s="492"/>
      <c r="C308" s="492"/>
      <c r="D308" s="492"/>
      <c r="E308" s="492"/>
      <c r="F308" s="492"/>
      <c r="G308" s="492"/>
      <c r="H308" s="492"/>
      <c r="I308" s="492"/>
      <c r="J308" s="492"/>
      <c r="K308" s="492"/>
      <c r="L308" s="492"/>
      <c r="M308" s="492"/>
      <c r="N308" s="492"/>
      <c r="O308" s="492"/>
      <c r="P308" s="492"/>
      <c r="Q308" s="492"/>
      <c r="R308" s="492"/>
      <c r="S308" s="492"/>
      <c r="T308" s="492"/>
      <c r="U308" s="492"/>
      <c r="V308" s="492"/>
      <c r="W308" s="492"/>
    </row>
    <row r="309" spans="1:24" x14ac:dyDescent="0.3">
      <c r="B309" s="406" t="s">
        <v>384</v>
      </c>
    </row>
    <row r="310" spans="1:24" x14ac:dyDescent="0.3">
      <c r="B310" s="623" t="s">
        <v>378</v>
      </c>
    </row>
    <row r="312" spans="1:24" x14ac:dyDescent="0.3">
      <c r="B312" s="649" t="s">
        <v>393</v>
      </c>
    </row>
    <row r="313" spans="1:24" x14ac:dyDescent="0.3">
      <c r="B313" s="406" t="s">
        <v>394</v>
      </c>
    </row>
    <row r="314" spans="1:24" x14ac:dyDescent="0.3">
      <c r="B314" s="406" t="s">
        <v>395</v>
      </c>
    </row>
    <row r="316" spans="1:24" x14ac:dyDescent="0.3">
      <c r="B316" s="649" t="s">
        <v>421</v>
      </c>
    </row>
    <row r="317" spans="1:24" x14ac:dyDescent="0.3">
      <c r="B317" s="406" t="s">
        <v>423</v>
      </c>
    </row>
    <row r="318" spans="1:24" x14ac:dyDescent="0.3">
      <c r="B318" s="676" t="s">
        <v>422</v>
      </c>
    </row>
  </sheetData>
  <hyperlinks>
    <hyperlink ref="I9" r:id="rId1" xr:uid="{5FDE0A1F-A1B8-4B45-B963-3A97B8D37B91}"/>
    <hyperlink ref="P238" r:id="rId2" xr:uid="{4C1BA9D5-712D-4451-9B57-F7CADF32A671}"/>
    <hyperlink ref="B310" r:id="rId3" xr:uid="{58C9D244-8872-455F-86C4-5005B3DCA26B}"/>
    <hyperlink ref="P305" r:id="rId4" xr:uid="{C678CB42-32E7-42DC-9137-84BB11C0D9BB}"/>
    <hyperlink ref="B318" r:id="rId5" display="https://investorreporting.paragonbankinggroup.co.uk/bondinvestor_viewer/resources/bondinvestor/pdf/investornews/2021/libor-mortgages-transition-july-19" xr:uid="{203399DE-54AF-4FFE-A09A-4FCE2CF6F561}"/>
  </hyperlinks>
  <printOptions horizontalCentered="1" verticalCentered="1"/>
  <pageMargins left="0.19685039370078741" right="0.19685039370078741" top="0.27559055118110237" bottom="0.27559055118110237" header="0" footer="0"/>
  <pageSetup scale="37" orientation="landscape" r:id="rId6"/>
  <headerFooter alignWithMargins="0"/>
  <rowBreaks count="3" manualBreakCount="3">
    <brk id="64" max="23" man="1"/>
    <brk id="141" max="14" man="1"/>
    <brk id="202" max="14" man="1"/>
  </rowBreaks>
  <drawing r:id="rId7"/>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A9EA7-D764-4850-9392-7C81C67F8737}">
  <sheetPr>
    <tabColor rgb="FF2D2926"/>
  </sheetPr>
  <dimension ref="A1:AA322"/>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0.68640000000000001</v>
      </c>
      <c r="T16" s="516" t="s">
        <v>145</v>
      </c>
      <c r="U16" s="515">
        <v>0.31359999999999999</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44610</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246062.65362900001</v>
      </c>
      <c r="E32" s="529"/>
      <c r="F32" s="530">
        <f>F31*F38</f>
        <v>43766.771000000001</v>
      </c>
      <c r="G32" s="530"/>
      <c r="H32" s="534">
        <f>H31*H38</f>
        <v>73950.751000000004</v>
      </c>
      <c r="I32" s="534"/>
      <c r="J32" s="533">
        <f>J31*J38</f>
        <v>93871.307000000001</v>
      </c>
      <c r="K32" s="530"/>
      <c r="L32" s="530">
        <f>L31*L38</f>
        <v>17846.035</v>
      </c>
      <c r="M32" s="530"/>
      <c r="N32" s="534">
        <f>N31*N38</f>
        <v>89944.016399999993</v>
      </c>
      <c r="O32" s="530"/>
      <c r="P32" s="530">
        <f>P31*P38</f>
        <v>12135.3038</v>
      </c>
      <c r="Q32" s="530"/>
      <c r="R32" s="534">
        <f>R31*R38</f>
        <v>75667.188399999999</v>
      </c>
      <c r="S32" s="530"/>
      <c r="T32" s="530"/>
      <c r="U32" s="529"/>
      <c r="V32" s="530"/>
      <c r="W32" s="531"/>
      <c r="X32" s="512"/>
    </row>
    <row r="33" spans="1:25" s="513" customFormat="1" x14ac:dyDescent="0.3">
      <c r="A33" s="521"/>
      <c r="B33" s="527" t="s">
        <v>139</v>
      </c>
      <c r="C33" s="529"/>
      <c r="D33" s="619">
        <f>D34*D37</f>
        <v>239848.90661159999</v>
      </c>
      <c r="E33" s="532"/>
      <c r="F33" s="535">
        <f>F37*F31</f>
        <v>42661.552000000003</v>
      </c>
      <c r="G33" s="535"/>
      <c r="H33" s="537">
        <f>H31*H37</f>
        <v>72083.312000000005</v>
      </c>
      <c r="I33" s="537"/>
      <c r="J33" s="536">
        <f>J37*J31</f>
        <v>91500.802800000005</v>
      </c>
      <c r="K33" s="535"/>
      <c r="L33" s="535">
        <f>L37*L31</f>
        <v>17395.379999999997</v>
      </c>
      <c r="M33" s="535"/>
      <c r="N33" s="537">
        <f>N37*N31</f>
        <v>87672.715199999991</v>
      </c>
      <c r="O33" s="535"/>
      <c r="P33" s="535">
        <f>P37*P31</f>
        <v>11828.858399999999</v>
      </c>
      <c r="Q33" s="535"/>
      <c r="R33" s="537">
        <f>R37*R31</f>
        <v>73756.411200000002</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246062.65362900001</v>
      </c>
      <c r="E35" s="529"/>
      <c r="F35" s="530">
        <f>F34*F38</f>
        <v>43766.771000000001</v>
      </c>
      <c r="G35" s="530"/>
      <c r="H35" s="530">
        <f>H34*H38</f>
        <v>51000.6636468</v>
      </c>
      <c r="I35" s="530"/>
      <c r="J35" s="530">
        <f>J34*J38</f>
        <v>51017.093414000003</v>
      </c>
      <c r="K35" s="530"/>
      <c r="L35" s="530">
        <f>L34*L38</f>
        <v>17846.035</v>
      </c>
      <c r="M35" s="530"/>
      <c r="N35" s="530">
        <f>N34*N38</f>
        <v>62030.676135799993</v>
      </c>
      <c r="O35" s="530"/>
      <c r="P35" s="530">
        <f>P34*P38</f>
        <v>12135.3038</v>
      </c>
      <c r="Q35" s="530"/>
      <c r="R35" s="530">
        <f>R34*R38</f>
        <v>52183.947864199996</v>
      </c>
      <c r="S35" s="530"/>
      <c r="T35" s="530"/>
      <c r="U35" s="529"/>
      <c r="V35" s="530">
        <f>SUM(C35:R35)</f>
        <v>536043.14448979998</v>
      </c>
      <c r="W35" s="531"/>
      <c r="X35" s="512"/>
    </row>
    <row r="36" spans="1:25" s="513" customFormat="1" x14ac:dyDescent="0.3">
      <c r="A36" s="525"/>
      <c r="B36" s="527" t="s">
        <v>295</v>
      </c>
      <c r="C36" s="532"/>
      <c r="D36" s="535">
        <f>D34*D37</f>
        <v>239848.90661159999</v>
      </c>
      <c r="E36" s="532"/>
      <c r="F36" s="535">
        <f>F34*F37</f>
        <v>42661.552000000003</v>
      </c>
      <c r="G36" s="535"/>
      <c r="H36" s="535">
        <f>H34*H37</f>
        <v>49712.771001600006</v>
      </c>
      <c r="I36" s="535"/>
      <c r="J36" s="535">
        <f>J34*J37</f>
        <v>49728.773925599999</v>
      </c>
      <c r="K36" s="535"/>
      <c r="L36" s="535">
        <f>L34*L37</f>
        <v>17395.379999999997</v>
      </c>
      <c r="M36" s="535"/>
      <c r="N36" s="535">
        <f>N34*N37</f>
        <v>60464.253434399994</v>
      </c>
      <c r="O36" s="535"/>
      <c r="P36" s="535">
        <f>P34*P37</f>
        <v>11828.858399999999</v>
      </c>
      <c r="Q36" s="535"/>
      <c r="R36" s="535">
        <f>R34*R37</f>
        <v>50866.178565599999</v>
      </c>
      <c r="S36" s="538"/>
      <c r="T36" s="538"/>
      <c r="U36" s="529"/>
      <c r="V36" s="535">
        <f>SUM(C36:R36)</f>
        <v>522506.67393880006</v>
      </c>
      <c r="W36" s="531"/>
      <c r="X36" s="512"/>
      <c r="Y36" s="621"/>
    </row>
    <row r="37" spans="1:25" x14ac:dyDescent="0.3">
      <c r="A37" s="420"/>
      <c r="B37" s="493" t="s">
        <v>135</v>
      </c>
      <c r="C37" s="494"/>
      <c r="D37" s="495">
        <v>0.2942148</v>
      </c>
      <c r="E37" s="496"/>
      <c r="F37" s="495">
        <v>0.29421760000000002</v>
      </c>
      <c r="G37" s="495"/>
      <c r="H37" s="495">
        <v>0.29421760000000002</v>
      </c>
      <c r="I37" s="495"/>
      <c r="J37" s="495">
        <v>0.2942148</v>
      </c>
      <c r="K37" s="495"/>
      <c r="L37" s="495">
        <v>0.69581519999999997</v>
      </c>
      <c r="M37" s="495"/>
      <c r="N37" s="495">
        <v>0.69581519999999997</v>
      </c>
      <c r="O37" s="495"/>
      <c r="P37" s="495">
        <v>0.69581519999999997</v>
      </c>
      <c r="Q37" s="495"/>
      <c r="R37" s="495">
        <v>0.69581519999999997</v>
      </c>
      <c r="S37" s="425"/>
      <c r="T37" s="425"/>
      <c r="U37" s="424"/>
      <c r="V37" s="424"/>
      <c r="W37" s="426"/>
      <c r="X37" s="405"/>
    </row>
    <row r="38" spans="1:25" x14ac:dyDescent="0.3">
      <c r="A38" s="420"/>
      <c r="B38" s="493" t="s">
        <v>136</v>
      </c>
      <c r="C38" s="494"/>
      <c r="D38" s="495">
        <v>0.30183700000000002</v>
      </c>
      <c r="E38" s="496"/>
      <c r="F38" s="495">
        <v>0.30183979999999999</v>
      </c>
      <c r="G38" s="495"/>
      <c r="H38" s="495">
        <v>0.30183979999999999</v>
      </c>
      <c r="I38" s="495"/>
      <c r="J38" s="495">
        <v>0.30183700000000002</v>
      </c>
      <c r="K38" s="495"/>
      <c r="L38" s="495">
        <v>0.71384139999999996</v>
      </c>
      <c r="M38" s="495"/>
      <c r="N38" s="495">
        <v>0.71384139999999996</v>
      </c>
      <c r="O38" s="495"/>
      <c r="P38" s="495">
        <v>0.71384139999999996</v>
      </c>
      <c r="Q38" s="495"/>
      <c r="R38" s="495">
        <v>0.71384139999999996</v>
      </c>
      <c r="S38" s="427"/>
      <c r="T38" s="428"/>
      <c r="U38" s="424"/>
      <c r="V38" s="427"/>
      <c r="W38" s="426"/>
      <c r="X38" s="405"/>
    </row>
    <row r="39" spans="1:25"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5" s="513" customFormat="1" x14ac:dyDescent="0.3">
      <c r="A40" s="521"/>
      <c r="B40" s="522" t="s">
        <v>12</v>
      </c>
      <c r="C40" s="522"/>
      <c r="D40" s="540">
        <v>3.4175E-3</v>
      </c>
      <c r="E40" s="522"/>
      <c r="F40" s="540">
        <v>3.4175E-3</v>
      </c>
      <c r="G40" s="539"/>
      <c r="H40" s="540">
        <v>0</v>
      </c>
      <c r="I40" s="540"/>
      <c r="J40" s="540">
        <v>3.7599999999999999E-3</v>
      </c>
      <c r="K40" s="539"/>
      <c r="L40" s="540">
        <v>5.8174999999999998E-3</v>
      </c>
      <c r="M40" s="539"/>
      <c r="N40" s="540">
        <v>0</v>
      </c>
      <c r="O40" s="539"/>
      <c r="P40" s="540">
        <v>1.0217499999999999E-2</v>
      </c>
      <c r="Q40" s="539"/>
      <c r="R40" s="540">
        <v>3.5699999999999998E-3</v>
      </c>
      <c r="S40" s="539"/>
      <c r="T40" s="540"/>
      <c r="U40" s="522"/>
      <c r="V40" s="528"/>
      <c r="W40" s="524"/>
      <c r="X40" s="512"/>
    </row>
    <row r="41" spans="1:25" s="513" customFormat="1" x14ac:dyDescent="0.3">
      <c r="A41" s="521"/>
      <c r="B41" s="522" t="s">
        <v>13</v>
      </c>
      <c r="C41" s="522"/>
      <c r="D41" s="540">
        <v>3.1063000000000002E-3</v>
      </c>
      <c r="E41" s="522"/>
      <c r="F41" s="540">
        <v>3.1063000000000002E-3</v>
      </c>
      <c r="G41" s="539"/>
      <c r="H41" s="540">
        <v>0</v>
      </c>
      <c r="I41" s="540"/>
      <c r="J41" s="540">
        <v>3.4475E-3</v>
      </c>
      <c r="K41" s="539"/>
      <c r="L41" s="540">
        <v>5.5063000000000004E-3</v>
      </c>
      <c r="M41" s="539"/>
      <c r="N41" s="540">
        <v>0</v>
      </c>
      <c r="O41" s="539"/>
      <c r="P41" s="540">
        <v>9.9062999999999998E-3</v>
      </c>
      <c r="Q41" s="539"/>
      <c r="R41" s="540">
        <v>3.6700000000000001E-3</v>
      </c>
      <c r="S41" s="539"/>
      <c r="T41" s="540"/>
      <c r="U41" s="522"/>
      <c r="V41" s="539" t="s">
        <v>199</v>
      </c>
      <c r="W41" s="524"/>
      <c r="X41" s="512"/>
    </row>
    <row r="42" spans="1:25" s="513" customFormat="1" x14ac:dyDescent="0.3">
      <c r="A42" s="521"/>
      <c r="B42" s="522" t="s">
        <v>296</v>
      </c>
      <c r="C42" s="522"/>
      <c r="D42" s="528" t="s">
        <v>237</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5" s="513" customFormat="1" x14ac:dyDescent="0.3">
      <c r="A43" s="521"/>
      <c r="B43" s="522" t="s">
        <v>297</v>
      </c>
      <c r="C43" s="541"/>
      <c r="D43" s="540">
        <f>+D40</f>
        <v>3.4175E-3</v>
      </c>
      <c r="E43" s="540"/>
      <c r="F43" s="540">
        <f>+F40</f>
        <v>3.4175E-3</v>
      </c>
      <c r="G43" s="540"/>
      <c r="H43" s="540">
        <v>3.3395E-3</v>
      </c>
      <c r="I43" s="540"/>
      <c r="J43" s="540">
        <v>3.5815E-3</v>
      </c>
      <c r="K43" s="540"/>
      <c r="L43" s="540">
        <f>+L40</f>
        <v>5.8174999999999998E-3</v>
      </c>
      <c r="M43" s="540"/>
      <c r="N43" s="540">
        <v>6.0194999999999997E-3</v>
      </c>
      <c r="O43" s="540"/>
      <c r="P43" s="540">
        <f>+P40</f>
        <v>1.0217499999999999E-2</v>
      </c>
      <c r="Q43" s="539"/>
      <c r="R43" s="540">
        <v>1.0689499999999999E-2</v>
      </c>
      <c r="S43" s="528"/>
      <c r="T43" s="528"/>
      <c r="U43" s="522"/>
      <c r="V43" s="539">
        <f>SUMPRODUCT(D43:R43,D35:R35)/V35</f>
        <v>4.6685649496460823E-3</v>
      </c>
      <c r="W43" s="524"/>
      <c r="X43" s="512"/>
    </row>
    <row r="44" spans="1:25" s="513" customFormat="1" x14ac:dyDescent="0.3">
      <c r="A44" s="521"/>
      <c r="B44" s="522" t="s">
        <v>298</v>
      </c>
      <c r="C44" s="541"/>
      <c r="D44" s="540">
        <f>+D41</f>
        <v>3.1063000000000002E-3</v>
      </c>
      <c r="E44" s="540"/>
      <c r="F44" s="540">
        <f>+F41</f>
        <v>3.1063000000000002E-3</v>
      </c>
      <c r="G44" s="540"/>
      <c r="H44" s="540">
        <v>3.0282999999999998E-3</v>
      </c>
      <c r="I44" s="540"/>
      <c r="J44" s="540">
        <v>3.2702999999999999E-3</v>
      </c>
      <c r="K44" s="540"/>
      <c r="L44" s="540">
        <f>+L41</f>
        <v>5.5063000000000004E-3</v>
      </c>
      <c r="M44" s="540"/>
      <c r="N44" s="540">
        <v>5.7083000000000004E-3</v>
      </c>
      <c r="O44" s="540"/>
      <c r="P44" s="540">
        <f>+P41</f>
        <v>9.9062999999999998E-3</v>
      </c>
      <c r="Q44" s="539"/>
      <c r="R44" s="540">
        <v>1.03783E-2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5" s="513" customFormat="1" x14ac:dyDescent="0.3">
      <c r="A48" s="521"/>
      <c r="B48" s="522" t="s">
        <v>299</v>
      </c>
      <c r="C48" s="522"/>
      <c r="D48" s="528" t="s">
        <v>237</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40"/>
      <c r="E50" s="540"/>
      <c r="F50" s="540"/>
      <c r="G50" s="540"/>
      <c r="H50" s="540"/>
      <c r="I50" s="540"/>
      <c r="J50" s="540"/>
      <c r="K50" s="540"/>
      <c r="L50" s="540"/>
      <c r="M50" s="540"/>
      <c r="N50" s="540"/>
      <c r="O50" s="540"/>
      <c r="P50" s="540"/>
      <c r="Q50" s="540"/>
      <c r="R50" s="540"/>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0.36799039957312851</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44607</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91</v>
      </c>
      <c r="S57" s="522"/>
      <c r="T57" s="549">
        <v>44424</v>
      </c>
      <c r="U57" s="550"/>
      <c r="V57" s="549">
        <v>44514</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44515</v>
      </c>
      <c r="U58" s="550"/>
      <c r="V58" s="549">
        <v>44606</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44593</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427</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536043</v>
      </c>
      <c r="O68" s="562"/>
      <c r="P68" s="562">
        <v>13536</v>
      </c>
      <c r="Q68" s="562"/>
      <c r="R68" s="562">
        <v>0</v>
      </c>
      <c r="S68" s="562"/>
      <c r="T68" s="562">
        <v>0</v>
      </c>
      <c r="U68" s="562"/>
      <c r="V68" s="563">
        <f>+N68-P68+R68-T68</f>
        <v>522507</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536043</v>
      </c>
      <c r="O71" s="562"/>
      <c r="P71" s="562">
        <f>SUM(P68:P70)</f>
        <v>13536</v>
      </c>
      <c r="Q71" s="562"/>
      <c r="R71" s="562">
        <f>SUM(R68:R70)</f>
        <v>0</v>
      </c>
      <c r="S71" s="562"/>
      <c r="T71" s="562">
        <f>SUM(T68:T70)</f>
        <v>0</v>
      </c>
      <c r="U71" s="562"/>
      <c r="V71" s="562">
        <f>SUM(V68:V70)</f>
        <v>522507</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536043</v>
      </c>
      <c r="O84" s="562"/>
      <c r="P84" s="562"/>
      <c r="Q84" s="562"/>
      <c r="R84" s="562"/>
      <c r="S84" s="562"/>
      <c r="T84" s="562"/>
      <c r="U84" s="562"/>
      <c r="V84" s="562">
        <f>SUM(V71:V83)</f>
        <v>522507</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44592</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13536+1</f>
        <v>13537</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2473+1389-739-575</f>
        <v>2548</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49+23</f>
        <v>72</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4</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260</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13537</v>
      </c>
      <c r="U96" s="522"/>
      <c r="V96" s="562">
        <f>SUM(V88:V95)</f>
        <v>2884</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13537</v>
      </c>
      <c r="U100" s="522"/>
      <c r="V100" s="562">
        <f>V96+V98+V97+V99</f>
        <v>2884</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-206-71-7</f>
        <v>-284</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v>-301</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-38</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-94</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-26</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-141</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-31</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-11</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-1</v>
      </c>
      <c r="U114" s="522"/>
      <c r="V114" s="563">
        <v>1</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-206</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-212</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-260</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-15</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-1261</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-6214</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-1105</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-1288</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-1288</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-451</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-1566</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-306</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-1318</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-13536</v>
      </c>
      <c r="U137" s="562"/>
      <c r="V137" s="562">
        <f>SUM(V102:V134)</f>
        <v>-2884</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JANUARY 2022</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-1</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-1</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1</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522507</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522507</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+'Oct 21'!S188</f>
        <v>57078</v>
      </c>
      <c r="T186" s="563">
        <f>+'Oct 21'!T188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7.663716814159292</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2.0499999999999998</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18.824999999999999</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8.02</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12.436046511627907</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7.23</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JANUARY 2022</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44592</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1.9439999999999999E-2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4.6685649496460823E-3</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1.4771435050353917E-2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5.3801653971789574E-3</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7.16</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2.5251705553472389E-2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6.88E-2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0</v>
      </c>
      <c r="T221" s="577">
        <v>0</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76</v>
      </c>
      <c r="T222" s="579">
        <f>+T274</f>
        <v>11293</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+R296</f>
        <v>0</v>
      </c>
      <c r="T223" s="579">
        <f>+T296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-1</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'Oct 21'!T228+'Jan 22'!T227</f>
        <v>8904</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0</v>
      </c>
      <c r="T234" s="579">
        <v>0</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0</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3975</v>
      </c>
      <c r="S241" s="588">
        <f t="shared" ref="S241:S248" si="2">R241/$R$250</f>
        <v>0.9935016245938515</v>
      </c>
      <c r="T241" s="589">
        <f t="shared" ref="T241:T248" si="3">+T253+T265+T287</f>
        <v>518207</v>
      </c>
      <c r="U241" s="588">
        <f t="shared" ref="U241:U248" si="4">T241/$T$250</f>
        <v>0.99177044518063873</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5</v>
      </c>
      <c r="S242" s="593">
        <f t="shared" si="2"/>
        <v>1.2496875781054736E-3</v>
      </c>
      <c r="T242" s="563">
        <f t="shared" si="3"/>
        <v>588</v>
      </c>
      <c r="U242" s="593">
        <f t="shared" si="4"/>
        <v>1.1253437752987041E-3</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1</v>
      </c>
      <c r="S243" s="593">
        <f t="shared" si="2"/>
        <v>2.4993751562109475E-4</v>
      </c>
      <c r="T243" s="563">
        <f t="shared" si="3"/>
        <v>73</v>
      </c>
      <c r="U243" s="593">
        <f t="shared" si="4"/>
        <v>1.3971104693334251E-4</v>
      </c>
      <c r="V243" s="582"/>
      <c r="W243" s="583"/>
      <c r="X243" s="512"/>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10</v>
      </c>
      <c r="S244" s="593">
        <f t="shared" si="2"/>
        <v>2.4993751562109472E-3</v>
      </c>
      <c r="T244" s="563">
        <f t="shared" si="3"/>
        <v>1947</v>
      </c>
      <c r="U244" s="593">
        <f t="shared" si="4"/>
        <v>3.7262658682084642E-3</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3</v>
      </c>
      <c r="S245" s="593">
        <f t="shared" si="2"/>
        <v>7.4981254686328413E-4</v>
      </c>
      <c r="T245" s="563">
        <f t="shared" si="3"/>
        <v>604</v>
      </c>
      <c r="U245" s="593">
        <f t="shared" si="4"/>
        <v>1.1559653746265599E-3</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1</v>
      </c>
      <c r="S246" s="593">
        <f t="shared" si="2"/>
        <v>2.4993751562109475E-4</v>
      </c>
      <c r="T246" s="563">
        <f t="shared" si="3"/>
        <v>142</v>
      </c>
      <c r="U246" s="593">
        <f t="shared" si="4"/>
        <v>2.7176669403472108E-4</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5</v>
      </c>
      <c r="S247" s="593">
        <f t="shared" si="2"/>
        <v>1.2496875781054736E-3</v>
      </c>
      <c r="T247" s="563">
        <f t="shared" si="3"/>
        <v>719</v>
      </c>
      <c r="U247" s="593">
        <f t="shared" si="4"/>
        <v>1.3760581197955243E-3</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1</v>
      </c>
      <c r="S248" s="593">
        <f t="shared" si="2"/>
        <v>2.4993751562109475E-4</v>
      </c>
      <c r="T248" s="563">
        <f t="shared" si="3"/>
        <v>227</v>
      </c>
      <c r="U248" s="593">
        <f t="shared" si="4"/>
        <v>4.3444394046395553E-4</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4001</v>
      </c>
      <c r="S250" s="593">
        <f>SUM(S241:S249)</f>
        <v>0.99999999999999989</v>
      </c>
      <c r="T250" s="563">
        <f>SUM(T241:T249)</f>
        <v>522507</v>
      </c>
      <c r="U250" s="593">
        <f>SUM(U241:U249)</f>
        <v>1</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3905</v>
      </c>
      <c r="S253" s="595">
        <f t="shared" ref="S253:S260" si="5">R253/$R$262</f>
        <v>0.99490445859872612</v>
      </c>
      <c r="T253" s="596">
        <v>507570</v>
      </c>
      <c r="U253" s="595">
        <f t="shared" ref="U253:U260" si="6">T253/$T$262</f>
        <v>0.99287186970622865</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5</v>
      </c>
      <c r="S254" s="593">
        <f t="shared" si="5"/>
        <v>1.2738853503184713E-3</v>
      </c>
      <c r="T254" s="563">
        <v>588</v>
      </c>
      <c r="U254" s="593">
        <f t="shared" si="6"/>
        <v>1.1502032416952587E-3</v>
      </c>
      <c r="V254" s="582"/>
      <c r="W254" s="583"/>
      <c r="X254" s="512"/>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0</v>
      </c>
      <c r="S255" s="593">
        <f t="shared" si="5"/>
        <v>0</v>
      </c>
      <c r="T255" s="563">
        <v>0</v>
      </c>
      <c r="U255" s="593">
        <f t="shared" si="6"/>
        <v>0</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10</v>
      </c>
      <c r="S256" s="593">
        <f t="shared" si="5"/>
        <v>2.5477707006369425E-3</v>
      </c>
      <c r="T256" s="563">
        <v>1947</v>
      </c>
      <c r="U256" s="593">
        <f t="shared" si="6"/>
        <v>3.8085811421439946E-3</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2</v>
      </c>
      <c r="S257" s="593">
        <f t="shared" si="5"/>
        <v>5.0955414012738849E-4</v>
      </c>
      <c r="T257" s="563">
        <v>527</v>
      </c>
      <c r="U257" s="593">
        <f t="shared" si="6"/>
        <v>1.030879436009186E-3</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0</v>
      </c>
      <c r="S258" s="593">
        <f t="shared" si="5"/>
        <v>0</v>
      </c>
      <c r="T258" s="563">
        <v>0</v>
      </c>
      <c r="U258" s="593">
        <f t="shared" si="6"/>
        <v>0</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3</v>
      </c>
      <c r="S259" s="593">
        <f t="shared" si="5"/>
        <v>7.6433121019108278E-4</v>
      </c>
      <c r="T259" s="563">
        <v>582</v>
      </c>
      <c r="U259" s="593">
        <f t="shared" si="6"/>
        <v>1.1384664739228581E-3</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0</v>
      </c>
      <c r="S260" s="593">
        <f t="shared" si="5"/>
        <v>0</v>
      </c>
      <c r="T260" s="563">
        <v>0</v>
      </c>
      <c r="U260" s="593">
        <f t="shared" si="6"/>
        <v>0</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3925</v>
      </c>
      <c r="S262" s="593">
        <f>SUM(S253:S261)</f>
        <v>1</v>
      </c>
      <c r="T262" s="563">
        <f>SUM(T253:T261)</f>
        <v>511214</v>
      </c>
      <c r="U262" s="593">
        <f>SUM(U253:U261)</f>
        <v>1</v>
      </c>
      <c r="V262" s="522"/>
      <c r="W262" s="524"/>
      <c r="X262" s="512"/>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70</v>
      </c>
      <c r="S265" s="595">
        <f t="shared" ref="S265:S272" si="7">R265/$R$274</f>
        <v>0.92105263157894735</v>
      </c>
      <c r="T265" s="596">
        <v>10637</v>
      </c>
      <c r="U265" s="595">
        <f t="shared" ref="U265:U272" si="8">T265/$T$274</f>
        <v>0.94191091826795359</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1</v>
      </c>
      <c r="S267" s="593">
        <f t="shared" si="7"/>
        <v>1.3157894736842105E-2</v>
      </c>
      <c r="T267" s="563">
        <v>73</v>
      </c>
      <c r="U267" s="593">
        <f t="shared" si="8"/>
        <v>6.4641813512795535E-3</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0</v>
      </c>
      <c r="S268" s="593">
        <f t="shared" si="7"/>
        <v>0</v>
      </c>
      <c r="T268" s="563">
        <v>0</v>
      </c>
      <c r="U268" s="593">
        <f t="shared" si="8"/>
        <v>0</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1</v>
      </c>
      <c r="S269" s="593">
        <f t="shared" si="7"/>
        <v>1.3157894736842105E-2</v>
      </c>
      <c r="T269" s="563">
        <v>77</v>
      </c>
      <c r="U269" s="593">
        <f t="shared" si="8"/>
        <v>6.8183830691578851E-3</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1</v>
      </c>
      <c r="S270" s="593">
        <f t="shared" si="7"/>
        <v>1.3157894736842105E-2</v>
      </c>
      <c r="T270" s="563">
        <v>142</v>
      </c>
      <c r="U270" s="593">
        <f t="shared" si="8"/>
        <v>1.2574160984680775E-2</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2</v>
      </c>
      <c r="S271" s="593">
        <f t="shared" si="7"/>
        <v>2.6315789473684209E-2</v>
      </c>
      <c r="T271" s="563">
        <v>137</v>
      </c>
      <c r="U271" s="593">
        <f t="shared" si="8"/>
        <v>1.2131408837332861E-2</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1</v>
      </c>
      <c r="S272" s="593">
        <f t="shared" si="7"/>
        <v>1.3157894736842105E-2</v>
      </c>
      <c r="T272" s="563">
        <v>227</v>
      </c>
      <c r="U272" s="593">
        <f t="shared" si="8"/>
        <v>2.0100947489595324E-2</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76</v>
      </c>
      <c r="S274" s="593">
        <f>SUM(S265:S273)</f>
        <v>1</v>
      </c>
      <c r="T274" s="563">
        <f>SUM(T265:T273)</f>
        <v>11293</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58</v>
      </c>
      <c r="S277" s="593">
        <f>R277/R284</f>
        <v>0.76315789473684215</v>
      </c>
      <c r="T277" s="563">
        <v>9473</v>
      </c>
      <c r="U277" s="593">
        <f>T277/T284</f>
        <v>0.8388382183653591</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2</v>
      </c>
      <c r="S278" s="593">
        <f>R278/R284</f>
        <v>2.6315789473684209E-2</v>
      </c>
      <c r="T278" s="563">
        <v>159</v>
      </c>
      <c r="U278" s="593">
        <f>T278/T284</f>
        <v>1.4079518285663685E-2</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6</v>
      </c>
      <c r="S279" s="593">
        <f>R279/R284</f>
        <v>7.8947368421052627E-2</v>
      </c>
      <c r="T279" s="563">
        <v>501</v>
      </c>
      <c r="U279" s="593">
        <f>T279/T284</f>
        <v>4.4363765164261049E-2</v>
      </c>
      <c r="V279" s="522"/>
      <c r="W279" s="524"/>
      <c r="X279" s="512"/>
    </row>
    <row r="280" spans="1:24" s="513" customFormat="1" x14ac:dyDescent="0.3">
      <c r="A280" s="521"/>
      <c r="B280" s="522" t="s">
        <v>413</v>
      </c>
      <c r="C280" s="522"/>
      <c r="D280" s="522"/>
      <c r="E280" s="522"/>
      <c r="F280" s="522"/>
      <c r="G280" s="522"/>
      <c r="H280" s="594"/>
      <c r="I280" s="594"/>
      <c r="J280" s="594"/>
      <c r="K280" s="594"/>
      <c r="L280" s="594"/>
      <c r="M280" s="594"/>
      <c r="N280" s="594"/>
      <c r="O280" s="594"/>
      <c r="P280" s="594"/>
      <c r="Q280" s="594"/>
      <c r="R280" s="562">
        <v>0</v>
      </c>
      <c r="S280" s="593">
        <f>R280/R284</f>
        <v>0</v>
      </c>
      <c r="T280" s="563">
        <v>0</v>
      </c>
      <c r="U280" s="593">
        <f>T280/T284</f>
        <v>0</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1</v>
      </c>
      <c r="S281" s="593">
        <f>R281/R284</f>
        <v>1.3157894736842105E-2</v>
      </c>
      <c r="T281" s="563">
        <v>175</v>
      </c>
      <c r="U281" s="593">
        <f>T281/T284</f>
        <v>1.5496325157177013E-2</v>
      </c>
      <c r="V281" s="522"/>
      <c r="W281" s="524"/>
      <c r="X281" s="512"/>
    </row>
    <row r="282" spans="1:24" s="513" customFormat="1" x14ac:dyDescent="0.3">
      <c r="A282" s="521"/>
      <c r="B282" s="424" t="s">
        <v>402</v>
      </c>
      <c r="C282" s="522"/>
      <c r="D282" s="522"/>
      <c r="E282" s="522"/>
      <c r="F282" s="522"/>
      <c r="G282" s="522"/>
      <c r="H282" s="594"/>
      <c r="I282" s="594"/>
      <c r="J282" s="594"/>
      <c r="K282" s="594"/>
      <c r="L282" s="594"/>
      <c r="M282" s="594"/>
      <c r="N282" s="594"/>
      <c r="O282" s="594"/>
      <c r="P282" s="594"/>
      <c r="Q282" s="594"/>
      <c r="R282" s="562">
        <v>9</v>
      </c>
      <c r="S282" s="593">
        <f>R282/R284</f>
        <v>0.11842105263157894</v>
      </c>
      <c r="T282" s="563">
        <v>985</v>
      </c>
      <c r="U282" s="593">
        <f>T282/T284</f>
        <v>8.7222173027539179E-2</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76</v>
      </c>
      <c r="S284" s="593">
        <f>SUM(S277:S282)</f>
        <v>1</v>
      </c>
      <c r="T284" s="563">
        <f>SUM(T277:T282)</f>
        <v>11293</v>
      </c>
      <c r="U284" s="593">
        <f>SUM(U277:U283)</f>
        <v>1</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0</v>
      </c>
      <c r="S296" s="593">
        <f>SUM(S287:S295)</f>
        <v>0</v>
      </c>
      <c r="T296" s="563">
        <f>SUM(T287:T294)</f>
        <v>0</v>
      </c>
      <c r="U296" s="593">
        <f>SUM(U287:U295)</f>
        <v>0</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4001</v>
      </c>
      <c r="S298" s="593"/>
      <c r="T298" s="599">
        <f>+T296+T274+T262</f>
        <v>522507</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509"/>
      <c r="B300" s="510"/>
      <c r="C300" s="510"/>
      <c r="D300" s="510"/>
      <c r="E300" s="510"/>
      <c r="F300" s="510"/>
      <c r="G300" s="510"/>
      <c r="H300" s="600"/>
      <c r="I300" s="600"/>
      <c r="J300" s="600"/>
      <c r="K300" s="600"/>
      <c r="L300" s="600"/>
      <c r="M300" s="600"/>
      <c r="N300" s="600"/>
      <c r="O300" s="600"/>
      <c r="P300" s="600"/>
      <c r="Q300" s="600"/>
      <c r="R300" s="600"/>
      <c r="S300" s="600"/>
      <c r="T300" s="601"/>
      <c r="U300" s="600"/>
      <c r="V300" s="510"/>
      <c r="W300" s="510"/>
      <c r="X300" s="512"/>
    </row>
    <row r="301" spans="1:24" s="513" customFormat="1" x14ac:dyDescent="0.3">
      <c r="A301" s="509"/>
      <c r="B301" s="508" t="s">
        <v>93</v>
      </c>
      <c r="C301" s="510"/>
      <c r="D301" s="510"/>
      <c r="E301" s="510"/>
      <c r="F301" s="516" t="s">
        <v>99</v>
      </c>
      <c r="G301" s="510"/>
      <c r="H301" s="508" t="s">
        <v>101</v>
      </c>
      <c r="I301" s="510"/>
      <c r="J301" s="510"/>
      <c r="K301" s="510"/>
      <c r="L301" s="510"/>
      <c r="M301" s="510"/>
      <c r="N301" s="510"/>
      <c r="O301" s="510"/>
      <c r="P301" s="510"/>
      <c r="Q301" s="510"/>
      <c r="R301" s="510"/>
      <c r="S301" s="510"/>
      <c r="T301" s="510"/>
      <c r="U301" s="510"/>
      <c r="V301" s="510"/>
      <c r="W301" s="510"/>
      <c r="X301" s="512"/>
    </row>
    <row r="302" spans="1:24" s="513" customFormat="1" x14ac:dyDescent="0.3">
      <c r="A302" s="509"/>
      <c r="B302" s="508" t="s">
        <v>327</v>
      </c>
      <c r="C302" s="508"/>
      <c r="D302" s="508"/>
      <c r="E302" s="508"/>
      <c r="F302" s="602" t="s">
        <v>278</v>
      </c>
      <c r="G302" s="508"/>
      <c r="H302" s="402" t="s">
        <v>350</v>
      </c>
      <c r="I302" s="510"/>
      <c r="J302" s="510"/>
      <c r="K302" s="510"/>
      <c r="L302" s="510"/>
      <c r="M302" s="510"/>
      <c r="N302" s="510"/>
      <c r="O302" s="510"/>
      <c r="P302" s="510"/>
      <c r="Q302" s="510"/>
      <c r="R302" s="510"/>
      <c r="S302" s="510"/>
      <c r="T302" s="510"/>
      <c r="U302" s="510"/>
      <c r="V302" s="510"/>
      <c r="W302" s="510"/>
      <c r="X302" s="512"/>
    </row>
    <row r="303" spans="1:24" s="513" customFormat="1" x14ac:dyDescent="0.3">
      <c r="A303" s="509"/>
      <c r="B303" s="508" t="s">
        <v>328</v>
      </c>
      <c r="C303" s="508"/>
      <c r="D303" s="508"/>
      <c r="E303" s="508"/>
      <c r="F303" s="602" t="s">
        <v>152</v>
      </c>
      <c r="G303" s="508"/>
      <c r="H303" s="402" t="s">
        <v>351</v>
      </c>
      <c r="I303" s="510"/>
      <c r="J303" s="510"/>
      <c r="K303" s="510"/>
      <c r="L303" s="510"/>
      <c r="M303" s="510"/>
      <c r="N303" s="510"/>
      <c r="O303" s="510"/>
      <c r="P303" s="510"/>
      <c r="Q303" s="510"/>
      <c r="R303" s="510"/>
      <c r="S303" s="510"/>
      <c r="T303" s="510"/>
      <c r="U303" s="510"/>
      <c r="V303" s="510"/>
      <c r="W303" s="510"/>
      <c r="X303" s="512"/>
    </row>
    <row r="304" spans="1:24" s="513" customFormat="1" x14ac:dyDescent="0.3">
      <c r="A304" s="509"/>
      <c r="B304" s="508"/>
      <c r="C304" s="508"/>
      <c r="D304" s="508"/>
      <c r="E304" s="508"/>
      <c r="F304" s="602"/>
      <c r="G304" s="508"/>
      <c r="H304" s="402"/>
      <c r="I304" s="510"/>
      <c r="J304" s="510"/>
      <c r="K304" s="510"/>
      <c r="L304" s="510"/>
      <c r="M304" s="510"/>
      <c r="N304" s="510"/>
      <c r="O304" s="510"/>
      <c r="P304" s="510"/>
      <c r="Q304" s="510"/>
      <c r="R304" s="510"/>
      <c r="S304" s="510"/>
      <c r="T304" s="510"/>
      <c r="U304" s="510"/>
      <c r="V304" s="510"/>
      <c r="W304" s="510"/>
      <c r="X304" s="512"/>
    </row>
    <row r="305" spans="1:24" s="513" customFormat="1" ht="18" x14ac:dyDescent="0.35">
      <c r="A305" s="509"/>
      <c r="B305" s="647" t="s">
        <v>174</v>
      </c>
      <c r="C305" s="508"/>
      <c r="D305" s="508"/>
      <c r="E305" s="508"/>
      <c r="F305" s="602"/>
      <c r="G305" s="508"/>
      <c r="H305" s="402"/>
      <c r="I305" s="510"/>
      <c r="J305" s="510"/>
      <c r="K305" s="510"/>
      <c r="L305" s="552"/>
      <c r="M305" s="552"/>
      <c r="N305" s="552"/>
      <c r="O305" s="552"/>
      <c r="P305" s="648" t="s">
        <v>349</v>
      </c>
      <c r="Q305" s="552"/>
      <c r="R305" s="552"/>
      <c r="S305" s="552"/>
      <c r="T305" s="510"/>
      <c r="U305" s="510"/>
      <c r="V305" s="510"/>
      <c r="W305" s="510"/>
      <c r="X305" s="512"/>
    </row>
    <row r="306" spans="1:24" s="513" customFormat="1" x14ac:dyDescent="0.3">
      <c r="A306" s="509"/>
      <c r="B306" s="508"/>
      <c r="C306" s="508"/>
      <c r="D306" s="508"/>
      <c r="E306" s="508"/>
      <c r="F306" s="508"/>
      <c r="G306" s="508"/>
      <c r="H306" s="510"/>
      <c r="I306" s="510"/>
      <c r="J306" s="510"/>
      <c r="K306" s="510"/>
      <c r="L306" s="510"/>
      <c r="M306" s="510"/>
      <c r="N306" s="510"/>
      <c r="O306" s="510"/>
      <c r="P306" s="510"/>
      <c r="Q306" s="510"/>
      <c r="R306" s="510"/>
      <c r="S306" s="510"/>
      <c r="T306" s="510"/>
      <c r="U306" s="510"/>
      <c r="V306" s="510"/>
      <c r="W306" s="510"/>
      <c r="X306" s="512"/>
    </row>
    <row r="307" spans="1:24" s="513" customFormat="1" ht="18.600000000000001" thickBot="1" x14ac:dyDescent="0.4">
      <c r="A307" s="509"/>
      <c r="B307" s="603" t="str">
        <f>B202</f>
        <v>PM12 INVESTOR REPORT QUARTER ENDING JANUARY 2022</v>
      </c>
      <c r="C307" s="508"/>
      <c r="D307" s="508"/>
      <c r="E307" s="508"/>
      <c r="F307" s="508"/>
      <c r="G307" s="508"/>
      <c r="H307" s="510"/>
      <c r="I307" s="510"/>
      <c r="J307" s="510"/>
      <c r="K307" s="510"/>
      <c r="L307" s="510"/>
      <c r="M307" s="510"/>
      <c r="N307" s="510"/>
      <c r="O307" s="510"/>
      <c r="P307" s="510"/>
      <c r="Q307" s="510"/>
      <c r="R307" s="510"/>
      <c r="S307" s="510"/>
      <c r="T307" s="510"/>
      <c r="U307" s="510"/>
      <c r="V307" s="510"/>
      <c r="W307" s="510"/>
      <c r="X307" s="512"/>
    </row>
    <row r="308" spans="1:24" x14ac:dyDescent="0.3">
      <c r="A308" s="492"/>
      <c r="B308" s="492"/>
      <c r="C308" s="492"/>
      <c r="D308" s="492"/>
      <c r="E308" s="492"/>
      <c r="F308" s="492"/>
      <c r="G308" s="492"/>
      <c r="H308" s="492"/>
      <c r="I308" s="492"/>
      <c r="J308" s="492"/>
      <c r="K308" s="492"/>
      <c r="L308" s="492"/>
      <c r="M308" s="492"/>
      <c r="N308" s="492"/>
      <c r="O308" s="492"/>
      <c r="P308" s="492"/>
      <c r="Q308" s="492"/>
      <c r="R308" s="492"/>
      <c r="S308" s="492"/>
      <c r="T308" s="492"/>
      <c r="U308" s="492"/>
      <c r="V308" s="492"/>
      <c r="W308" s="492"/>
    </row>
    <row r="309" spans="1:24" x14ac:dyDescent="0.3">
      <c r="B309" s="406" t="s">
        <v>384</v>
      </c>
    </row>
    <row r="310" spans="1:24" x14ac:dyDescent="0.3">
      <c r="B310" s="623" t="s">
        <v>378</v>
      </c>
    </row>
    <row r="312" spans="1:24" x14ac:dyDescent="0.3">
      <c r="B312" s="649" t="s">
        <v>432</v>
      </c>
    </row>
    <row r="313" spans="1:24" x14ac:dyDescent="0.3">
      <c r="B313" s="406" t="s">
        <v>433</v>
      </c>
    </row>
    <row r="314" spans="1:24" x14ac:dyDescent="0.3">
      <c r="B314" s="677" t="s">
        <v>430</v>
      </c>
    </row>
    <row r="315" spans="1:24" x14ac:dyDescent="0.3">
      <c r="B315" s="406" t="s">
        <v>428</v>
      </c>
    </row>
    <row r="316" spans="1:24" x14ac:dyDescent="0.3">
      <c r="B316" s="406" t="s">
        <v>434</v>
      </c>
    </row>
    <row r="317" spans="1:24" x14ac:dyDescent="0.3">
      <c r="B317" s="406" t="s">
        <v>431</v>
      </c>
    </row>
    <row r="318" spans="1:24" x14ac:dyDescent="0.3">
      <c r="B318" s="677" t="s">
        <v>429</v>
      </c>
    </row>
    <row r="320" spans="1:24" x14ac:dyDescent="0.3">
      <c r="B320" s="649" t="s">
        <v>421</v>
      </c>
    </row>
    <row r="321" spans="2:2" x14ac:dyDescent="0.3">
      <c r="B321" s="406" t="s">
        <v>423</v>
      </c>
    </row>
    <row r="322" spans="2:2" x14ac:dyDescent="0.3">
      <c r="B322" s="676" t="s">
        <v>422</v>
      </c>
    </row>
  </sheetData>
  <hyperlinks>
    <hyperlink ref="I9" r:id="rId1" xr:uid="{9AC674FF-65C7-4BC4-90D6-A896F19C4F8C}"/>
    <hyperlink ref="P238" r:id="rId2" xr:uid="{7E2DE62C-E6AC-43AE-B043-E18729633FD6}"/>
    <hyperlink ref="B310" r:id="rId3" xr:uid="{4AB772B4-E138-4359-AEDA-87A8A65C8B19}"/>
    <hyperlink ref="P305" r:id="rId4" xr:uid="{4B11C49A-5730-404C-9CF8-210EB1BDA628}"/>
    <hyperlink ref="B322" r:id="rId5" display="https://investorreporting.paragonbankinggroup.co.uk/bondinvestor_viewer/resources/bondinvestor/pdf/investornews/2021/libor-mortgages-transition-july-19" xr:uid="{1268A5D0-F983-4898-8125-13BC47380AAC}"/>
    <hyperlink ref="B318" r:id="rId6" display="https://protect-eu.mimecast.com/s/wcu_C4934SBRnRxHOTIMr?domain=londonstockexchange.com" xr:uid="{1B78A695-C6E2-4472-926F-C07951FD0D9A}"/>
    <hyperlink ref="B314" r:id="rId7" display="https://protect-eu.mimecast.com/s/GQAHC60N2crGn7VHp3gPx?domain=londonstockexchange.com" xr:uid="{D34338A9-25F3-44CD-9FA0-B29DFE7475D6}"/>
  </hyperlinks>
  <printOptions horizontalCentered="1" verticalCentered="1"/>
  <pageMargins left="0.19685039370078741" right="0.19685039370078741" top="0.27559055118110237" bottom="0.27559055118110237" header="0" footer="0"/>
  <pageSetup scale="37" orientation="landscape" r:id="rId8"/>
  <headerFooter alignWithMargins="0"/>
  <rowBreaks count="3" manualBreakCount="3">
    <brk id="64" max="23" man="1"/>
    <brk id="141" max="14" man="1"/>
    <brk id="202" max="14" man="1"/>
  </rowBreaks>
  <drawing r:id="rId9"/>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DD49E-229A-4CC8-AFFE-9ED8519F54A0}">
  <sheetPr>
    <tabColor rgb="FF89CB31"/>
  </sheetPr>
  <dimension ref="A1:AA324"/>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0.68928455206570349</v>
      </c>
      <c r="T16" s="516" t="s">
        <v>145</v>
      </c>
      <c r="U16" s="515">
        <v>0.31071544793429645</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44701</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239848.90661159999</v>
      </c>
      <c r="E32" s="529"/>
      <c r="F32" s="530">
        <f>F31*F38</f>
        <v>42661.552000000003</v>
      </c>
      <c r="G32" s="530"/>
      <c r="H32" s="534">
        <f>H31*H38</f>
        <v>72083.312000000005</v>
      </c>
      <c r="I32" s="534"/>
      <c r="J32" s="533">
        <f>J31*J38</f>
        <v>91500.802800000005</v>
      </c>
      <c r="K32" s="530"/>
      <c r="L32" s="530">
        <f>L31*L38</f>
        <v>17395.379999999997</v>
      </c>
      <c r="M32" s="530"/>
      <c r="N32" s="534">
        <f>N31*N38</f>
        <v>87672.715199999991</v>
      </c>
      <c r="O32" s="530"/>
      <c r="P32" s="530">
        <f>P31*P38</f>
        <v>11828.858399999999</v>
      </c>
      <c r="Q32" s="530"/>
      <c r="R32" s="534">
        <f>R31*R38</f>
        <v>73756.411200000002</v>
      </c>
      <c r="S32" s="530"/>
      <c r="T32" s="530"/>
      <c r="U32" s="529"/>
      <c r="V32" s="530"/>
      <c r="W32" s="531"/>
      <c r="X32" s="512"/>
    </row>
    <row r="33" spans="1:25" s="513" customFormat="1" x14ac:dyDescent="0.3">
      <c r="A33" s="521"/>
      <c r="B33" s="527" t="s">
        <v>139</v>
      </c>
      <c r="C33" s="529"/>
      <c r="D33" s="619">
        <f>D34*D37</f>
        <v>231229.5357489</v>
      </c>
      <c r="E33" s="532"/>
      <c r="F33" s="535">
        <f>F37*F31</f>
        <v>41128.467000000004</v>
      </c>
      <c r="G33" s="535"/>
      <c r="H33" s="537">
        <f>H31*H37</f>
        <v>69492.927000000011</v>
      </c>
      <c r="I33" s="537"/>
      <c r="J33" s="536">
        <f>J37*J31</f>
        <v>88212.568700000003</v>
      </c>
      <c r="K33" s="535"/>
      <c r="L33" s="535">
        <f>L37*L31</f>
        <v>16770.25</v>
      </c>
      <c r="M33" s="535"/>
      <c r="N33" s="537">
        <f>N37*N31</f>
        <v>84522.06</v>
      </c>
      <c r="O33" s="535"/>
      <c r="P33" s="535">
        <f>P37*P31</f>
        <v>11403.77</v>
      </c>
      <c r="Q33" s="535"/>
      <c r="R33" s="537">
        <f>R37*R31</f>
        <v>71105.86</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239848.90661159999</v>
      </c>
      <c r="E35" s="529"/>
      <c r="F35" s="530">
        <f>F34*F38</f>
        <v>42661.552000000003</v>
      </c>
      <c r="G35" s="530"/>
      <c r="H35" s="530">
        <f>H34*H38</f>
        <v>49712.771001600006</v>
      </c>
      <c r="I35" s="530"/>
      <c r="J35" s="530">
        <f>J34*J38</f>
        <v>49728.773925599999</v>
      </c>
      <c r="K35" s="530"/>
      <c r="L35" s="530">
        <f>L34*L38</f>
        <v>17395.379999999997</v>
      </c>
      <c r="M35" s="530"/>
      <c r="N35" s="530">
        <f>N34*N38</f>
        <v>60464.253434399994</v>
      </c>
      <c r="O35" s="530"/>
      <c r="P35" s="530">
        <f>P34*P38</f>
        <v>11828.858399999999</v>
      </c>
      <c r="Q35" s="530"/>
      <c r="R35" s="530">
        <f>R34*R38</f>
        <v>50866.178565599999</v>
      </c>
      <c r="S35" s="530"/>
      <c r="T35" s="530"/>
      <c r="U35" s="529"/>
      <c r="V35" s="530">
        <f>SUM(C35:R35)</f>
        <v>522506.67393880006</v>
      </c>
      <c r="W35" s="531"/>
      <c r="X35" s="512"/>
    </row>
    <row r="36" spans="1:25" s="513" customFormat="1" x14ac:dyDescent="0.3">
      <c r="A36" s="525"/>
      <c r="B36" s="527" t="s">
        <v>295</v>
      </c>
      <c r="C36" s="532"/>
      <c r="D36" s="535">
        <f>D34*D37</f>
        <v>231229.5357489</v>
      </c>
      <c r="E36" s="532"/>
      <c r="F36" s="535">
        <f>F34*F37</f>
        <v>41128.467000000004</v>
      </c>
      <c r="G36" s="535"/>
      <c r="H36" s="535">
        <f>H34*H37</f>
        <v>47926.293483600006</v>
      </c>
      <c r="I36" s="535"/>
      <c r="J36" s="535">
        <f>J34*J37</f>
        <v>47941.687417399997</v>
      </c>
      <c r="K36" s="535"/>
      <c r="L36" s="535">
        <f>L34*L37</f>
        <v>16770.25</v>
      </c>
      <c r="M36" s="535"/>
      <c r="N36" s="535">
        <f>N34*N37</f>
        <v>58291.37657</v>
      </c>
      <c r="O36" s="535"/>
      <c r="P36" s="535">
        <f>P34*P37</f>
        <v>11403.77</v>
      </c>
      <c r="Q36" s="535"/>
      <c r="R36" s="535">
        <f>R34*R37</f>
        <v>49038.223429999998</v>
      </c>
      <c r="S36" s="538"/>
      <c r="T36" s="538"/>
      <c r="U36" s="529"/>
      <c r="V36" s="535">
        <f>SUM(C36:R36)</f>
        <v>503729.60364990006</v>
      </c>
      <c r="W36" s="531"/>
      <c r="X36" s="512"/>
      <c r="Y36" s="621"/>
    </row>
    <row r="37" spans="1:25" x14ac:dyDescent="0.3">
      <c r="A37" s="420"/>
      <c r="B37" s="493" t="s">
        <v>135</v>
      </c>
      <c r="C37" s="494"/>
      <c r="D37" s="495">
        <v>0.2836417</v>
      </c>
      <c r="E37" s="496"/>
      <c r="F37" s="495">
        <v>0.28364460000000002</v>
      </c>
      <c r="G37" s="495"/>
      <c r="H37" s="495">
        <v>0.28364460000000002</v>
      </c>
      <c r="I37" s="495"/>
      <c r="J37" s="495">
        <v>0.2836417</v>
      </c>
      <c r="K37" s="495"/>
      <c r="L37" s="495">
        <v>0.67081000000000002</v>
      </c>
      <c r="M37" s="495"/>
      <c r="N37" s="495">
        <v>0.67081000000000002</v>
      </c>
      <c r="O37" s="495"/>
      <c r="P37" s="495">
        <v>0.67081000000000002</v>
      </c>
      <c r="Q37" s="495"/>
      <c r="R37" s="495">
        <v>0.67081000000000002</v>
      </c>
      <c r="S37" s="425"/>
      <c r="T37" s="425"/>
      <c r="U37" s="424"/>
      <c r="V37" s="424"/>
      <c r="W37" s="426"/>
      <c r="X37" s="405"/>
    </row>
    <row r="38" spans="1:25" x14ac:dyDescent="0.3">
      <c r="A38" s="420"/>
      <c r="B38" s="493" t="s">
        <v>136</v>
      </c>
      <c r="C38" s="494"/>
      <c r="D38" s="495">
        <v>0.2942148</v>
      </c>
      <c r="E38" s="496"/>
      <c r="F38" s="495">
        <v>0.29421760000000002</v>
      </c>
      <c r="G38" s="495"/>
      <c r="H38" s="495">
        <v>0.29421760000000002</v>
      </c>
      <c r="I38" s="495"/>
      <c r="J38" s="495">
        <v>0.2942148</v>
      </c>
      <c r="K38" s="495"/>
      <c r="L38" s="495">
        <v>0.69581519999999997</v>
      </c>
      <c r="M38" s="495"/>
      <c r="N38" s="495">
        <v>0.69581519999999997</v>
      </c>
      <c r="O38" s="495"/>
      <c r="P38" s="495">
        <v>0.69581519999999997</v>
      </c>
      <c r="Q38" s="495"/>
      <c r="R38" s="495">
        <v>0.69581519999999997</v>
      </c>
      <c r="S38" s="427"/>
      <c r="T38" s="428"/>
      <c r="U38" s="424"/>
      <c r="V38" s="427"/>
      <c r="W38" s="426"/>
      <c r="X38" s="405"/>
    </row>
    <row r="39" spans="1:25" s="513" customFormat="1" x14ac:dyDescent="0.3">
      <c r="A39" s="521"/>
      <c r="B39" s="522" t="s">
        <v>451</v>
      </c>
      <c r="C39" s="522"/>
      <c r="D39" s="528" t="s">
        <v>442</v>
      </c>
      <c r="E39" s="522"/>
      <c r="F39" s="528" t="s">
        <v>442</v>
      </c>
      <c r="G39" s="528"/>
      <c r="H39" s="528" t="s">
        <v>237</v>
      </c>
      <c r="I39" s="528"/>
      <c r="J39" s="528" t="s">
        <v>239</v>
      </c>
      <c r="K39" s="528"/>
      <c r="L39" s="528" t="s">
        <v>443</v>
      </c>
      <c r="M39" s="528"/>
      <c r="N39" s="528" t="s">
        <v>240</v>
      </c>
      <c r="O39" s="528"/>
      <c r="P39" s="528" t="s">
        <v>444</v>
      </c>
      <c r="Q39" s="528"/>
      <c r="R39" s="528" t="s">
        <v>241</v>
      </c>
      <c r="S39" s="539"/>
      <c r="T39" s="540"/>
      <c r="U39" s="522"/>
      <c r="V39" s="522"/>
      <c r="W39" s="524"/>
      <c r="X39" s="512"/>
    </row>
    <row r="40" spans="1:25" s="513" customFormat="1" x14ac:dyDescent="0.3">
      <c r="A40" s="521"/>
      <c r="B40" s="522" t="s">
        <v>12</v>
      </c>
      <c r="C40" s="522"/>
      <c r="D40" s="540">
        <v>9.6045000000000002E-3</v>
      </c>
      <c r="E40" s="522"/>
      <c r="F40" s="540">
        <v>9.6045000000000002E-3</v>
      </c>
      <c r="G40" s="539"/>
      <c r="H40" s="540">
        <v>0</v>
      </c>
      <c r="I40" s="540"/>
      <c r="J40" s="540">
        <v>7.2642999999999996E-3</v>
      </c>
      <c r="K40" s="539"/>
      <c r="L40" s="540">
        <v>1.20045E-2</v>
      </c>
      <c r="M40" s="539"/>
      <c r="N40" s="540">
        <v>0</v>
      </c>
      <c r="O40" s="539"/>
      <c r="P40" s="540">
        <v>1.6404499999999999E-2</v>
      </c>
      <c r="Q40" s="539"/>
      <c r="R40" s="540">
        <v>3.9699999999999996E-3</v>
      </c>
      <c r="S40" s="539"/>
      <c r="T40" s="540"/>
      <c r="U40" s="522"/>
      <c r="V40" s="528"/>
      <c r="W40" s="524"/>
      <c r="X40" s="512"/>
    </row>
    <row r="41" spans="1:25" s="513" customFormat="1" x14ac:dyDescent="0.3">
      <c r="A41" s="521"/>
      <c r="B41" s="522" t="s">
        <v>13</v>
      </c>
      <c r="C41" s="522"/>
      <c r="D41" s="540">
        <v>3.4175E-3</v>
      </c>
      <c r="E41" s="522"/>
      <c r="F41" s="540">
        <v>3.4175E-3</v>
      </c>
      <c r="G41" s="539"/>
      <c r="H41" s="540">
        <v>0</v>
      </c>
      <c r="I41" s="540"/>
      <c r="J41" s="540">
        <v>3.7599999999999999E-3</v>
      </c>
      <c r="K41" s="539"/>
      <c r="L41" s="540">
        <v>5.8174999999999998E-3</v>
      </c>
      <c r="M41" s="539"/>
      <c r="N41" s="540">
        <v>0</v>
      </c>
      <c r="O41" s="539"/>
      <c r="P41" s="540">
        <v>1.0217499999999999E-2</v>
      </c>
      <c r="Q41" s="539"/>
      <c r="R41" s="540">
        <v>3.5699999999999998E-3</v>
      </c>
      <c r="S41" s="539"/>
      <c r="T41" s="540"/>
      <c r="U41" s="522"/>
      <c r="V41" s="539" t="s">
        <v>199</v>
      </c>
      <c r="W41" s="524"/>
      <c r="X41" s="512"/>
    </row>
    <row r="42" spans="1:25" s="513" customFormat="1" x14ac:dyDescent="0.3">
      <c r="A42" s="521"/>
      <c r="B42" s="522" t="s">
        <v>449</v>
      </c>
      <c r="C42" s="522"/>
      <c r="D42" s="528" t="s">
        <v>442</v>
      </c>
      <c r="E42" s="522"/>
      <c r="F42" s="528" t="s">
        <v>442</v>
      </c>
      <c r="G42" s="528"/>
      <c r="H42" s="528" t="s">
        <v>445</v>
      </c>
      <c r="I42" s="528"/>
      <c r="J42" s="528" t="s">
        <v>446</v>
      </c>
      <c r="K42" s="528"/>
      <c r="L42" s="528" t="s">
        <v>443</v>
      </c>
      <c r="M42" s="528"/>
      <c r="N42" s="528" t="s">
        <v>448</v>
      </c>
      <c r="O42" s="528"/>
      <c r="P42" s="528" t="s">
        <v>444</v>
      </c>
      <c r="Q42" s="528"/>
      <c r="R42" s="528" t="s">
        <v>447</v>
      </c>
      <c r="S42" s="539"/>
      <c r="T42" s="540"/>
      <c r="U42" s="522"/>
      <c r="V42" s="522"/>
      <c r="W42" s="524"/>
      <c r="X42" s="512"/>
    </row>
    <row r="43" spans="1:25" s="513" customFormat="1" x14ac:dyDescent="0.3">
      <c r="A43" s="521"/>
      <c r="B43" s="522" t="s">
        <v>297</v>
      </c>
      <c r="C43" s="541"/>
      <c r="D43" s="540">
        <f>+D40</f>
        <v>9.6045000000000002E-3</v>
      </c>
      <c r="E43" s="540"/>
      <c r="F43" s="540">
        <f>+F40</f>
        <v>9.6045000000000002E-3</v>
      </c>
      <c r="G43" s="540"/>
      <c r="H43" s="540">
        <v>9.5265000000000002E-3</v>
      </c>
      <c r="I43" s="540"/>
      <c r="J43" s="540">
        <v>9.7684999999999994E-3</v>
      </c>
      <c r="K43" s="540"/>
      <c r="L43" s="540">
        <f>+L40</f>
        <v>1.20045E-2</v>
      </c>
      <c r="M43" s="540"/>
      <c r="N43" s="540">
        <v>1.22065E-2</v>
      </c>
      <c r="O43" s="540"/>
      <c r="P43" s="540">
        <f>+P40</f>
        <v>1.6404499999999999E-2</v>
      </c>
      <c r="Q43" s="539"/>
      <c r="R43" s="540">
        <v>1.6876499999999999E-2</v>
      </c>
      <c r="S43" s="528"/>
      <c r="T43" s="528"/>
      <c r="U43" s="522"/>
      <c r="V43" s="539">
        <f>SUMPRODUCT(D43:R43,D35:R35)/V35</f>
        <v>1.0855565187250775E-2</v>
      </c>
      <c r="W43" s="524"/>
      <c r="X43" s="512"/>
    </row>
    <row r="44" spans="1:25" s="513" customFormat="1" x14ac:dyDescent="0.3">
      <c r="A44" s="521"/>
      <c r="B44" s="522" t="s">
        <v>298</v>
      </c>
      <c r="C44" s="541"/>
      <c r="D44" s="540">
        <f>+D41</f>
        <v>3.4175E-3</v>
      </c>
      <c r="E44" s="540"/>
      <c r="F44" s="540">
        <f>+F41</f>
        <v>3.4175E-3</v>
      </c>
      <c r="G44" s="540"/>
      <c r="H44" s="540">
        <v>3.3395E-3</v>
      </c>
      <c r="I44" s="540"/>
      <c r="J44" s="540">
        <v>3.5815E-3</v>
      </c>
      <c r="K44" s="540"/>
      <c r="L44" s="540">
        <f>+L41</f>
        <v>5.8174999999999998E-3</v>
      </c>
      <c r="M44" s="540"/>
      <c r="N44" s="540">
        <v>6.0194999999999997E-3</v>
      </c>
      <c r="O44" s="540"/>
      <c r="P44" s="540">
        <f>+P41</f>
        <v>1.0217499999999999E-2</v>
      </c>
      <c r="Q44" s="539"/>
      <c r="R44" s="540">
        <v>1.0689499999999999E-2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450</v>
      </c>
      <c r="C47" s="522"/>
      <c r="D47" s="528" t="s">
        <v>442</v>
      </c>
      <c r="E47" s="522"/>
      <c r="F47" s="528" t="s">
        <v>442</v>
      </c>
      <c r="G47" s="528"/>
      <c r="H47" s="528" t="s">
        <v>237</v>
      </c>
      <c r="I47" s="528"/>
      <c r="J47" s="528" t="s">
        <v>239</v>
      </c>
      <c r="K47" s="528"/>
      <c r="L47" s="528" t="s">
        <v>443</v>
      </c>
      <c r="M47" s="528"/>
      <c r="N47" s="528" t="s">
        <v>240</v>
      </c>
      <c r="O47" s="528"/>
      <c r="P47" s="528" t="s">
        <v>444</v>
      </c>
      <c r="Q47" s="528"/>
      <c r="R47" s="528" t="s">
        <v>241</v>
      </c>
      <c r="S47" s="542"/>
      <c r="T47" s="542"/>
      <c r="U47" s="542"/>
      <c r="V47" s="542"/>
      <c r="W47" s="524"/>
      <c r="X47" s="512"/>
    </row>
    <row r="48" spans="1:25" s="513" customFormat="1" x14ac:dyDescent="0.3">
      <c r="A48" s="521"/>
      <c r="B48" s="522" t="s">
        <v>452</v>
      </c>
      <c r="C48" s="522"/>
      <c r="D48" s="528" t="s">
        <v>442</v>
      </c>
      <c r="E48" s="522"/>
      <c r="F48" s="528" t="s">
        <v>442</v>
      </c>
      <c r="G48" s="528"/>
      <c r="H48" s="528" t="s">
        <v>445</v>
      </c>
      <c r="I48" s="528"/>
      <c r="J48" s="528" t="s">
        <v>446</v>
      </c>
      <c r="K48" s="528"/>
      <c r="L48" s="528" t="s">
        <v>443</v>
      </c>
      <c r="M48" s="528"/>
      <c r="N48" s="528" t="s">
        <v>448</v>
      </c>
      <c r="O48" s="528"/>
      <c r="P48" s="528" t="s">
        <v>444</v>
      </c>
      <c r="Q48" s="528"/>
      <c r="R48" s="528" t="s">
        <v>447</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40"/>
      <c r="E50" s="540"/>
      <c r="F50" s="540"/>
      <c r="G50" s="540"/>
      <c r="H50" s="540"/>
      <c r="I50" s="540"/>
      <c r="J50" s="540"/>
      <c r="K50" s="540"/>
      <c r="L50" s="540"/>
      <c r="M50" s="540"/>
      <c r="N50" s="540"/>
      <c r="O50" s="540"/>
      <c r="P50" s="540"/>
      <c r="Q50" s="540"/>
      <c r="R50" s="540"/>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0.3679903809526745</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44697</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44515</v>
      </c>
      <c r="U57" s="550"/>
      <c r="V57" s="549">
        <v>44606</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90</v>
      </c>
      <c r="S58" s="522"/>
      <c r="T58" s="549">
        <v>44607</v>
      </c>
      <c r="U58" s="550"/>
      <c r="V58" s="549">
        <v>44696</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44684</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435</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522507</v>
      </c>
      <c r="O68" s="562"/>
      <c r="P68" s="562">
        <v>18777</v>
      </c>
      <c r="Q68" s="562"/>
      <c r="R68" s="562">
        <v>0</v>
      </c>
      <c r="S68" s="562"/>
      <c r="T68" s="562">
        <v>0</v>
      </c>
      <c r="U68" s="562"/>
      <c r="V68" s="563">
        <f>+N68-P68+R68-T68</f>
        <v>503730</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522507</v>
      </c>
      <c r="O71" s="562"/>
      <c r="P71" s="562">
        <f>SUM(P68:P70)</f>
        <v>18777</v>
      </c>
      <c r="Q71" s="562"/>
      <c r="R71" s="562">
        <f>SUM(R68:R70)</f>
        <v>0</v>
      </c>
      <c r="S71" s="562"/>
      <c r="T71" s="562">
        <f>SUM(T68:T70)</f>
        <v>0</v>
      </c>
      <c r="U71" s="562"/>
      <c r="V71" s="562">
        <f>SUM(V68:V70)</f>
        <v>503730</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522507</v>
      </c>
      <c r="O84" s="562"/>
      <c r="P84" s="562"/>
      <c r="Q84" s="562"/>
      <c r="R84" s="562"/>
      <c r="S84" s="562"/>
      <c r="T84" s="562"/>
      <c r="U84" s="562"/>
      <c r="V84" s="562">
        <f>SUM(V71:V83)</f>
        <v>503730</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44680</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18777-19</f>
        <v>18758</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3130+1966-1102-988</f>
        <v>3006</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47+33</f>
        <v>80</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20</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506</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18758</v>
      </c>
      <c r="U96" s="522"/>
      <c r="V96" s="562">
        <f>SUM(V88:V95)</f>
        <v>3612</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18758</v>
      </c>
      <c r="U100" s="522"/>
      <c r="V100" s="562">
        <f>V96+V98+V97+V99</f>
        <v>3612</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-195-103-7</f>
        <v>-305</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v>-805</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-101</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-182</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-51</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-212</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-48</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-11</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19</v>
      </c>
      <c r="U114" s="522"/>
      <c r="V114" s="563">
        <v>-19</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-194</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-239</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-506</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-15</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-919</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-8619</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-1533</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-1787</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-1787</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-625</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-2173</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-425</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-1828</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-18777</v>
      </c>
      <c r="U137" s="562"/>
      <c r="V137" s="562">
        <f>SUM(V102:V134)</f>
        <v>-3612</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APRIL 2022</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19</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19</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-19</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503730</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503730</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+'Jan 22'!S188</f>
        <v>57078</v>
      </c>
      <c r="T186" s="563">
        <f>+'Jan 22'!T188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3.6479028697571745</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2.06</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10.296137339055795</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8.0399999999999991</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8.3307692307692314</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7.24</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APRIL 2022</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44680</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2.6046559419817858E-2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1.0855565187250775E-2</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1.5190994232567083E-2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6.9128260482634683E-3</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7.0012330770160824</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3.5936360661196882E-2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6.9900000000000004E-2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1</v>
      </c>
      <c r="T221" s="577">
        <v>204</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76</v>
      </c>
      <c r="T222" s="579">
        <f>+T274</f>
        <v>11164</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+R296</f>
        <v>0</v>
      </c>
      <c r="T223" s="579">
        <f>+T296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19</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'Jan 22'!T228+'April 22'!T227</f>
        <v>8923</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1</v>
      </c>
      <c r="T234" s="579">
        <v>80</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0</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3840</v>
      </c>
      <c r="S241" s="588">
        <f t="shared" ref="S241:S248" si="2">R241/$R$250</f>
        <v>0.99327470253491978</v>
      </c>
      <c r="T241" s="589">
        <f t="shared" ref="T241:T248" si="3">+T253+T265+T287</f>
        <v>499263</v>
      </c>
      <c r="U241" s="588">
        <f t="shared" ref="U241:U248" si="4">T241/$T$250</f>
        <v>0.99113215413018874</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17</v>
      </c>
      <c r="S242" s="593">
        <f t="shared" si="2"/>
        <v>4.3973098810139678E-3</v>
      </c>
      <c r="T242" s="563">
        <f t="shared" si="3"/>
        <v>3402</v>
      </c>
      <c r="U242" s="593">
        <f t="shared" si="4"/>
        <v>6.7536180096480257E-3</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1</v>
      </c>
      <c r="S243" s="593">
        <f t="shared" si="2"/>
        <v>2.5866528711846869E-4</v>
      </c>
      <c r="T243" s="563">
        <f t="shared" si="3"/>
        <v>73</v>
      </c>
      <c r="U243" s="593">
        <f t="shared" si="4"/>
        <v>1.4491890496893178E-4</v>
      </c>
      <c r="V243" s="582"/>
      <c r="W243" s="583"/>
      <c r="X243" s="512"/>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1</v>
      </c>
      <c r="S244" s="593">
        <f t="shared" si="2"/>
        <v>2.5866528711846869E-4</v>
      </c>
      <c r="T244" s="563">
        <f t="shared" si="3"/>
        <v>73</v>
      </c>
      <c r="U244" s="593">
        <f t="shared" si="4"/>
        <v>1.4491890496893178E-4</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1</v>
      </c>
      <c r="S245" s="593">
        <f t="shared" si="2"/>
        <v>2.5866528711846869E-4</v>
      </c>
      <c r="T245" s="563">
        <f t="shared" si="3"/>
        <v>174</v>
      </c>
      <c r="U245" s="593">
        <f t="shared" si="4"/>
        <v>3.4542314335060447E-4</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1</v>
      </c>
      <c r="S246" s="593">
        <f t="shared" si="2"/>
        <v>2.5866528711846869E-4</v>
      </c>
      <c r="T246" s="563">
        <f t="shared" si="3"/>
        <v>299</v>
      </c>
      <c r="U246" s="593">
        <f t="shared" si="4"/>
        <v>5.9357195322891235E-4</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5</v>
      </c>
      <c r="S247" s="593">
        <f t="shared" si="2"/>
        <v>1.2933264355923435E-3</v>
      </c>
      <c r="T247" s="563">
        <f t="shared" si="3"/>
        <v>446</v>
      </c>
      <c r="U247" s="593">
        <f t="shared" si="4"/>
        <v>8.8539495364580237E-4</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0</v>
      </c>
      <c r="S248" s="593">
        <f t="shared" si="2"/>
        <v>0</v>
      </c>
      <c r="T248" s="563">
        <f t="shared" si="3"/>
        <v>0</v>
      </c>
      <c r="U248" s="593">
        <f t="shared" si="4"/>
        <v>0</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3866</v>
      </c>
      <c r="S250" s="593">
        <f>SUM(S241:S249)</f>
        <v>1</v>
      </c>
      <c r="T250" s="563">
        <f>SUM(T241:T249)</f>
        <v>503730</v>
      </c>
      <c r="U250" s="593">
        <f>SUM(U241:U249)</f>
        <v>1</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3772</v>
      </c>
      <c r="S253" s="595">
        <f t="shared" ref="S253:S260" si="5">R253/$R$262</f>
        <v>0.99525065963060688</v>
      </c>
      <c r="T253" s="596">
        <v>488750</v>
      </c>
      <c r="U253" s="595">
        <f t="shared" ref="U253:U260" si="6">T253/$T$262</f>
        <v>0.99225281485120775</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13</v>
      </c>
      <c r="S254" s="593">
        <f t="shared" si="5"/>
        <v>3.4300791556728231E-3</v>
      </c>
      <c r="T254" s="563">
        <v>3107</v>
      </c>
      <c r="U254" s="593">
        <f t="shared" si="6"/>
        <v>6.3077841345119236E-3</v>
      </c>
      <c r="V254" s="582"/>
      <c r="W254" s="583"/>
      <c r="X254" s="512"/>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1</v>
      </c>
      <c r="S255" s="593">
        <f t="shared" si="5"/>
        <v>2.6385224274406332E-4</v>
      </c>
      <c r="T255" s="563">
        <v>73</v>
      </c>
      <c r="U255" s="593">
        <f t="shared" si="6"/>
        <v>1.4820348948161262E-4</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1</v>
      </c>
      <c r="S256" s="593">
        <f t="shared" si="5"/>
        <v>2.6385224274406332E-4</v>
      </c>
      <c r="T256" s="563">
        <v>73</v>
      </c>
      <c r="U256" s="593">
        <f t="shared" si="6"/>
        <v>1.4820348948161262E-4</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1</v>
      </c>
      <c r="S257" s="593">
        <f t="shared" si="5"/>
        <v>2.6385224274406332E-4</v>
      </c>
      <c r="T257" s="563">
        <v>174</v>
      </c>
      <c r="U257" s="593">
        <f t="shared" si="6"/>
        <v>3.5325215301096704E-4</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1</v>
      </c>
      <c r="S258" s="593">
        <f t="shared" si="5"/>
        <v>2.6385224274406332E-4</v>
      </c>
      <c r="T258" s="563">
        <v>299</v>
      </c>
      <c r="U258" s="593">
        <f t="shared" si="6"/>
        <v>6.0702525143838592E-4</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1</v>
      </c>
      <c r="S259" s="593">
        <f t="shared" si="5"/>
        <v>2.6385224274406332E-4</v>
      </c>
      <c r="T259" s="563">
        <v>90</v>
      </c>
      <c r="U259" s="593">
        <f t="shared" si="6"/>
        <v>1.827166308677416E-4</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0</v>
      </c>
      <c r="S260" s="593">
        <f t="shared" si="5"/>
        <v>0</v>
      </c>
      <c r="T260" s="563">
        <v>0</v>
      </c>
      <c r="U260" s="593">
        <f t="shared" si="6"/>
        <v>0</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3790</v>
      </c>
      <c r="S262" s="593">
        <f>SUM(S253:S261)</f>
        <v>1</v>
      </c>
      <c r="T262" s="563">
        <f>SUM(T253:T261)</f>
        <v>492566</v>
      </c>
      <c r="U262" s="593">
        <f>SUM(U253:U261)</f>
        <v>1</v>
      </c>
      <c r="V262" s="522"/>
      <c r="W262" s="524"/>
      <c r="X262" s="512"/>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68</v>
      </c>
      <c r="S265" s="595">
        <f t="shared" ref="S265:S272" si="7">R265/$R$274</f>
        <v>0.89473684210526316</v>
      </c>
      <c r="T265" s="596">
        <v>10513</v>
      </c>
      <c r="U265" s="595">
        <f t="shared" ref="U265:U272" si="8">T265/$T$274</f>
        <v>0.94168756718022217</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4</v>
      </c>
      <c r="S266" s="593">
        <f t="shared" si="7"/>
        <v>5.2631578947368418E-2</v>
      </c>
      <c r="T266" s="563">
        <v>295</v>
      </c>
      <c r="U266" s="593">
        <f t="shared" si="8"/>
        <v>2.6424220709423147E-2</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0</v>
      </c>
      <c r="S267" s="593">
        <f t="shared" si="7"/>
        <v>0</v>
      </c>
      <c r="T267" s="563">
        <v>0</v>
      </c>
      <c r="U267" s="593">
        <f t="shared" si="8"/>
        <v>0</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0</v>
      </c>
      <c r="S268" s="593">
        <f t="shared" si="7"/>
        <v>0</v>
      </c>
      <c r="T268" s="563">
        <v>0</v>
      </c>
      <c r="U268" s="593">
        <f t="shared" si="8"/>
        <v>0</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0</v>
      </c>
      <c r="S269" s="593">
        <f t="shared" si="7"/>
        <v>0</v>
      </c>
      <c r="T269" s="563">
        <v>0</v>
      </c>
      <c r="U269" s="593">
        <f t="shared" si="8"/>
        <v>0</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0</v>
      </c>
      <c r="S270" s="593">
        <f t="shared" si="7"/>
        <v>0</v>
      </c>
      <c r="T270" s="563">
        <v>0</v>
      </c>
      <c r="U270" s="593">
        <f t="shared" si="8"/>
        <v>0</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4</v>
      </c>
      <c r="S271" s="593">
        <f t="shared" si="7"/>
        <v>5.2631578947368418E-2</v>
      </c>
      <c r="T271" s="563">
        <v>356</v>
      </c>
      <c r="U271" s="593">
        <f t="shared" si="8"/>
        <v>3.1888212110354711E-2</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0</v>
      </c>
      <c r="S272" s="593">
        <f t="shared" si="7"/>
        <v>0</v>
      </c>
      <c r="T272" s="563">
        <v>0</v>
      </c>
      <c r="U272" s="593">
        <f t="shared" si="8"/>
        <v>0</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76</v>
      </c>
      <c r="S274" s="593">
        <f>SUM(S265:S273)</f>
        <v>1</v>
      </c>
      <c r="T274" s="563">
        <f>SUM(T265:T273)</f>
        <v>11164</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55</v>
      </c>
      <c r="S277" s="593">
        <f>R277/R284</f>
        <v>0.72368421052631582</v>
      </c>
      <c r="T277" s="563">
        <v>9081</v>
      </c>
      <c r="U277" s="593">
        <f>T277/T284</f>
        <v>0.81341812970261551</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2</v>
      </c>
      <c r="S278" s="593">
        <f>R278/R284</f>
        <v>2.6315789473684209E-2</v>
      </c>
      <c r="T278" s="563">
        <v>313</v>
      </c>
      <c r="U278" s="593">
        <f>T278/T284</f>
        <v>2.8036546040845576E-2</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3</v>
      </c>
      <c r="S279" s="593">
        <f>R279/R284</f>
        <v>3.9473684210526314E-2</v>
      </c>
      <c r="T279" s="563">
        <v>226</v>
      </c>
      <c r="U279" s="593">
        <f>T279/T284</f>
        <v>2.0243640272303833E-2</v>
      </c>
      <c r="V279" s="522"/>
      <c r="W279" s="524"/>
      <c r="X279" s="512"/>
    </row>
    <row r="280" spans="1:24" s="513" customFormat="1" x14ac:dyDescent="0.3">
      <c r="A280" s="521"/>
      <c r="B280" s="522" t="s">
        <v>413</v>
      </c>
      <c r="C280" s="522"/>
      <c r="D280" s="522"/>
      <c r="E280" s="522"/>
      <c r="F280" s="522"/>
      <c r="G280" s="522"/>
      <c r="H280" s="594"/>
      <c r="I280" s="594"/>
      <c r="J280" s="594"/>
      <c r="K280" s="594"/>
      <c r="L280" s="594"/>
      <c r="M280" s="594"/>
      <c r="N280" s="594"/>
      <c r="O280" s="594"/>
      <c r="P280" s="594"/>
      <c r="Q280" s="594"/>
      <c r="R280" s="562">
        <v>8</v>
      </c>
      <c r="S280" s="593">
        <f>R280/R284</f>
        <v>0.10526315789473684</v>
      </c>
      <c r="T280" s="563">
        <v>919</v>
      </c>
      <c r="U280" s="593">
        <f>T280/T284</f>
        <v>8.2318165532067361E-2</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3</v>
      </c>
      <c r="S281" s="593">
        <f>R281/R284</f>
        <v>3.9473684210526314E-2</v>
      </c>
      <c r="T281" s="563">
        <v>219</v>
      </c>
      <c r="U281" s="593">
        <f>T281/T284</f>
        <v>1.9616624865639556E-2</v>
      </c>
      <c r="V281" s="522"/>
      <c r="W281" s="524"/>
      <c r="X281" s="512"/>
    </row>
    <row r="282" spans="1:24" s="513" customFormat="1" x14ac:dyDescent="0.3">
      <c r="A282" s="521"/>
      <c r="B282" s="424" t="s">
        <v>402</v>
      </c>
      <c r="C282" s="522"/>
      <c r="D282" s="522"/>
      <c r="E282" s="522"/>
      <c r="F282" s="522"/>
      <c r="G282" s="522"/>
      <c r="H282" s="594"/>
      <c r="I282" s="594"/>
      <c r="J282" s="594"/>
      <c r="K282" s="594"/>
      <c r="L282" s="594"/>
      <c r="M282" s="594"/>
      <c r="N282" s="594"/>
      <c r="O282" s="594"/>
      <c r="P282" s="594"/>
      <c r="Q282" s="594"/>
      <c r="R282" s="562">
        <v>5</v>
      </c>
      <c r="S282" s="593">
        <f>R282/R284</f>
        <v>6.5789473684210523E-2</v>
      </c>
      <c r="T282" s="563">
        <v>406</v>
      </c>
      <c r="U282" s="593">
        <f>T282/T284</f>
        <v>3.6366893586528129E-2</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76</v>
      </c>
      <c r="S284" s="593">
        <f>SUM(S277:S282)</f>
        <v>1</v>
      </c>
      <c r="T284" s="563">
        <f>SUM(T277:T282)</f>
        <v>11164</v>
      </c>
      <c r="U284" s="593">
        <f>SUM(U277:U283)</f>
        <v>1</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0</v>
      </c>
      <c r="S296" s="593">
        <f>SUM(S287:S295)</f>
        <v>0</v>
      </c>
      <c r="T296" s="563">
        <f>SUM(T287:T294)</f>
        <v>0</v>
      </c>
      <c r="U296" s="593">
        <f>SUM(U287:U295)</f>
        <v>0</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3866</v>
      </c>
      <c r="S298" s="593"/>
      <c r="T298" s="599">
        <f>+T296+T274+T262</f>
        <v>503730</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509"/>
      <c r="B300" s="510"/>
      <c r="C300" s="510"/>
      <c r="D300" s="510"/>
      <c r="E300" s="510"/>
      <c r="F300" s="510"/>
      <c r="G300" s="510"/>
      <c r="H300" s="600"/>
      <c r="I300" s="600"/>
      <c r="J300" s="600"/>
      <c r="K300" s="600"/>
      <c r="L300" s="600"/>
      <c r="M300" s="600"/>
      <c r="N300" s="600"/>
      <c r="O300" s="600"/>
      <c r="P300" s="600"/>
      <c r="Q300" s="600"/>
      <c r="R300" s="600"/>
      <c r="S300" s="600"/>
      <c r="T300" s="601"/>
      <c r="U300" s="600"/>
      <c r="V300" s="510"/>
      <c r="W300" s="510"/>
      <c r="X300" s="512"/>
    </row>
    <row r="301" spans="1:24" s="513" customFormat="1" x14ac:dyDescent="0.3">
      <c r="A301" s="509"/>
      <c r="B301" s="508" t="s">
        <v>93</v>
      </c>
      <c r="C301" s="510"/>
      <c r="D301" s="510"/>
      <c r="E301" s="510"/>
      <c r="F301" s="516" t="s">
        <v>99</v>
      </c>
      <c r="G301" s="510"/>
      <c r="H301" s="508" t="s">
        <v>101</v>
      </c>
      <c r="I301" s="510"/>
      <c r="J301" s="510"/>
      <c r="K301" s="510"/>
      <c r="L301" s="510"/>
      <c r="M301" s="510"/>
      <c r="N301" s="510"/>
      <c r="O301" s="510"/>
      <c r="P301" s="510"/>
      <c r="Q301" s="510"/>
      <c r="R301" s="510"/>
      <c r="S301" s="510"/>
      <c r="T301" s="510"/>
      <c r="U301" s="510"/>
      <c r="V301" s="510"/>
      <c r="W301" s="510"/>
      <c r="X301" s="512"/>
    </row>
    <row r="302" spans="1:24" s="513" customFormat="1" x14ac:dyDescent="0.3">
      <c r="A302" s="509"/>
      <c r="B302" s="508" t="s">
        <v>327</v>
      </c>
      <c r="C302" s="508"/>
      <c r="D302" s="508"/>
      <c r="E302" s="508"/>
      <c r="F302" s="602" t="s">
        <v>278</v>
      </c>
      <c r="G302" s="508"/>
      <c r="H302" s="402" t="s">
        <v>350</v>
      </c>
      <c r="I302" s="510"/>
      <c r="J302" s="510"/>
      <c r="K302" s="510"/>
      <c r="L302" s="510"/>
      <c r="M302" s="510"/>
      <c r="N302" s="510"/>
      <c r="O302" s="510"/>
      <c r="P302" s="510"/>
      <c r="Q302" s="510"/>
      <c r="R302" s="510"/>
      <c r="S302" s="510"/>
      <c r="T302" s="510"/>
      <c r="U302" s="510"/>
      <c r="V302" s="510"/>
      <c r="W302" s="510"/>
      <c r="X302" s="512"/>
    </row>
    <row r="303" spans="1:24" s="513" customFormat="1" x14ac:dyDescent="0.3">
      <c r="A303" s="509"/>
      <c r="B303" s="508" t="s">
        <v>328</v>
      </c>
      <c r="C303" s="508"/>
      <c r="D303" s="508"/>
      <c r="E303" s="508"/>
      <c r="F303" s="602" t="s">
        <v>152</v>
      </c>
      <c r="G303" s="508"/>
      <c r="H303" s="402" t="s">
        <v>351</v>
      </c>
      <c r="I303" s="510"/>
      <c r="J303" s="510"/>
      <c r="K303" s="510"/>
      <c r="L303" s="510"/>
      <c r="M303" s="510"/>
      <c r="N303" s="510"/>
      <c r="O303" s="510"/>
      <c r="P303" s="510"/>
      <c r="Q303" s="510"/>
      <c r="R303" s="510"/>
      <c r="S303" s="510"/>
      <c r="T303" s="510"/>
      <c r="U303" s="510"/>
      <c r="V303" s="510"/>
      <c r="W303" s="510"/>
      <c r="X303" s="512"/>
    </row>
    <row r="304" spans="1:24" s="513" customFormat="1" x14ac:dyDescent="0.3">
      <c r="A304" s="509"/>
      <c r="B304" s="508"/>
      <c r="C304" s="508"/>
      <c r="D304" s="508"/>
      <c r="E304" s="508"/>
      <c r="F304" s="602"/>
      <c r="G304" s="508"/>
      <c r="H304" s="402"/>
      <c r="I304" s="510"/>
      <c r="J304" s="510"/>
      <c r="K304" s="510"/>
      <c r="L304" s="510"/>
      <c r="M304" s="510"/>
      <c r="N304" s="510"/>
      <c r="O304" s="510"/>
      <c r="P304" s="510"/>
      <c r="Q304" s="510"/>
      <c r="R304" s="510"/>
      <c r="S304" s="510"/>
      <c r="T304" s="510"/>
      <c r="U304" s="510"/>
      <c r="V304" s="510"/>
      <c r="W304" s="510"/>
      <c r="X304" s="512"/>
    </row>
    <row r="305" spans="1:24" s="513" customFormat="1" ht="18" x14ac:dyDescent="0.35">
      <c r="A305" s="509"/>
      <c r="B305" s="647" t="s">
        <v>174</v>
      </c>
      <c r="C305" s="508"/>
      <c r="D305" s="508"/>
      <c r="E305" s="508"/>
      <c r="F305" s="602"/>
      <c r="G305" s="508"/>
      <c r="H305" s="402"/>
      <c r="I305" s="510"/>
      <c r="J305" s="510"/>
      <c r="K305" s="510"/>
      <c r="L305" s="552"/>
      <c r="M305" s="552"/>
      <c r="N305" s="552"/>
      <c r="O305" s="552"/>
      <c r="P305" s="648" t="s">
        <v>349</v>
      </c>
      <c r="Q305" s="552"/>
      <c r="R305" s="552"/>
      <c r="S305" s="552"/>
      <c r="T305" s="510"/>
      <c r="U305" s="510"/>
      <c r="V305" s="510"/>
      <c r="W305" s="510"/>
      <c r="X305" s="512"/>
    </row>
    <row r="306" spans="1:24" s="513" customFormat="1" x14ac:dyDescent="0.3">
      <c r="A306" s="509"/>
      <c r="B306" s="508"/>
      <c r="C306" s="508"/>
      <c r="D306" s="508"/>
      <c r="E306" s="508"/>
      <c r="F306" s="508"/>
      <c r="G306" s="508"/>
      <c r="H306" s="510"/>
      <c r="I306" s="510"/>
      <c r="J306" s="510"/>
      <c r="K306" s="510"/>
      <c r="L306" s="510"/>
      <c r="M306" s="510"/>
      <c r="N306" s="510"/>
      <c r="O306" s="510"/>
      <c r="P306" s="510"/>
      <c r="Q306" s="510"/>
      <c r="R306" s="510"/>
      <c r="S306" s="510"/>
      <c r="T306" s="510"/>
      <c r="U306" s="510"/>
      <c r="V306" s="510"/>
      <c r="W306" s="510"/>
      <c r="X306" s="512"/>
    </row>
    <row r="307" spans="1:24" s="513" customFormat="1" ht="18.600000000000001" thickBot="1" x14ac:dyDescent="0.4">
      <c r="A307" s="509"/>
      <c r="B307" s="603" t="str">
        <f>B202</f>
        <v>PM12 INVESTOR REPORT QUARTER ENDING APRIL 2022</v>
      </c>
      <c r="C307" s="508"/>
      <c r="D307" s="508"/>
      <c r="E307" s="508"/>
      <c r="F307" s="508"/>
      <c r="G307" s="508"/>
      <c r="H307" s="510"/>
      <c r="I307" s="510"/>
      <c r="J307" s="510"/>
      <c r="K307" s="510"/>
      <c r="L307" s="510"/>
      <c r="M307" s="510"/>
      <c r="N307" s="510"/>
      <c r="O307" s="510"/>
      <c r="P307" s="510"/>
      <c r="Q307" s="510"/>
      <c r="R307" s="510"/>
      <c r="S307" s="510"/>
      <c r="T307" s="510"/>
      <c r="U307" s="510"/>
      <c r="V307" s="510"/>
      <c r="W307" s="510"/>
      <c r="X307" s="512"/>
    </row>
    <row r="308" spans="1:24" x14ac:dyDescent="0.3">
      <c r="A308" s="492"/>
      <c r="B308" s="492"/>
      <c r="C308" s="492"/>
      <c r="D308" s="492"/>
      <c r="E308" s="492"/>
      <c r="F308" s="492"/>
      <c r="G308" s="492"/>
      <c r="H308" s="492"/>
      <c r="I308" s="492"/>
      <c r="J308" s="492"/>
      <c r="K308" s="492"/>
      <c r="L308" s="492"/>
      <c r="M308" s="492"/>
      <c r="N308" s="492"/>
      <c r="O308" s="492"/>
      <c r="P308" s="492"/>
      <c r="Q308" s="492"/>
      <c r="R308" s="492"/>
      <c r="S308" s="492"/>
      <c r="T308" s="492"/>
      <c r="U308" s="492"/>
      <c r="V308" s="492"/>
      <c r="W308" s="492"/>
    </row>
    <row r="309" spans="1:24" x14ac:dyDescent="0.3">
      <c r="B309" s="406" t="s">
        <v>384</v>
      </c>
    </row>
    <row r="310" spans="1:24" x14ac:dyDescent="0.3">
      <c r="B310" s="623" t="s">
        <v>378</v>
      </c>
    </row>
    <row r="312" spans="1:24" x14ac:dyDescent="0.3">
      <c r="B312" s="649" t="s">
        <v>432</v>
      </c>
    </row>
    <row r="313" spans="1:24" x14ac:dyDescent="0.3">
      <c r="B313" s="406" t="s">
        <v>433</v>
      </c>
    </row>
    <row r="314" spans="1:24" x14ac:dyDescent="0.3">
      <c r="B314" s="677" t="s">
        <v>430</v>
      </c>
    </row>
    <row r="315" spans="1:24" x14ac:dyDescent="0.3">
      <c r="B315" s="406" t="s">
        <v>428</v>
      </c>
    </row>
    <row r="316" spans="1:24" x14ac:dyDescent="0.3">
      <c r="B316" s="406" t="s">
        <v>436</v>
      </c>
    </row>
    <row r="317" spans="1:24" x14ac:dyDescent="0.3">
      <c r="B317" s="406" t="s">
        <v>431</v>
      </c>
    </row>
    <row r="318" spans="1:24" x14ac:dyDescent="0.3">
      <c r="B318" s="677" t="s">
        <v>429</v>
      </c>
    </row>
    <row r="319" spans="1:24" x14ac:dyDescent="0.3">
      <c r="B319" s="677"/>
    </row>
    <row r="320" spans="1:24" x14ac:dyDescent="0.3">
      <c r="B320" s="678" t="s">
        <v>453</v>
      </c>
    </row>
    <row r="322" spans="2:2" x14ac:dyDescent="0.3">
      <c r="B322" s="649" t="s">
        <v>421</v>
      </c>
    </row>
    <row r="323" spans="2:2" x14ac:dyDescent="0.3">
      <c r="B323" s="406" t="s">
        <v>423</v>
      </c>
    </row>
    <row r="324" spans="2:2" x14ac:dyDescent="0.3">
      <c r="B324" s="676" t="s">
        <v>422</v>
      </c>
    </row>
  </sheetData>
  <hyperlinks>
    <hyperlink ref="I9" r:id="rId1" xr:uid="{B33D59AE-447A-43BF-9DCF-65729A8A8A5D}"/>
    <hyperlink ref="P238" r:id="rId2" xr:uid="{9414C1EF-BF88-4E3F-91F6-EC16578337BF}"/>
    <hyperlink ref="B310" r:id="rId3" xr:uid="{E75898C4-CF25-4AA9-AA93-64C20F15767C}"/>
    <hyperlink ref="P305" r:id="rId4" xr:uid="{8B4D3A33-6344-4039-BF0E-58559D2C663A}"/>
    <hyperlink ref="B324" r:id="rId5" display="https://investorreporting.paragonbankinggroup.co.uk/bondinvestor_viewer/resources/bondinvestor/pdf/investornews/2021/libor-mortgages-transition-july-19" xr:uid="{EA22B523-EE4C-40A3-A274-ABA553C207E6}"/>
    <hyperlink ref="B318" r:id="rId6" display="https://protect-eu.mimecast.com/s/wcu_C4934SBRnRxHOTIMr?domain=londonstockexchange.com" xr:uid="{6B955D34-E468-42FA-B135-0C126296FE54}"/>
    <hyperlink ref="B314" r:id="rId7" display="https://protect-eu.mimecast.com/s/GQAHC60N2crGn7VHp3gPx?domain=londonstockexchange.com" xr:uid="{54C3FB5F-853E-48A6-99F0-A7C08B30451F}"/>
  </hyperlinks>
  <printOptions horizontalCentered="1" verticalCentered="1"/>
  <pageMargins left="0.19685039370078741" right="0.19685039370078741" top="0.27559055118110237" bottom="0.27559055118110237" header="0" footer="0"/>
  <pageSetup scale="37" orientation="landscape" r:id="rId8"/>
  <headerFooter alignWithMargins="0"/>
  <rowBreaks count="3" manualBreakCount="3">
    <brk id="64" max="23" man="1"/>
    <brk id="141" max="14" man="1"/>
    <brk id="202" max="14" man="1"/>
  </rowBreaks>
  <drawing r:id="rId9"/>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7D643-CF1B-4F70-BB87-7DE84181A58A}">
  <sheetPr>
    <tabColor rgb="FF2D2926"/>
  </sheetPr>
  <dimension ref="A1:AA327"/>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0.69823398032443751</v>
      </c>
      <c r="T16" s="516" t="s">
        <v>145</v>
      </c>
      <c r="U16" s="515">
        <v>0.30176601967556244</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44792</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231229.5357489</v>
      </c>
      <c r="E32" s="529"/>
      <c r="F32" s="530">
        <f>F31*F38</f>
        <v>41128.467000000004</v>
      </c>
      <c r="G32" s="530"/>
      <c r="H32" s="534">
        <f>H31*H38</f>
        <v>69492.927000000011</v>
      </c>
      <c r="I32" s="534"/>
      <c r="J32" s="533">
        <f>J31*J38</f>
        <v>88212.568700000003</v>
      </c>
      <c r="K32" s="530"/>
      <c r="L32" s="530">
        <f>L31*L38</f>
        <v>16770.25</v>
      </c>
      <c r="M32" s="530"/>
      <c r="N32" s="534">
        <f>N31*N38</f>
        <v>84522.06</v>
      </c>
      <c r="O32" s="530"/>
      <c r="P32" s="530">
        <f>P31*P38</f>
        <v>11403.77</v>
      </c>
      <c r="Q32" s="530"/>
      <c r="R32" s="534">
        <f>R31*R38</f>
        <v>71105.86</v>
      </c>
      <c r="S32" s="530"/>
      <c r="T32" s="530"/>
      <c r="U32" s="529"/>
      <c r="V32" s="530"/>
      <c r="W32" s="531"/>
      <c r="X32" s="512"/>
    </row>
    <row r="33" spans="1:25" s="513" customFormat="1" x14ac:dyDescent="0.3">
      <c r="A33" s="521"/>
      <c r="B33" s="527" t="s">
        <v>139</v>
      </c>
      <c r="C33" s="529"/>
      <c r="D33" s="619">
        <f>D34*D37</f>
        <v>221544.6762672</v>
      </c>
      <c r="E33" s="532"/>
      <c r="F33" s="535">
        <f>F37*F31</f>
        <v>39405.867000000006</v>
      </c>
      <c r="G33" s="535"/>
      <c r="H33" s="537">
        <f>H31*H37</f>
        <v>66582.327000000005</v>
      </c>
      <c r="I33" s="537"/>
      <c r="J33" s="536">
        <f>J37*J31</f>
        <v>84517.857600000003</v>
      </c>
      <c r="K33" s="535"/>
      <c r="L33" s="535">
        <f>L37*L31</f>
        <v>16067.844999999999</v>
      </c>
      <c r="M33" s="535"/>
      <c r="N33" s="537">
        <f>N37*N31</f>
        <v>80981.938800000004</v>
      </c>
      <c r="O33" s="535"/>
      <c r="P33" s="535">
        <f>P37*P31</f>
        <v>10926.134599999999</v>
      </c>
      <c r="Q33" s="535"/>
      <c r="R33" s="537">
        <f>R37*R31</f>
        <v>68127.662800000006</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231229.5357489</v>
      </c>
      <c r="E35" s="529"/>
      <c r="F35" s="530">
        <f>F34*F38</f>
        <v>41128.467000000004</v>
      </c>
      <c r="G35" s="530"/>
      <c r="H35" s="530">
        <f>H34*H38</f>
        <v>47926.293483600006</v>
      </c>
      <c r="I35" s="530"/>
      <c r="J35" s="530">
        <f>J34*J38</f>
        <v>47941.687417399997</v>
      </c>
      <c r="K35" s="530"/>
      <c r="L35" s="530">
        <f>L34*L38</f>
        <v>16770.25</v>
      </c>
      <c r="M35" s="530"/>
      <c r="N35" s="530">
        <f>N34*N38</f>
        <v>58291.37657</v>
      </c>
      <c r="O35" s="530"/>
      <c r="P35" s="530">
        <f>P34*P38</f>
        <v>11403.77</v>
      </c>
      <c r="Q35" s="530"/>
      <c r="R35" s="530">
        <f>R34*R38</f>
        <v>49038.223429999998</v>
      </c>
      <c r="S35" s="530"/>
      <c r="T35" s="530"/>
      <c r="U35" s="529"/>
      <c r="V35" s="530">
        <f>SUM(C35:R35)</f>
        <v>503729.60364990006</v>
      </c>
      <c r="W35" s="531"/>
      <c r="X35" s="512"/>
    </row>
    <row r="36" spans="1:25" s="513" customFormat="1" x14ac:dyDescent="0.3">
      <c r="A36" s="525"/>
      <c r="B36" s="527" t="s">
        <v>295</v>
      </c>
      <c r="C36" s="532"/>
      <c r="D36" s="535">
        <f>D34*D37</f>
        <v>221544.6762672</v>
      </c>
      <c r="E36" s="532"/>
      <c r="F36" s="535">
        <f>F34*F37</f>
        <v>39405.867000000006</v>
      </c>
      <c r="G36" s="535"/>
      <c r="H36" s="535">
        <f>H34*H37</f>
        <v>45918.977403600002</v>
      </c>
      <c r="I36" s="535"/>
      <c r="J36" s="535">
        <f>J34*J37</f>
        <v>45933.689155200002</v>
      </c>
      <c r="K36" s="535"/>
      <c r="L36" s="535">
        <f>L34*L37</f>
        <v>16067.844999999999</v>
      </c>
      <c r="M36" s="535"/>
      <c r="N36" s="535">
        <f>N34*N37</f>
        <v>55849.9010786</v>
      </c>
      <c r="O36" s="535"/>
      <c r="P36" s="535">
        <f>P34*P37</f>
        <v>10926.134599999999</v>
      </c>
      <c r="Q36" s="535"/>
      <c r="R36" s="535">
        <f>R34*R37</f>
        <v>46984.306921399999</v>
      </c>
      <c r="S36" s="538"/>
      <c r="T36" s="538"/>
      <c r="U36" s="529"/>
      <c r="V36" s="535">
        <f>SUM(C36:R36)</f>
        <v>482631.39742599998</v>
      </c>
      <c r="W36" s="531"/>
      <c r="X36" s="512"/>
      <c r="Y36" s="621"/>
    </row>
    <row r="37" spans="1:25" x14ac:dyDescent="0.3">
      <c r="A37" s="420"/>
      <c r="B37" s="493" t="s">
        <v>135</v>
      </c>
      <c r="C37" s="494"/>
      <c r="D37" s="495">
        <v>0.27176159999999999</v>
      </c>
      <c r="E37" s="496"/>
      <c r="F37" s="495">
        <v>0.27176460000000002</v>
      </c>
      <c r="G37" s="495"/>
      <c r="H37" s="495">
        <v>0.27176460000000002</v>
      </c>
      <c r="I37" s="495"/>
      <c r="J37" s="495">
        <v>0.27176159999999999</v>
      </c>
      <c r="K37" s="495"/>
      <c r="L37" s="495">
        <v>0.6427138</v>
      </c>
      <c r="M37" s="495"/>
      <c r="N37" s="495">
        <v>0.6427138</v>
      </c>
      <c r="O37" s="495"/>
      <c r="P37" s="495">
        <v>0.6427138</v>
      </c>
      <c r="Q37" s="495"/>
      <c r="R37" s="495">
        <v>0.6427138</v>
      </c>
      <c r="S37" s="425"/>
      <c r="T37" s="425"/>
      <c r="U37" s="424"/>
      <c r="V37" s="424"/>
      <c r="W37" s="426"/>
      <c r="X37" s="405"/>
    </row>
    <row r="38" spans="1:25" x14ac:dyDescent="0.3">
      <c r="A38" s="420"/>
      <c r="B38" s="493" t="s">
        <v>136</v>
      </c>
      <c r="C38" s="494"/>
      <c r="D38" s="495">
        <v>0.2836417</v>
      </c>
      <c r="E38" s="496"/>
      <c r="F38" s="495">
        <v>0.28364460000000002</v>
      </c>
      <c r="G38" s="495"/>
      <c r="H38" s="495">
        <v>0.28364460000000002</v>
      </c>
      <c r="I38" s="495"/>
      <c r="J38" s="495">
        <v>0.2836417</v>
      </c>
      <c r="K38" s="495"/>
      <c r="L38" s="495">
        <v>0.67081000000000002</v>
      </c>
      <c r="M38" s="495"/>
      <c r="N38" s="495">
        <v>0.67081000000000002</v>
      </c>
      <c r="O38" s="495"/>
      <c r="P38" s="495">
        <v>0.67081000000000002</v>
      </c>
      <c r="Q38" s="495"/>
      <c r="R38" s="495">
        <v>0.67081000000000002</v>
      </c>
      <c r="S38" s="427"/>
      <c r="T38" s="428"/>
      <c r="U38" s="424"/>
      <c r="V38" s="427"/>
      <c r="W38" s="426"/>
      <c r="X38" s="405"/>
    </row>
    <row r="39" spans="1:25" s="513" customFormat="1" x14ac:dyDescent="0.3">
      <c r="A39" s="521"/>
      <c r="B39" s="522" t="s">
        <v>451</v>
      </c>
      <c r="C39" s="522"/>
      <c r="D39" s="528" t="s">
        <v>442</v>
      </c>
      <c r="E39" s="522"/>
      <c r="F39" s="528" t="s">
        <v>442</v>
      </c>
      <c r="G39" s="528"/>
      <c r="H39" s="528" t="s">
        <v>237</v>
      </c>
      <c r="I39" s="528"/>
      <c r="J39" s="528" t="s">
        <v>239</v>
      </c>
      <c r="K39" s="528"/>
      <c r="L39" s="528" t="s">
        <v>443</v>
      </c>
      <c r="M39" s="528"/>
      <c r="N39" s="528" t="s">
        <v>240</v>
      </c>
      <c r="O39" s="528"/>
      <c r="P39" s="528" t="s">
        <v>444</v>
      </c>
      <c r="Q39" s="528"/>
      <c r="R39" s="528" t="s">
        <v>241</v>
      </c>
      <c r="S39" s="539"/>
      <c r="T39" s="540"/>
      <c r="U39" s="522"/>
      <c r="V39" s="522"/>
      <c r="W39" s="524"/>
      <c r="X39" s="512"/>
    </row>
    <row r="40" spans="1:25" s="513" customFormat="1" x14ac:dyDescent="0.3">
      <c r="A40" s="521"/>
      <c r="B40" s="522" t="s">
        <v>12</v>
      </c>
      <c r="C40" s="522"/>
      <c r="D40" s="540">
        <v>1.4682300000000001E-2</v>
      </c>
      <c r="E40" s="522"/>
      <c r="F40" s="540">
        <v>1.4682300000000001E-2</v>
      </c>
      <c r="G40" s="539"/>
      <c r="H40" s="540">
        <v>0</v>
      </c>
      <c r="I40" s="540"/>
      <c r="J40" s="540">
        <v>1.6312900000000002E-2</v>
      </c>
      <c r="K40" s="539"/>
      <c r="L40" s="540">
        <v>1.7082300000000002E-2</v>
      </c>
      <c r="M40" s="539"/>
      <c r="N40" s="540">
        <v>7.3999999999999999E-4</v>
      </c>
      <c r="O40" s="539"/>
      <c r="P40" s="540">
        <v>2.1482299999999999E-2</v>
      </c>
      <c r="Q40" s="539"/>
      <c r="R40" s="540">
        <v>5.1399999999999996E-3</v>
      </c>
      <c r="S40" s="539"/>
      <c r="T40" s="540"/>
      <c r="U40" s="522"/>
      <c r="V40" s="528"/>
      <c r="W40" s="524"/>
      <c r="X40" s="512"/>
    </row>
    <row r="41" spans="1:25" s="513" customFormat="1" x14ac:dyDescent="0.3">
      <c r="A41" s="521"/>
      <c r="B41" s="522" t="s">
        <v>13</v>
      </c>
      <c r="C41" s="522"/>
      <c r="D41" s="540">
        <v>9.6045000000000002E-3</v>
      </c>
      <c r="E41" s="522"/>
      <c r="F41" s="540">
        <v>9.6045000000000002E-3</v>
      </c>
      <c r="G41" s="539"/>
      <c r="H41" s="540">
        <v>0</v>
      </c>
      <c r="I41" s="540"/>
      <c r="J41" s="540">
        <v>7.2642999999999996E-3</v>
      </c>
      <c r="K41" s="539"/>
      <c r="L41" s="540">
        <v>1.20045E-2</v>
      </c>
      <c r="M41" s="539"/>
      <c r="N41" s="540">
        <v>0</v>
      </c>
      <c r="O41" s="539"/>
      <c r="P41" s="540">
        <v>1.6404499999999999E-2</v>
      </c>
      <c r="Q41" s="539"/>
      <c r="R41" s="540">
        <v>3.9699999999999996E-3</v>
      </c>
      <c r="S41" s="539"/>
      <c r="T41" s="540"/>
      <c r="U41" s="522"/>
      <c r="V41" s="539" t="s">
        <v>199</v>
      </c>
      <c r="W41" s="524"/>
      <c r="X41" s="512"/>
    </row>
    <row r="42" spans="1:25" s="513" customFormat="1" x14ac:dyDescent="0.3">
      <c r="A42" s="521"/>
      <c r="B42" s="522" t="s">
        <v>449</v>
      </c>
      <c r="C42" s="522"/>
      <c r="D42" s="528" t="s">
        <v>442</v>
      </c>
      <c r="E42" s="522"/>
      <c r="F42" s="528" t="s">
        <v>442</v>
      </c>
      <c r="G42" s="528"/>
      <c r="H42" s="528" t="s">
        <v>445</v>
      </c>
      <c r="I42" s="528"/>
      <c r="J42" s="528" t="s">
        <v>446</v>
      </c>
      <c r="K42" s="528"/>
      <c r="L42" s="528" t="s">
        <v>443</v>
      </c>
      <c r="M42" s="528"/>
      <c r="N42" s="528" t="s">
        <v>448</v>
      </c>
      <c r="O42" s="528"/>
      <c r="P42" s="528" t="s">
        <v>444</v>
      </c>
      <c r="Q42" s="528"/>
      <c r="R42" s="528" t="s">
        <v>447</v>
      </c>
      <c r="S42" s="539"/>
      <c r="T42" s="540"/>
      <c r="U42" s="522"/>
      <c r="V42" s="522"/>
      <c r="W42" s="524"/>
      <c r="X42" s="512"/>
    </row>
    <row r="43" spans="1:25" s="513" customFormat="1" x14ac:dyDescent="0.3">
      <c r="A43" s="521"/>
      <c r="B43" s="522" t="s">
        <v>297</v>
      </c>
      <c r="C43" s="541"/>
      <c r="D43" s="540">
        <f>+D40</f>
        <v>1.4682300000000001E-2</v>
      </c>
      <c r="E43" s="540"/>
      <c r="F43" s="540">
        <f>+F40</f>
        <v>1.4682300000000001E-2</v>
      </c>
      <c r="G43" s="540"/>
      <c r="H43" s="540">
        <v>1.4604300000000001E-2</v>
      </c>
      <c r="I43" s="540"/>
      <c r="J43" s="540">
        <v>1.48463E-2</v>
      </c>
      <c r="K43" s="540"/>
      <c r="L43" s="540">
        <f>+L40</f>
        <v>1.7082300000000002E-2</v>
      </c>
      <c r="M43" s="540"/>
      <c r="N43" s="540">
        <v>1.7284299999999999E-2</v>
      </c>
      <c r="O43" s="540"/>
      <c r="P43" s="540">
        <f>+P40</f>
        <v>2.1482299999999999E-2</v>
      </c>
      <c r="Q43" s="539"/>
      <c r="R43" s="540">
        <v>2.19543E-2</v>
      </c>
      <c r="S43" s="528"/>
      <c r="T43" s="528"/>
      <c r="U43" s="522"/>
      <c r="V43" s="539">
        <f>SUMPRODUCT(D43:R43,D35:R35)/V35</f>
        <v>1.5933365134740085E-2</v>
      </c>
      <c r="W43" s="524"/>
      <c r="X43" s="512"/>
    </row>
    <row r="44" spans="1:25" s="513" customFormat="1" x14ac:dyDescent="0.3">
      <c r="A44" s="521"/>
      <c r="B44" s="522" t="s">
        <v>298</v>
      </c>
      <c r="C44" s="541"/>
      <c r="D44" s="540">
        <f>+D41</f>
        <v>9.6045000000000002E-3</v>
      </c>
      <c r="E44" s="540"/>
      <c r="F44" s="540">
        <f>+F41</f>
        <v>9.6045000000000002E-3</v>
      </c>
      <c r="G44" s="540"/>
      <c r="H44" s="540">
        <v>9.5265000000000002E-3</v>
      </c>
      <c r="I44" s="540"/>
      <c r="J44" s="540">
        <v>9.7684999999999994E-3</v>
      </c>
      <c r="K44" s="540"/>
      <c r="L44" s="540">
        <f>+L41</f>
        <v>1.20045E-2</v>
      </c>
      <c r="M44" s="540"/>
      <c r="N44" s="540">
        <v>1.22065E-2</v>
      </c>
      <c r="O44" s="540"/>
      <c r="P44" s="540">
        <f>+P41</f>
        <v>1.6404499999999999E-2</v>
      </c>
      <c r="Q44" s="539"/>
      <c r="R44" s="540">
        <v>1.6876499999999999E-2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450</v>
      </c>
      <c r="C47" s="522"/>
      <c r="D47" s="528" t="s">
        <v>442</v>
      </c>
      <c r="E47" s="522"/>
      <c r="F47" s="528" t="s">
        <v>442</v>
      </c>
      <c r="G47" s="528"/>
      <c r="H47" s="528" t="s">
        <v>237</v>
      </c>
      <c r="I47" s="528"/>
      <c r="J47" s="528" t="s">
        <v>239</v>
      </c>
      <c r="K47" s="528"/>
      <c r="L47" s="528" t="s">
        <v>443</v>
      </c>
      <c r="M47" s="528"/>
      <c r="N47" s="528" t="s">
        <v>240</v>
      </c>
      <c r="O47" s="528"/>
      <c r="P47" s="528" t="s">
        <v>444</v>
      </c>
      <c r="Q47" s="528"/>
      <c r="R47" s="528" t="s">
        <v>241</v>
      </c>
      <c r="S47" s="542"/>
      <c r="T47" s="542"/>
      <c r="U47" s="542"/>
      <c r="V47" s="542"/>
      <c r="W47" s="524"/>
      <c r="X47" s="512"/>
    </row>
    <row r="48" spans="1:25" s="513" customFormat="1" x14ac:dyDescent="0.3">
      <c r="A48" s="521"/>
      <c r="B48" s="522" t="s">
        <v>452</v>
      </c>
      <c r="C48" s="522"/>
      <c r="D48" s="528" t="s">
        <v>442</v>
      </c>
      <c r="E48" s="522"/>
      <c r="F48" s="528" t="s">
        <v>442</v>
      </c>
      <c r="G48" s="528"/>
      <c r="H48" s="528" t="s">
        <v>445</v>
      </c>
      <c r="I48" s="528"/>
      <c r="J48" s="528" t="s">
        <v>446</v>
      </c>
      <c r="K48" s="528"/>
      <c r="L48" s="528" t="s">
        <v>443</v>
      </c>
      <c r="M48" s="528"/>
      <c r="N48" s="528" t="s">
        <v>448</v>
      </c>
      <c r="O48" s="528"/>
      <c r="P48" s="528" t="s">
        <v>444</v>
      </c>
      <c r="Q48" s="528"/>
      <c r="R48" s="528" t="s">
        <v>447</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40"/>
      <c r="E50" s="540"/>
      <c r="F50" s="540"/>
      <c r="G50" s="540"/>
      <c r="H50" s="540"/>
      <c r="I50" s="540"/>
      <c r="J50" s="540"/>
      <c r="K50" s="540"/>
      <c r="L50" s="540"/>
      <c r="M50" s="540"/>
      <c r="N50" s="540"/>
      <c r="O50" s="540"/>
      <c r="P50" s="540"/>
      <c r="Q50" s="540"/>
      <c r="R50" s="540"/>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0.36799038099463527</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44788</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90</v>
      </c>
      <c r="S57" s="522"/>
      <c r="T57" s="549">
        <v>44607</v>
      </c>
      <c r="U57" s="550"/>
      <c r="V57" s="549">
        <v>44696</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91</v>
      </c>
      <c r="S58" s="522"/>
      <c r="T58" s="549">
        <v>44697</v>
      </c>
      <c r="U58" s="550"/>
      <c r="V58" s="549">
        <v>44787</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44774</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437</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503730</v>
      </c>
      <c r="O68" s="562"/>
      <c r="P68" s="562">
        <f>21098+1</f>
        <v>21099</v>
      </c>
      <c r="Q68" s="562"/>
      <c r="R68" s="562">
        <v>0</v>
      </c>
      <c r="S68" s="562"/>
      <c r="T68" s="562">
        <v>0</v>
      </c>
      <c r="U68" s="562"/>
      <c r="V68" s="563">
        <f>+N68-P68+R68-T68</f>
        <v>482631</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503730</v>
      </c>
      <c r="O71" s="562"/>
      <c r="P71" s="562">
        <f>SUM(P68:P70)</f>
        <v>21099</v>
      </c>
      <c r="Q71" s="562"/>
      <c r="R71" s="562">
        <f>SUM(R68:R70)</f>
        <v>0</v>
      </c>
      <c r="S71" s="562"/>
      <c r="T71" s="562">
        <f>SUM(T68:T70)</f>
        <v>0</v>
      </c>
      <c r="U71" s="562"/>
      <c r="V71" s="562">
        <f>SUM(V68:V70)</f>
        <v>482631</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503730</v>
      </c>
      <c r="O84" s="562"/>
      <c r="P84" s="562"/>
      <c r="Q84" s="562"/>
      <c r="R84" s="562"/>
      <c r="S84" s="562"/>
      <c r="T84" s="562"/>
      <c r="U84" s="562"/>
      <c r="V84" s="562">
        <f>SUM(V71:V83)</f>
        <v>482631</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44771</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21099-75</f>
        <v>21024</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4152+2301-1646-1143</f>
        <v>3664</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81+56</f>
        <v>137</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72</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256</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21024</v>
      </c>
      <c r="U96" s="522"/>
      <c r="V96" s="562">
        <f>SUM(V88:V95)</f>
        <v>4129</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21024</v>
      </c>
      <c r="U100" s="522"/>
      <c r="V100" s="562">
        <f>V96+V98+V97+V99</f>
        <v>4129</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-194-88-7</f>
        <v>-289</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v>-1199</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-150</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-251</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-72</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-268</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-61</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-11</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75</v>
      </c>
      <c r="U114" s="522"/>
      <c r="V114" s="563">
        <v>-75</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-193</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-267</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-256</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-15</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-1017</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-9685</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-1723</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-2007</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-2008</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-702</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-2442</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-478</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-2054</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-21099</v>
      </c>
      <c r="U137" s="562"/>
      <c r="V137" s="562">
        <f>SUM(V102:V134)</f>
        <v>-4129</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JULY 2022</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75</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75</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-75</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482631</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482631</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+'April 22'!S188</f>
        <v>57078</v>
      </c>
      <c r="T186" s="563">
        <f>+'April 22'!T188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2.8450704225352115</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2.06</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7.7058823529411766</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8.0299999999999994</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6.5835866261398177</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7.23</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JULY 2022</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44771</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3.1820707614301835E-2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1.5933365134740085E-2</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1.588734247956175E-2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8.1968514879002634E-3</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6.803383833054915</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4.1885533916979335E-2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7.1300000000000002E-2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0</v>
      </c>
      <c r="T221" s="577">
        <v>0</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72</v>
      </c>
      <c r="T222" s="579">
        <f>+T274</f>
        <v>10782</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+R297</f>
        <v>0</v>
      </c>
      <c r="T223" s="579">
        <f>+T297</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75</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'April 22'!T228+'July 22'!T227</f>
        <v>8998</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5</v>
      </c>
      <c r="T234" s="579">
        <v>429</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3.54</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+R253+R265+R288</f>
        <v>3682</v>
      </c>
      <c r="S241" s="588">
        <f t="shared" ref="S241:S248" si="2">R241/$R$250</f>
        <v>0.99272040981396603</v>
      </c>
      <c r="T241" s="589">
        <f t="shared" ref="T241:T248" si="3">+T253+T265+T288</f>
        <v>478058</v>
      </c>
      <c r="U241" s="588">
        <f t="shared" ref="U241:U248" si="4">T241/$T$250</f>
        <v>0.99052485231988829</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17</v>
      </c>
      <c r="S242" s="593">
        <f t="shared" si="2"/>
        <v>4.5834456726880557E-3</v>
      </c>
      <c r="T242" s="563">
        <f t="shared" si="3"/>
        <v>3193</v>
      </c>
      <c r="U242" s="593">
        <f t="shared" si="4"/>
        <v>6.6158203679415536E-3</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4</v>
      </c>
      <c r="S243" s="593">
        <f t="shared" si="2"/>
        <v>1.0784578053383662E-3</v>
      </c>
      <c r="T243" s="563">
        <f t="shared" si="3"/>
        <v>705</v>
      </c>
      <c r="U243" s="593">
        <f t="shared" si="4"/>
        <v>1.4607433007825855E-3</v>
      </c>
      <c r="V243" s="582"/>
      <c r="W243" s="583"/>
      <c r="X243" s="512"/>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1</v>
      </c>
      <c r="S244" s="593">
        <f t="shared" si="2"/>
        <v>2.6961445133459155E-4</v>
      </c>
      <c r="T244" s="563">
        <f t="shared" si="3"/>
        <v>69</v>
      </c>
      <c r="U244" s="593">
        <f t="shared" si="4"/>
        <v>1.4296636560850835E-4</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3</v>
      </c>
      <c r="S245" s="593">
        <f t="shared" si="2"/>
        <v>8.088433540037746E-4</v>
      </c>
      <c r="T245" s="563">
        <f t="shared" si="3"/>
        <v>452</v>
      </c>
      <c r="U245" s="593">
        <f t="shared" si="4"/>
        <v>9.3653329355138809E-4</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0</v>
      </c>
      <c r="S246" s="593">
        <f t="shared" si="2"/>
        <v>0</v>
      </c>
      <c r="T246" s="563">
        <f t="shared" si="3"/>
        <v>0</v>
      </c>
      <c r="U246" s="593">
        <f t="shared" si="4"/>
        <v>0</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2</v>
      </c>
      <c r="S247" s="593">
        <f t="shared" si="2"/>
        <v>5.392289026691831E-4</v>
      </c>
      <c r="T247" s="563">
        <f t="shared" si="3"/>
        <v>154</v>
      </c>
      <c r="U247" s="593">
        <f t="shared" si="4"/>
        <v>3.1908435222768536E-4</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0</v>
      </c>
      <c r="S248" s="593">
        <f t="shared" si="2"/>
        <v>0</v>
      </c>
      <c r="T248" s="563">
        <f t="shared" si="3"/>
        <v>0</v>
      </c>
      <c r="U248" s="593">
        <f t="shared" si="4"/>
        <v>0</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3709</v>
      </c>
      <c r="S250" s="593">
        <f>SUM(S241:S249)</f>
        <v>1</v>
      </c>
      <c r="T250" s="563">
        <f>SUM(T241:T249)</f>
        <v>482631</v>
      </c>
      <c r="U250" s="593">
        <f>SUM(U241:U249)</f>
        <v>1</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3617</v>
      </c>
      <c r="S253" s="595">
        <f t="shared" ref="S253:S260" si="5">R253/$R$262</f>
        <v>0.99450096233159202</v>
      </c>
      <c r="T253" s="596">
        <v>467886</v>
      </c>
      <c r="U253" s="595">
        <f t="shared" ref="U253:U260" si="6">T253/$T$262</f>
        <v>0.99160112663161304</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16</v>
      </c>
      <c r="S254" s="593">
        <f t="shared" si="5"/>
        <v>4.3992301347264232E-3</v>
      </c>
      <c r="T254" s="563">
        <v>3120</v>
      </c>
      <c r="U254" s="593">
        <f t="shared" si="6"/>
        <v>6.6122848623182415E-3</v>
      </c>
      <c r="V254" s="582"/>
      <c r="W254" s="583"/>
      <c r="X254" s="512"/>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2</v>
      </c>
      <c r="S255" s="593">
        <f t="shared" si="5"/>
        <v>5.499037668408029E-4</v>
      </c>
      <c r="T255" s="563">
        <v>454</v>
      </c>
      <c r="U255" s="593">
        <f t="shared" si="6"/>
        <v>9.6217222035015443E-4</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0</v>
      </c>
      <c r="S256" s="593">
        <f t="shared" si="5"/>
        <v>0</v>
      </c>
      <c r="T256" s="563">
        <v>0</v>
      </c>
      <c r="U256" s="593">
        <f t="shared" si="6"/>
        <v>0</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1</v>
      </c>
      <c r="S257" s="593">
        <f t="shared" si="5"/>
        <v>2.7495188342040145E-4</v>
      </c>
      <c r="T257" s="563">
        <v>299</v>
      </c>
      <c r="U257" s="593">
        <f t="shared" si="6"/>
        <v>6.3367729930549816E-4</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0</v>
      </c>
      <c r="S258" s="593">
        <f t="shared" si="5"/>
        <v>0</v>
      </c>
      <c r="T258" s="563">
        <v>0</v>
      </c>
      <c r="U258" s="593">
        <f t="shared" si="6"/>
        <v>0</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1</v>
      </c>
      <c r="S259" s="593">
        <f t="shared" si="5"/>
        <v>2.7495188342040145E-4</v>
      </c>
      <c r="T259" s="563">
        <v>90</v>
      </c>
      <c r="U259" s="593">
        <f t="shared" si="6"/>
        <v>1.9073898641302621E-4</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0</v>
      </c>
      <c r="S260" s="593">
        <f t="shared" si="5"/>
        <v>0</v>
      </c>
      <c r="T260" s="563">
        <v>0</v>
      </c>
      <c r="U260" s="593">
        <f t="shared" si="6"/>
        <v>0</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3637</v>
      </c>
      <c r="S262" s="593">
        <f>SUM(S253:S261)</f>
        <v>1</v>
      </c>
      <c r="T262" s="563">
        <f>SUM(T253:T261)</f>
        <v>471849</v>
      </c>
      <c r="U262" s="593">
        <f>SUM(U253:U261)</f>
        <v>0.99999999999999989</v>
      </c>
      <c r="V262" s="522"/>
      <c r="W262" s="524"/>
      <c r="X262" s="512"/>
      <c r="Y262" s="570"/>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65</v>
      </c>
      <c r="S265" s="595">
        <f t="shared" ref="S265:S272" si="7">R265/$R$274</f>
        <v>0.90277777777777779</v>
      </c>
      <c r="T265" s="596">
        <v>10172</v>
      </c>
      <c r="U265" s="595">
        <f t="shared" ref="U265:U272" si="8">T265/$T$274</f>
        <v>0.94342422556112038</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1</v>
      </c>
      <c r="S266" s="593">
        <f t="shared" si="7"/>
        <v>1.3888888888888888E-2</v>
      </c>
      <c r="T266" s="563">
        <v>73</v>
      </c>
      <c r="U266" s="593">
        <f t="shared" si="8"/>
        <v>6.7705434984232978E-3</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2</v>
      </c>
      <c r="S267" s="593">
        <f t="shared" si="7"/>
        <v>2.7777777777777776E-2</v>
      </c>
      <c r="T267" s="563">
        <v>251</v>
      </c>
      <c r="U267" s="593">
        <f t="shared" si="8"/>
        <v>2.3279539974030792E-2</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1</v>
      </c>
      <c r="S268" s="593">
        <f t="shared" si="7"/>
        <v>1.3888888888888888E-2</v>
      </c>
      <c r="T268" s="563">
        <v>69</v>
      </c>
      <c r="U268" s="593">
        <f t="shared" si="8"/>
        <v>6.3995548135781857E-3</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2</v>
      </c>
      <c r="S269" s="593">
        <f t="shared" si="7"/>
        <v>2.7777777777777776E-2</v>
      </c>
      <c r="T269" s="563">
        <v>153</v>
      </c>
      <c r="U269" s="593">
        <f t="shared" si="8"/>
        <v>1.4190317195325543E-2</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0</v>
      </c>
      <c r="S270" s="593">
        <f t="shared" si="7"/>
        <v>0</v>
      </c>
      <c r="T270" s="563">
        <v>0</v>
      </c>
      <c r="U270" s="593">
        <f t="shared" si="8"/>
        <v>0</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1</v>
      </c>
      <c r="S271" s="593">
        <f t="shared" si="7"/>
        <v>1.3888888888888888E-2</v>
      </c>
      <c r="T271" s="563">
        <v>64</v>
      </c>
      <c r="U271" s="593">
        <f t="shared" si="8"/>
        <v>5.9358189575217952E-3</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0</v>
      </c>
      <c r="S272" s="593">
        <f t="shared" si="7"/>
        <v>0</v>
      </c>
      <c r="T272" s="563">
        <v>0</v>
      </c>
      <c r="U272" s="593">
        <f t="shared" si="8"/>
        <v>0</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72</v>
      </c>
      <c r="S274" s="593">
        <f>SUM(S265:S273)</f>
        <v>0.99999999999999989</v>
      </c>
      <c r="T274" s="563">
        <f>SUM(T265:T273)</f>
        <v>10782</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21</v>
      </c>
      <c r="S277" s="593">
        <f>R277/R285</f>
        <v>0.29166666666666669</v>
      </c>
      <c r="T277" s="563">
        <v>2636.4448000000007</v>
      </c>
      <c r="U277" s="593">
        <f>T277/T285</f>
        <v>0.24452777263056577</v>
      </c>
      <c r="V277" s="522"/>
      <c r="W277" s="524"/>
      <c r="X277" s="512"/>
    </row>
    <row r="278" spans="1:24" s="513" customFormat="1" x14ac:dyDescent="0.3">
      <c r="A278" s="521"/>
      <c r="B278" s="424" t="s">
        <v>439</v>
      </c>
      <c r="C278" s="522"/>
      <c r="D278" s="522"/>
      <c r="E278" s="522"/>
      <c r="F278" s="522"/>
      <c r="G278" s="522"/>
      <c r="H278" s="594"/>
      <c r="I278" s="594"/>
      <c r="J278" s="594"/>
      <c r="K278" s="594"/>
      <c r="L278" s="594"/>
      <c r="M278" s="594"/>
      <c r="N278" s="594"/>
      <c r="O278" s="594"/>
      <c r="P278" s="594"/>
      <c r="Q278" s="594"/>
      <c r="R278" s="562">
        <v>32</v>
      </c>
      <c r="S278" s="593">
        <f>+R278/R285</f>
        <v>0.44444444444444442</v>
      </c>
      <c r="T278" s="563">
        <v>6131</v>
      </c>
      <c r="U278" s="593">
        <f>+T278/T285</f>
        <v>0.56864447683410568</v>
      </c>
      <c r="V278" s="522"/>
      <c r="W278" s="524"/>
      <c r="X278" s="512"/>
    </row>
    <row r="279" spans="1:24" s="513" customFormat="1" x14ac:dyDescent="0.3">
      <c r="A279" s="521"/>
      <c r="B279" s="522" t="s">
        <v>398</v>
      </c>
      <c r="C279" s="522"/>
      <c r="D279" s="522"/>
      <c r="E279" s="522"/>
      <c r="F279" s="522"/>
      <c r="G279" s="522"/>
      <c r="H279" s="594"/>
      <c r="I279" s="594"/>
      <c r="J279" s="594"/>
      <c r="K279" s="594"/>
      <c r="L279" s="594"/>
      <c r="M279" s="594"/>
      <c r="N279" s="594"/>
      <c r="O279" s="594"/>
      <c r="P279" s="594"/>
      <c r="Q279" s="594"/>
      <c r="R279" s="562">
        <v>1</v>
      </c>
      <c r="S279" s="593">
        <f>R279/R285</f>
        <v>1.3888888888888888E-2</v>
      </c>
      <c r="T279" s="563">
        <v>158.88029999999998</v>
      </c>
      <c r="U279" s="593">
        <f>T279/T285</f>
        <v>1.473599821770441E-2</v>
      </c>
      <c r="V279" s="522"/>
      <c r="W279" s="524"/>
      <c r="X279" s="512"/>
    </row>
    <row r="280" spans="1:24" s="513" customFormat="1" x14ac:dyDescent="0.3">
      <c r="A280" s="521"/>
      <c r="B280" s="522" t="s">
        <v>399</v>
      </c>
      <c r="C280" s="522"/>
      <c r="D280" s="522"/>
      <c r="E280" s="522"/>
      <c r="F280" s="522"/>
      <c r="G280" s="522"/>
      <c r="H280" s="594"/>
      <c r="I280" s="594"/>
      <c r="J280" s="594"/>
      <c r="K280" s="594"/>
      <c r="L280" s="594"/>
      <c r="M280" s="594"/>
      <c r="N280" s="594"/>
      <c r="O280" s="594"/>
      <c r="P280" s="594"/>
      <c r="Q280" s="594"/>
      <c r="R280" s="562">
        <v>5</v>
      </c>
      <c r="S280" s="593">
        <f>R280/R285</f>
        <v>6.9444444444444448E-2</v>
      </c>
      <c r="T280" s="563">
        <v>429.60508000000004</v>
      </c>
      <c r="U280" s="593">
        <f>T280/T285</f>
        <v>3.984546663870072E-2</v>
      </c>
      <c r="V280" s="522"/>
      <c r="W280" s="524"/>
      <c r="X280" s="512"/>
    </row>
    <row r="281" spans="1:24" s="513" customFormat="1" x14ac:dyDescent="0.3">
      <c r="A281" s="521"/>
      <c r="B281" s="522" t="s">
        <v>413</v>
      </c>
      <c r="C281" s="522"/>
      <c r="D281" s="522"/>
      <c r="E281" s="522"/>
      <c r="F281" s="522"/>
      <c r="G281" s="522"/>
      <c r="H281" s="594"/>
      <c r="I281" s="594"/>
      <c r="J281" s="594"/>
      <c r="K281" s="594"/>
      <c r="L281" s="594"/>
      <c r="M281" s="594"/>
      <c r="N281" s="594"/>
      <c r="O281" s="594"/>
      <c r="P281" s="594"/>
      <c r="Q281" s="594"/>
      <c r="R281" s="562">
        <v>8</v>
      </c>
      <c r="S281" s="593">
        <f>R281/R285</f>
        <v>0.1111111111111111</v>
      </c>
      <c r="T281" s="563">
        <v>864.50051999999982</v>
      </c>
      <c r="U281" s="593">
        <f>T281/T285</f>
        <v>8.0181609185811811E-2</v>
      </c>
      <c r="V281" s="522"/>
      <c r="W281" s="524"/>
      <c r="X281" s="512"/>
    </row>
    <row r="282" spans="1:24" s="513" customFormat="1" x14ac:dyDescent="0.3">
      <c r="A282" s="521"/>
      <c r="B282" s="653" t="s">
        <v>404</v>
      </c>
      <c r="C282" s="522"/>
      <c r="D282" s="522"/>
      <c r="E282" s="522"/>
      <c r="F282" s="522"/>
      <c r="G282" s="522"/>
      <c r="H282" s="594"/>
      <c r="I282" s="594"/>
      <c r="J282" s="594"/>
      <c r="K282" s="594"/>
      <c r="L282" s="594"/>
      <c r="M282" s="594"/>
      <c r="N282" s="594"/>
      <c r="O282" s="594"/>
      <c r="P282" s="594"/>
      <c r="Q282" s="594"/>
      <c r="R282" s="562">
        <v>2</v>
      </c>
      <c r="S282" s="593">
        <f>R282/R285</f>
        <v>2.7777777777777776E-2</v>
      </c>
      <c r="T282" s="563">
        <v>247.34992</v>
      </c>
      <c r="U282" s="593">
        <f>T282/T285</f>
        <v>2.2941472166589118E-2</v>
      </c>
      <c r="V282" s="522"/>
      <c r="W282" s="524"/>
      <c r="X282" s="512"/>
    </row>
    <row r="283" spans="1:24" s="513" customFormat="1" x14ac:dyDescent="0.3">
      <c r="A283" s="521"/>
      <c r="B283" s="424" t="s">
        <v>440</v>
      </c>
      <c r="C283" s="522"/>
      <c r="D283" s="522"/>
      <c r="E283" s="522"/>
      <c r="F283" s="522"/>
      <c r="G283" s="522"/>
      <c r="H283" s="594"/>
      <c r="I283" s="594"/>
      <c r="J283" s="594"/>
      <c r="K283" s="594"/>
      <c r="L283" s="594"/>
      <c r="M283" s="594"/>
      <c r="N283" s="594"/>
      <c r="O283" s="594"/>
      <c r="P283" s="594"/>
      <c r="Q283" s="594"/>
      <c r="R283" s="562">
        <v>3</v>
      </c>
      <c r="S283" s="593">
        <f>R283/R285</f>
        <v>4.1666666666666664E-2</v>
      </c>
      <c r="T283" s="563">
        <v>314</v>
      </c>
      <c r="U283" s="593">
        <f>T283/T285</f>
        <v>2.9123204326522455E-2</v>
      </c>
      <c r="V283" s="522"/>
      <c r="W283" s="524"/>
      <c r="X283" s="512"/>
    </row>
    <row r="284" spans="1:24" s="513" customFormat="1" x14ac:dyDescent="0.3">
      <c r="A284" s="521"/>
      <c r="B284" s="522"/>
      <c r="C284" s="522"/>
      <c r="D284" s="522"/>
      <c r="E284" s="522"/>
      <c r="F284" s="522"/>
      <c r="G284" s="522"/>
      <c r="H284" s="594"/>
      <c r="I284" s="594"/>
      <c r="J284" s="594"/>
      <c r="K284" s="594"/>
      <c r="L284" s="594"/>
      <c r="M284" s="594"/>
      <c r="N284" s="594"/>
      <c r="O284" s="594"/>
      <c r="P284" s="594"/>
      <c r="Q284" s="594"/>
      <c r="R284" s="562"/>
      <c r="S284" s="593"/>
      <c r="T284" s="563"/>
      <c r="U284" s="593"/>
      <c r="V284" s="522"/>
      <c r="W284" s="524"/>
      <c r="X284" s="512"/>
    </row>
    <row r="285" spans="1:24" s="513" customFormat="1" x14ac:dyDescent="0.3">
      <c r="A285" s="521"/>
      <c r="B285" s="522" t="s">
        <v>119</v>
      </c>
      <c r="C285" s="522"/>
      <c r="D285" s="522"/>
      <c r="E285" s="522"/>
      <c r="F285" s="522"/>
      <c r="G285" s="522"/>
      <c r="H285" s="594"/>
      <c r="I285" s="594"/>
      <c r="J285" s="594"/>
      <c r="K285" s="594"/>
      <c r="L285" s="594"/>
      <c r="M285" s="594"/>
      <c r="N285" s="594"/>
      <c r="O285" s="594"/>
      <c r="P285" s="594"/>
      <c r="Q285" s="594"/>
      <c r="R285" s="562">
        <f>SUM(R277:R284)</f>
        <v>72</v>
      </c>
      <c r="S285" s="593">
        <f>SUM(S277:S283)</f>
        <v>1</v>
      </c>
      <c r="T285" s="563">
        <f>SUM(T277:T283)</f>
        <v>10781.780620000001</v>
      </c>
      <c r="U285" s="593">
        <f>SUM(U277:U284)</f>
        <v>1</v>
      </c>
      <c r="V285" s="522"/>
      <c r="W285" s="524"/>
      <c r="X285" s="512"/>
    </row>
    <row r="286" spans="1:24" x14ac:dyDescent="0.3">
      <c r="A286" s="407"/>
      <c r="B286" s="429"/>
      <c r="C286" s="429"/>
      <c r="D286" s="429"/>
      <c r="E286" s="429"/>
      <c r="F286" s="429"/>
      <c r="G286" s="429"/>
      <c r="H286" s="488"/>
      <c r="I286" s="488"/>
      <c r="J286" s="488"/>
      <c r="K286" s="488"/>
      <c r="L286" s="488"/>
      <c r="M286" s="488"/>
      <c r="N286" s="488"/>
      <c r="O286" s="488"/>
      <c r="P286" s="488"/>
      <c r="Q286" s="488"/>
      <c r="R286" s="435"/>
      <c r="S286" s="489"/>
      <c r="T286" s="490"/>
      <c r="U286" s="489"/>
      <c r="V286" s="429"/>
      <c r="W286" s="429"/>
      <c r="X286" s="405"/>
    </row>
    <row r="287" spans="1:24" x14ac:dyDescent="0.3">
      <c r="A287" s="418"/>
      <c r="B287" s="464" t="s">
        <v>169</v>
      </c>
      <c r="C287" s="467"/>
      <c r="D287" s="467"/>
      <c r="E287" s="467"/>
      <c r="F287" s="467"/>
      <c r="G287" s="467"/>
      <c r="H287" s="491"/>
      <c r="I287" s="491"/>
      <c r="J287" s="491"/>
      <c r="K287" s="491"/>
      <c r="L287" s="491"/>
      <c r="M287" s="491"/>
      <c r="N287" s="491"/>
      <c r="O287" s="491"/>
      <c r="P287" s="491"/>
      <c r="Q287" s="491"/>
      <c r="R287" s="466" t="s">
        <v>104</v>
      </c>
      <c r="S287" s="465" t="s">
        <v>105</v>
      </c>
      <c r="T287" s="466" t="s">
        <v>113</v>
      </c>
      <c r="U287" s="465" t="s">
        <v>105</v>
      </c>
      <c r="V287" s="467"/>
      <c r="W287" s="468"/>
      <c r="X287" s="405"/>
    </row>
    <row r="288" spans="1:24" s="513" customFormat="1" x14ac:dyDescent="0.3">
      <c r="A288" s="509"/>
      <c r="B288" s="567" t="s">
        <v>90</v>
      </c>
      <c r="C288" s="552"/>
      <c r="D288" s="552"/>
      <c r="E288" s="552"/>
      <c r="F288" s="552"/>
      <c r="G288" s="552"/>
      <c r="H288" s="597"/>
      <c r="I288" s="597"/>
      <c r="J288" s="597"/>
      <c r="K288" s="597"/>
      <c r="L288" s="597"/>
      <c r="M288" s="597"/>
      <c r="N288" s="597"/>
      <c r="O288" s="597"/>
      <c r="P288" s="597"/>
      <c r="Q288" s="597"/>
      <c r="R288" s="567">
        <v>0</v>
      </c>
      <c r="S288" s="595">
        <v>0</v>
      </c>
      <c r="T288" s="596">
        <v>0</v>
      </c>
      <c r="U288" s="595">
        <v>0</v>
      </c>
      <c r="V288" s="552"/>
      <c r="W288" s="552"/>
      <c r="X288" s="512"/>
    </row>
    <row r="289" spans="1:24" s="513" customFormat="1" x14ac:dyDescent="0.3">
      <c r="A289" s="521"/>
      <c r="B289" s="562" t="s">
        <v>91</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92</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161</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162</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163</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164</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t="s">
        <v>165</v>
      </c>
      <c r="C295" s="522"/>
      <c r="D295" s="522"/>
      <c r="E295" s="522"/>
      <c r="F295" s="522"/>
      <c r="G295" s="522"/>
      <c r="H295" s="594"/>
      <c r="I295" s="594"/>
      <c r="J295" s="594"/>
      <c r="K295" s="594"/>
      <c r="L295" s="594"/>
      <c r="M295" s="594"/>
      <c r="N295" s="594"/>
      <c r="O295" s="594"/>
      <c r="P295" s="594"/>
      <c r="Q295" s="594"/>
      <c r="R295" s="562">
        <v>0</v>
      </c>
      <c r="S295" s="593">
        <v>0</v>
      </c>
      <c r="T295" s="563">
        <v>0</v>
      </c>
      <c r="U295" s="593">
        <v>0</v>
      </c>
      <c r="V295" s="522"/>
      <c r="W295" s="524"/>
      <c r="X295" s="512"/>
    </row>
    <row r="296" spans="1:24" s="513" customFormat="1" x14ac:dyDescent="0.3">
      <c r="A296" s="521"/>
      <c r="B296" s="562"/>
      <c r="C296" s="522"/>
      <c r="D296" s="522"/>
      <c r="E296" s="522"/>
      <c r="F296" s="522"/>
      <c r="G296" s="522"/>
      <c r="H296" s="594"/>
      <c r="I296" s="594"/>
      <c r="J296" s="594"/>
      <c r="K296" s="594"/>
      <c r="L296" s="594"/>
      <c r="M296" s="594"/>
      <c r="N296" s="594"/>
      <c r="O296" s="594"/>
      <c r="P296" s="594"/>
      <c r="Q296" s="594"/>
      <c r="R296" s="562"/>
      <c r="S296" s="593"/>
      <c r="T296" s="563"/>
      <c r="U296" s="593"/>
      <c r="V296" s="522"/>
      <c r="W296" s="524"/>
      <c r="X296" s="512"/>
    </row>
    <row r="297" spans="1:24" s="513" customFormat="1" x14ac:dyDescent="0.3">
      <c r="A297" s="521"/>
      <c r="B297" s="522" t="s">
        <v>119</v>
      </c>
      <c r="C297" s="522"/>
      <c r="D297" s="522"/>
      <c r="E297" s="522"/>
      <c r="F297" s="522"/>
      <c r="G297" s="522"/>
      <c r="H297" s="594"/>
      <c r="I297" s="594"/>
      <c r="J297" s="594"/>
      <c r="K297" s="594"/>
      <c r="L297" s="594"/>
      <c r="M297" s="594"/>
      <c r="N297" s="594"/>
      <c r="O297" s="594"/>
      <c r="P297" s="594"/>
      <c r="Q297" s="594"/>
      <c r="R297" s="562">
        <f>SUM(R288:R295)</f>
        <v>0</v>
      </c>
      <c r="S297" s="593">
        <f>SUM(S288:S296)</f>
        <v>0</v>
      </c>
      <c r="T297" s="563">
        <f>SUM(T288:T295)</f>
        <v>0</v>
      </c>
      <c r="U297" s="593">
        <f>SUM(U288:U296)</f>
        <v>0</v>
      </c>
      <c r="V297" s="522"/>
      <c r="W297" s="524"/>
      <c r="X297" s="512"/>
    </row>
    <row r="298" spans="1:24" s="513" customFormat="1" x14ac:dyDescent="0.3">
      <c r="A298" s="521"/>
      <c r="B298" s="522"/>
      <c r="C298" s="522"/>
      <c r="D298" s="522"/>
      <c r="E298" s="522"/>
      <c r="F298" s="522"/>
      <c r="G298" s="522"/>
      <c r="H298" s="594"/>
      <c r="I298" s="594"/>
      <c r="J298" s="594"/>
      <c r="K298" s="594"/>
      <c r="L298" s="594"/>
      <c r="M298" s="594"/>
      <c r="N298" s="594"/>
      <c r="O298" s="594"/>
      <c r="P298" s="594"/>
      <c r="Q298" s="594"/>
      <c r="R298" s="562"/>
      <c r="S298" s="593"/>
      <c r="T298" s="563"/>
      <c r="U298" s="593"/>
      <c r="V298" s="522"/>
      <c r="W298" s="524"/>
      <c r="X298" s="512"/>
    </row>
    <row r="299" spans="1:24" s="513" customFormat="1" x14ac:dyDescent="0.3">
      <c r="A299" s="521"/>
      <c r="B299" s="527" t="s">
        <v>170</v>
      </c>
      <c r="C299" s="522"/>
      <c r="D299" s="522"/>
      <c r="E299" s="522"/>
      <c r="F299" s="522"/>
      <c r="G299" s="522"/>
      <c r="H299" s="594"/>
      <c r="I299" s="594"/>
      <c r="J299" s="594"/>
      <c r="K299" s="594"/>
      <c r="L299" s="594"/>
      <c r="M299" s="594"/>
      <c r="N299" s="594"/>
      <c r="O299" s="594"/>
      <c r="P299" s="594"/>
      <c r="Q299" s="594"/>
      <c r="R299" s="598">
        <f>R297+R274+R262</f>
        <v>3709</v>
      </c>
      <c r="S299" s="593"/>
      <c r="T299" s="599">
        <f>+T297+T274+T262</f>
        <v>482631</v>
      </c>
      <c r="U299" s="593"/>
      <c r="V299" s="522"/>
      <c r="W299" s="524"/>
      <c r="X299" s="512"/>
    </row>
    <row r="300" spans="1:24" s="513" customFormat="1" x14ac:dyDescent="0.3">
      <c r="A300" s="509"/>
      <c r="B300" s="591"/>
      <c r="C300" s="552"/>
      <c r="D300" s="552"/>
      <c r="E300" s="552"/>
      <c r="F300" s="552"/>
      <c r="G300" s="552"/>
      <c r="H300" s="597"/>
      <c r="I300" s="597"/>
      <c r="J300" s="597"/>
      <c r="K300" s="597"/>
      <c r="L300" s="597"/>
      <c r="M300" s="597"/>
      <c r="N300" s="597"/>
      <c r="O300" s="597"/>
      <c r="P300" s="597"/>
      <c r="Q300" s="597"/>
      <c r="R300" s="624"/>
      <c r="S300" s="595"/>
      <c r="T300" s="625"/>
      <c r="U300" s="595"/>
      <c r="V300" s="552"/>
      <c r="W300" s="552"/>
      <c r="X300" s="512"/>
    </row>
    <row r="301" spans="1:24" s="513" customFormat="1" x14ac:dyDescent="0.3">
      <c r="A301" s="509"/>
      <c r="B301" s="510"/>
      <c r="C301" s="510"/>
      <c r="D301" s="510"/>
      <c r="E301" s="510"/>
      <c r="F301" s="510"/>
      <c r="G301" s="510"/>
      <c r="H301" s="600"/>
      <c r="I301" s="600"/>
      <c r="J301" s="600"/>
      <c r="K301" s="600"/>
      <c r="L301" s="600"/>
      <c r="M301" s="600"/>
      <c r="N301" s="600"/>
      <c r="O301" s="600"/>
      <c r="P301" s="600"/>
      <c r="Q301" s="600"/>
      <c r="R301" s="600"/>
      <c r="S301" s="600"/>
      <c r="T301" s="601"/>
      <c r="U301" s="600"/>
      <c r="V301" s="510"/>
      <c r="W301" s="510"/>
      <c r="X301" s="512"/>
    </row>
    <row r="302" spans="1:24" s="513" customFormat="1" x14ac:dyDescent="0.3">
      <c r="A302" s="509"/>
      <c r="B302" s="508" t="s">
        <v>93</v>
      </c>
      <c r="C302" s="510"/>
      <c r="D302" s="510"/>
      <c r="E302" s="510"/>
      <c r="F302" s="516" t="s">
        <v>99</v>
      </c>
      <c r="G302" s="510"/>
      <c r="H302" s="508" t="s">
        <v>101</v>
      </c>
      <c r="I302" s="510"/>
      <c r="J302" s="510"/>
      <c r="K302" s="510"/>
      <c r="L302" s="510"/>
      <c r="M302" s="510"/>
      <c r="N302" s="510"/>
      <c r="O302" s="510"/>
      <c r="P302" s="510"/>
      <c r="Q302" s="510"/>
      <c r="R302" s="510"/>
      <c r="S302" s="510"/>
      <c r="T302" s="510"/>
      <c r="U302" s="510"/>
      <c r="V302" s="510"/>
      <c r="W302" s="510"/>
      <c r="X302" s="512"/>
    </row>
    <row r="303" spans="1:24" s="513" customFormat="1" x14ac:dyDescent="0.3">
      <c r="A303" s="509"/>
      <c r="B303" s="508" t="s">
        <v>327</v>
      </c>
      <c r="C303" s="508"/>
      <c r="D303" s="508"/>
      <c r="E303" s="508"/>
      <c r="F303" s="602" t="s">
        <v>278</v>
      </c>
      <c r="G303" s="508"/>
      <c r="H303" s="402" t="s">
        <v>350</v>
      </c>
      <c r="I303" s="510"/>
      <c r="J303" s="510"/>
      <c r="K303" s="510"/>
      <c r="L303" s="510"/>
      <c r="M303" s="510"/>
      <c r="N303" s="510"/>
      <c r="O303" s="510"/>
      <c r="P303" s="510"/>
      <c r="Q303" s="510"/>
      <c r="R303" s="510"/>
      <c r="S303" s="510"/>
      <c r="T303" s="510"/>
      <c r="U303" s="510"/>
      <c r="V303" s="510"/>
      <c r="W303" s="510"/>
      <c r="X303" s="512"/>
    </row>
    <row r="304" spans="1:24" s="513" customFormat="1" x14ac:dyDescent="0.3">
      <c r="A304" s="509"/>
      <c r="B304" s="508" t="s">
        <v>328</v>
      </c>
      <c r="C304" s="508"/>
      <c r="D304" s="508"/>
      <c r="E304" s="508"/>
      <c r="F304" s="602" t="s">
        <v>152</v>
      </c>
      <c r="G304" s="508"/>
      <c r="H304" s="402" t="s">
        <v>351</v>
      </c>
      <c r="I304" s="510"/>
      <c r="J304" s="510"/>
      <c r="K304" s="510"/>
      <c r="L304" s="510"/>
      <c r="M304" s="510"/>
      <c r="N304" s="510"/>
      <c r="O304" s="510"/>
      <c r="P304" s="510"/>
      <c r="Q304" s="510"/>
      <c r="R304" s="510"/>
      <c r="S304" s="510"/>
      <c r="T304" s="510"/>
      <c r="U304" s="510"/>
      <c r="V304" s="510"/>
      <c r="W304" s="510"/>
      <c r="X304" s="512"/>
    </row>
    <row r="305" spans="1:24" s="513" customFormat="1" x14ac:dyDescent="0.3">
      <c r="A305" s="509"/>
      <c r="B305" s="508"/>
      <c r="C305" s="508"/>
      <c r="D305" s="508"/>
      <c r="E305" s="508"/>
      <c r="F305" s="602"/>
      <c r="G305" s="508"/>
      <c r="H305" s="402"/>
      <c r="I305" s="510"/>
      <c r="J305" s="510"/>
      <c r="K305" s="510"/>
      <c r="L305" s="510"/>
      <c r="M305" s="510"/>
      <c r="N305" s="510"/>
      <c r="O305" s="510"/>
      <c r="P305" s="510"/>
      <c r="Q305" s="510"/>
      <c r="R305" s="510"/>
      <c r="S305" s="510"/>
      <c r="T305" s="510"/>
      <c r="U305" s="510"/>
      <c r="V305" s="510"/>
      <c r="W305" s="510"/>
      <c r="X305" s="512"/>
    </row>
    <row r="306" spans="1:24" s="513" customFormat="1" ht="18" x14ac:dyDescent="0.35">
      <c r="A306" s="509"/>
      <c r="B306" s="647" t="s">
        <v>174</v>
      </c>
      <c r="C306" s="508"/>
      <c r="D306" s="508"/>
      <c r="E306" s="508"/>
      <c r="F306" s="602"/>
      <c r="G306" s="508"/>
      <c r="H306" s="402"/>
      <c r="I306" s="510"/>
      <c r="J306" s="510"/>
      <c r="K306" s="510"/>
      <c r="L306" s="552"/>
      <c r="M306" s="552"/>
      <c r="N306" s="552"/>
      <c r="O306" s="552"/>
      <c r="P306" s="648" t="s">
        <v>349</v>
      </c>
      <c r="Q306" s="552"/>
      <c r="R306" s="552"/>
      <c r="S306" s="552"/>
      <c r="T306" s="510"/>
      <c r="U306" s="510"/>
      <c r="V306" s="510"/>
      <c r="W306" s="510"/>
      <c r="X306" s="512"/>
    </row>
    <row r="307" spans="1:24" s="513" customFormat="1" x14ac:dyDescent="0.3">
      <c r="A307" s="509"/>
      <c r="B307" s="508"/>
      <c r="C307" s="508"/>
      <c r="D307" s="508"/>
      <c r="E307" s="508"/>
      <c r="F307" s="508"/>
      <c r="G307" s="508"/>
      <c r="H307" s="510"/>
      <c r="I307" s="510"/>
      <c r="J307" s="510"/>
      <c r="K307" s="510"/>
      <c r="L307" s="510"/>
      <c r="M307" s="510"/>
      <c r="N307" s="510"/>
      <c r="O307" s="510"/>
      <c r="P307" s="510"/>
      <c r="Q307" s="510"/>
      <c r="R307" s="510"/>
      <c r="S307" s="510"/>
      <c r="T307" s="510"/>
      <c r="U307" s="510"/>
      <c r="V307" s="510"/>
      <c r="W307" s="510"/>
      <c r="X307" s="512"/>
    </row>
    <row r="308" spans="1:24" s="513" customFormat="1" ht="18.600000000000001" thickBot="1" x14ac:dyDescent="0.4">
      <c r="A308" s="509"/>
      <c r="B308" s="603" t="str">
        <f>B202</f>
        <v>PM12 INVESTOR REPORT QUARTER ENDING JULY 2022</v>
      </c>
      <c r="C308" s="508"/>
      <c r="D308" s="508"/>
      <c r="E308" s="508"/>
      <c r="F308" s="508"/>
      <c r="G308" s="508"/>
      <c r="H308" s="510"/>
      <c r="I308" s="510"/>
      <c r="J308" s="510"/>
      <c r="K308" s="510"/>
      <c r="L308" s="510"/>
      <c r="M308" s="510"/>
      <c r="N308" s="510"/>
      <c r="O308" s="510"/>
      <c r="P308" s="510"/>
      <c r="Q308" s="510"/>
      <c r="R308" s="510"/>
      <c r="S308" s="510"/>
      <c r="T308" s="510"/>
      <c r="U308" s="510"/>
      <c r="V308" s="510"/>
      <c r="W308" s="510"/>
      <c r="X308" s="512"/>
    </row>
    <row r="309" spans="1:24" x14ac:dyDescent="0.3">
      <c r="A309" s="492"/>
      <c r="B309" s="492"/>
      <c r="C309" s="492"/>
      <c r="D309" s="492"/>
      <c r="E309" s="492"/>
      <c r="F309" s="492"/>
      <c r="G309" s="492"/>
      <c r="H309" s="492"/>
      <c r="I309" s="492"/>
      <c r="J309" s="492"/>
      <c r="K309" s="492"/>
      <c r="L309" s="492"/>
      <c r="M309" s="492"/>
      <c r="N309" s="492"/>
      <c r="O309" s="492"/>
      <c r="P309" s="492"/>
      <c r="Q309" s="492"/>
      <c r="R309" s="492"/>
      <c r="S309" s="492"/>
      <c r="T309" s="492"/>
      <c r="U309" s="492"/>
      <c r="V309" s="492"/>
      <c r="W309" s="492"/>
    </row>
    <row r="310" spans="1:24" x14ac:dyDescent="0.3">
      <c r="B310" s="406" t="s">
        <v>384</v>
      </c>
    </row>
    <row r="311" spans="1:24" x14ac:dyDescent="0.3">
      <c r="B311" s="623" t="s">
        <v>378</v>
      </c>
    </row>
    <row r="313" spans="1:24" x14ac:dyDescent="0.3">
      <c r="B313" s="649" t="s">
        <v>432</v>
      </c>
    </row>
    <row r="314" spans="1:24" x14ac:dyDescent="0.3">
      <c r="B314" s="406" t="s">
        <v>433</v>
      </c>
    </row>
    <row r="315" spans="1:24" x14ac:dyDescent="0.3">
      <c r="B315" s="677" t="s">
        <v>430</v>
      </c>
    </row>
    <row r="316" spans="1:24" x14ac:dyDescent="0.3">
      <c r="B316" s="406" t="s">
        <v>428</v>
      </c>
    </row>
    <row r="317" spans="1:24" x14ac:dyDescent="0.3">
      <c r="B317" s="406" t="s">
        <v>436</v>
      </c>
    </row>
    <row r="318" spans="1:24" x14ac:dyDescent="0.3">
      <c r="B318" s="406" t="s">
        <v>431</v>
      </c>
    </row>
    <row r="319" spans="1:24" x14ac:dyDescent="0.3">
      <c r="B319" s="677" t="s">
        <v>429</v>
      </c>
    </row>
    <row r="320" spans="1:24" x14ac:dyDescent="0.3">
      <c r="B320" s="677"/>
    </row>
    <row r="321" spans="2:2" x14ac:dyDescent="0.3">
      <c r="B321" s="678" t="s">
        <v>453</v>
      </c>
    </row>
    <row r="323" spans="2:2" x14ac:dyDescent="0.3">
      <c r="B323" s="649" t="s">
        <v>421</v>
      </c>
    </row>
    <row r="324" spans="2:2" x14ac:dyDescent="0.3">
      <c r="B324" s="406" t="s">
        <v>423</v>
      </c>
    </row>
    <row r="325" spans="2:2" x14ac:dyDescent="0.3">
      <c r="B325" s="676" t="s">
        <v>422</v>
      </c>
    </row>
    <row r="327" spans="2:2" x14ac:dyDescent="0.3">
      <c r="B327" s="406" t="s">
        <v>441</v>
      </c>
    </row>
  </sheetData>
  <hyperlinks>
    <hyperlink ref="I9" r:id="rId1" xr:uid="{BB97258E-5A12-479A-9120-2A073E767806}"/>
    <hyperlink ref="P238" r:id="rId2" xr:uid="{F021EF91-DDE4-4DB0-95B3-1BD788831D37}"/>
    <hyperlink ref="B311" r:id="rId3" xr:uid="{78216A8A-5FD3-41DF-8A74-16F78C5322E2}"/>
    <hyperlink ref="P306" r:id="rId4" xr:uid="{0E9F5159-6526-40B5-AB00-919EA509473E}"/>
    <hyperlink ref="B325" r:id="rId5" display="https://investorreporting.paragonbankinggroup.co.uk/bondinvestor_viewer/resources/bondinvestor/pdf/investornews/2021/libor-mortgages-transition-july-19" xr:uid="{0EAD2C3D-E211-41FE-94C0-CAE21EF5CD31}"/>
    <hyperlink ref="B319" r:id="rId6" display="https://protect-eu.mimecast.com/s/wcu_C4934SBRnRxHOTIMr?domain=londonstockexchange.com" xr:uid="{A55C4A0A-F29D-4E2C-8C29-A6AFECF6E79B}"/>
    <hyperlink ref="B315" r:id="rId7" display="https://protect-eu.mimecast.com/s/GQAHC60N2crGn7VHp3gPx?domain=londonstockexchange.com" xr:uid="{F7015A8B-8391-4820-91B0-E0240CF6C300}"/>
  </hyperlinks>
  <printOptions horizontalCentered="1" verticalCentered="1"/>
  <pageMargins left="0.19685039370078741" right="0.19685039370078741" top="0.27559055118110237" bottom="0.27559055118110237" header="0" footer="0"/>
  <pageSetup scale="37" orientation="landscape" r:id="rId8"/>
  <headerFooter alignWithMargins="0"/>
  <rowBreaks count="3" manualBreakCount="3">
    <brk id="64" max="23" man="1"/>
    <brk id="141" max="14" man="1"/>
    <brk id="202" max="14" man="1"/>
  </rowBreaks>
  <drawing r:id="rId9"/>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28237-2C95-4FA1-B59D-2B33D0A4E156}">
  <sheetPr>
    <tabColor rgb="FF89CB31"/>
  </sheetPr>
  <dimension ref="A1:AA327"/>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0.70033319360953405</v>
      </c>
      <c r="T16" s="516" t="s">
        <v>145</v>
      </c>
      <c r="U16" s="515">
        <v>0.29966680639046595</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44887</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221544.6762672</v>
      </c>
      <c r="E32" s="529"/>
      <c r="F32" s="530">
        <f>F31*F38</f>
        <v>39405.867000000006</v>
      </c>
      <c r="G32" s="530"/>
      <c r="H32" s="534">
        <f>H31*H38</f>
        <v>66582.327000000005</v>
      </c>
      <c r="I32" s="534"/>
      <c r="J32" s="533">
        <f>J31*J38</f>
        <v>84517.857600000003</v>
      </c>
      <c r="K32" s="530"/>
      <c r="L32" s="530">
        <f>L31*L38</f>
        <v>16067.844999999999</v>
      </c>
      <c r="M32" s="530"/>
      <c r="N32" s="534">
        <f>N31*N38</f>
        <v>80981.938800000004</v>
      </c>
      <c r="O32" s="530"/>
      <c r="P32" s="530">
        <f>P31*P38</f>
        <v>10926.134599999999</v>
      </c>
      <c r="Q32" s="530"/>
      <c r="R32" s="534">
        <f>R31*R38</f>
        <v>68127.662800000006</v>
      </c>
      <c r="S32" s="530"/>
      <c r="T32" s="530"/>
      <c r="U32" s="529"/>
      <c r="V32" s="530"/>
      <c r="W32" s="531"/>
      <c r="X32" s="512"/>
    </row>
    <row r="33" spans="1:25" s="513" customFormat="1" x14ac:dyDescent="0.3">
      <c r="A33" s="521"/>
      <c r="B33" s="527" t="s">
        <v>139</v>
      </c>
      <c r="C33" s="529"/>
      <c r="D33" s="619">
        <f>D34*D37</f>
        <v>205004.8200759</v>
      </c>
      <c r="E33" s="532"/>
      <c r="F33" s="535">
        <f>F37*F31</f>
        <v>36463.991000000002</v>
      </c>
      <c r="G33" s="535"/>
      <c r="H33" s="537">
        <f>H31*H37</f>
        <v>61611.571000000004</v>
      </c>
      <c r="I33" s="537"/>
      <c r="J33" s="536">
        <f>J37*J31</f>
        <v>78208.009699999995</v>
      </c>
      <c r="K33" s="535"/>
      <c r="L33" s="535">
        <f>L37*L31</f>
        <v>14868.275</v>
      </c>
      <c r="M33" s="535"/>
      <c r="N33" s="537">
        <f>N37*N31</f>
        <v>74936.106</v>
      </c>
      <c r="O33" s="535"/>
      <c r="P33" s="535">
        <f>P37*P31</f>
        <v>10110.427</v>
      </c>
      <c r="Q33" s="535"/>
      <c r="R33" s="537">
        <f>R37*R31</f>
        <v>63041.486000000004</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221544.6762672</v>
      </c>
      <c r="E35" s="529"/>
      <c r="F35" s="530">
        <f>F34*F38</f>
        <v>39405.867000000006</v>
      </c>
      <c r="G35" s="530"/>
      <c r="H35" s="530">
        <f>H34*H38</f>
        <v>45918.977403600002</v>
      </c>
      <c r="I35" s="530"/>
      <c r="J35" s="530">
        <f>J34*J38</f>
        <v>45933.689155200002</v>
      </c>
      <c r="K35" s="530"/>
      <c r="L35" s="530">
        <f>L34*L38</f>
        <v>16067.844999999999</v>
      </c>
      <c r="M35" s="530"/>
      <c r="N35" s="530">
        <f>N34*N38</f>
        <v>55849.9010786</v>
      </c>
      <c r="O35" s="530"/>
      <c r="P35" s="530">
        <f>P34*P38</f>
        <v>10926.134599999999</v>
      </c>
      <c r="Q35" s="530"/>
      <c r="R35" s="530">
        <f>R34*R38</f>
        <v>46984.306921399999</v>
      </c>
      <c r="S35" s="530"/>
      <c r="T35" s="530"/>
      <c r="U35" s="529"/>
      <c r="V35" s="530">
        <f>SUM(C35:R35)</f>
        <v>482631.39742599998</v>
      </c>
      <c r="W35" s="531"/>
      <c r="X35" s="512"/>
    </row>
    <row r="36" spans="1:25" s="513" customFormat="1" x14ac:dyDescent="0.3">
      <c r="A36" s="525"/>
      <c r="B36" s="527" t="s">
        <v>295</v>
      </c>
      <c r="C36" s="532"/>
      <c r="D36" s="535">
        <f>D34*D37</f>
        <v>205004.8200759</v>
      </c>
      <c r="E36" s="532"/>
      <c r="F36" s="535">
        <f>F34*F37</f>
        <v>36463.991000000002</v>
      </c>
      <c r="G36" s="535"/>
      <c r="H36" s="535">
        <f>H34*H37</f>
        <v>42490.860022800007</v>
      </c>
      <c r="I36" s="535"/>
      <c r="J36" s="535">
        <f>J34*J37</f>
        <v>42504.418699399997</v>
      </c>
      <c r="K36" s="535"/>
      <c r="L36" s="535">
        <f>L34*L37</f>
        <v>14868.275</v>
      </c>
      <c r="M36" s="535"/>
      <c r="N36" s="535">
        <f>N34*N37</f>
        <v>51680.339706999999</v>
      </c>
      <c r="O36" s="535"/>
      <c r="P36" s="535">
        <f>P34*P37</f>
        <v>10110.427</v>
      </c>
      <c r="Q36" s="535"/>
      <c r="R36" s="535">
        <f>R34*R37</f>
        <v>43476.620293</v>
      </c>
      <c r="S36" s="538"/>
      <c r="T36" s="538"/>
      <c r="U36" s="529"/>
      <c r="V36" s="535">
        <f>SUM(C36:R36)</f>
        <v>446599.75179810007</v>
      </c>
      <c r="W36" s="531"/>
      <c r="X36" s="512"/>
      <c r="Y36" s="621"/>
    </row>
    <row r="37" spans="1:25" x14ac:dyDescent="0.3">
      <c r="A37" s="420"/>
      <c r="B37" s="493" t="s">
        <v>135</v>
      </c>
      <c r="C37" s="494"/>
      <c r="D37" s="495">
        <v>0.25147269999999999</v>
      </c>
      <c r="E37" s="496"/>
      <c r="F37" s="495">
        <v>0.25147580000000003</v>
      </c>
      <c r="G37" s="495"/>
      <c r="H37" s="495">
        <v>0.25147580000000003</v>
      </c>
      <c r="I37" s="495"/>
      <c r="J37" s="495">
        <v>0.25147269999999999</v>
      </c>
      <c r="K37" s="495"/>
      <c r="L37" s="495">
        <v>0.59473100000000001</v>
      </c>
      <c r="M37" s="495"/>
      <c r="N37" s="495">
        <v>0.59473100000000001</v>
      </c>
      <c r="O37" s="495"/>
      <c r="P37" s="495">
        <v>0.59473100000000001</v>
      </c>
      <c r="Q37" s="495"/>
      <c r="R37" s="495">
        <v>0.59473100000000001</v>
      </c>
      <c r="S37" s="425"/>
      <c r="T37" s="425"/>
      <c r="U37" s="424"/>
      <c r="V37" s="424"/>
      <c r="W37" s="426"/>
      <c r="X37" s="405"/>
    </row>
    <row r="38" spans="1:25" x14ac:dyDescent="0.3">
      <c r="A38" s="420"/>
      <c r="B38" s="493" t="s">
        <v>136</v>
      </c>
      <c r="C38" s="494"/>
      <c r="D38" s="495">
        <v>0.27176159999999999</v>
      </c>
      <c r="E38" s="496"/>
      <c r="F38" s="495">
        <v>0.27176460000000002</v>
      </c>
      <c r="G38" s="495"/>
      <c r="H38" s="495">
        <v>0.27176460000000002</v>
      </c>
      <c r="I38" s="495"/>
      <c r="J38" s="495">
        <v>0.27176159999999999</v>
      </c>
      <c r="K38" s="495"/>
      <c r="L38" s="495">
        <v>0.6427138</v>
      </c>
      <c r="M38" s="495"/>
      <c r="N38" s="495">
        <v>0.6427138</v>
      </c>
      <c r="O38" s="495"/>
      <c r="P38" s="495">
        <v>0.6427138</v>
      </c>
      <c r="Q38" s="495"/>
      <c r="R38" s="495">
        <v>0.6427138</v>
      </c>
      <c r="S38" s="427"/>
      <c r="T38" s="428"/>
      <c r="U38" s="424"/>
      <c r="V38" s="427"/>
      <c r="W38" s="426"/>
      <c r="X38" s="405"/>
    </row>
    <row r="39" spans="1:25" s="513" customFormat="1" x14ac:dyDescent="0.3">
      <c r="A39" s="521"/>
      <c r="B39" s="522" t="s">
        <v>451</v>
      </c>
      <c r="C39" s="522"/>
      <c r="D39" s="528" t="s">
        <v>442</v>
      </c>
      <c r="E39" s="522"/>
      <c r="F39" s="528" t="s">
        <v>442</v>
      </c>
      <c r="G39" s="528"/>
      <c r="H39" s="528" t="s">
        <v>237</v>
      </c>
      <c r="I39" s="528"/>
      <c r="J39" s="528" t="s">
        <v>239</v>
      </c>
      <c r="K39" s="528"/>
      <c r="L39" s="528" t="s">
        <v>443</v>
      </c>
      <c r="M39" s="528"/>
      <c r="N39" s="528" t="s">
        <v>240</v>
      </c>
      <c r="O39" s="528"/>
      <c r="P39" s="528" t="s">
        <v>444</v>
      </c>
      <c r="Q39" s="528"/>
      <c r="R39" s="528" t="s">
        <v>241</v>
      </c>
      <c r="S39" s="539"/>
      <c r="T39" s="540"/>
      <c r="U39" s="522"/>
      <c r="V39" s="522"/>
      <c r="W39" s="524"/>
      <c r="X39" s="512"/>
    </row>
    <row r="40" spans="1:25" s="513" customFormat="1" x14ac:dyDescent="0.3">
      <c r="A40" s="521"/>
      <c r="B40" s="522" t="s">
        <v>12</v>
      </c>
      <c r="C40" s="522"/>
      <c r="D40" s="540">
        <v>2.34836E-2</v>
      </c>
      <c r="E40" s="522"/>
      <c r="F40" s="540">
        <v>2.34836E-2</v>
      </c>
      <c r="G40" s="539"/>
      <c r="H40" s="540">
        <v>5.6100000000000004E-3</v>
      </c>
      <c r="I40" s="540"/>
      <c r="J40" s="540">
        <v>3.1251399999999999E-2</v>
      </c>
      <c r="K40" s="539"/>
      <c r="L40" s="540">
        <v>2.58836E-2</v>
      </c>
      <c r="M40" s="539"/>
      <c r="N40" s="540">
        <v>8.0099999999999998E-3</v>
      </c>
      <c r="O40" s="539"/>
      <c r="P40" s="540">
        <v>3.0283600000000001E-2</v>
      </c>
      <c r="Q40" s="539"/>
      <c r="R40" s="540">
        <v>1.2409999999999999E-2</v>
      </c>
      <c r="S40" s="539"/>
      <c r="T40" s="540"/>
      <c r="U40" s="522"/>
      <c r="V40" s="528"/>
      <c r="W40" s="524"/>
      <c r="X40" s="512"/>
    </row>
    <row r="41" spans="1:25" s="513" customFormat="1" x14ac:dyDescent="0.3">
      <c r="A41" s="521"/>
      <c r="B41" s="522" t="s">
        <v>13</v>
      </c>
      <c r="C41" s="522"/>
      <c r="D41" s="540">
        <v>1.4682300000000001E-2</v>
      </c>
      <c r="E41" s="522"/>
      <c r="F41" s="540">
        <v>1.4682300000000001E-2</v>
      </c>
      <c r="G41" s="539"/>
      <c r="H41" s="540">
        <v>0</v>
      </c>
      <c r="I41" s="540"/>
      <c r="J41" s="540">
        <v>1.6312900000000002E-2</v>
      </c>
      <c r="K41" s="539"/>
      <c r="L41" s="540">
        <v>1.7082300000000002E-2</v>
      </c>
      <c r="M41" s="539"/>
      <c r="N41" s="540">
        <v>7.3999999999999999E-4</v>
      </c>
      <c r="O41" s="539"/>
      <c r="P41" s="540">
        <v>2.1482299999999999E-2</v>
      </c>
      <c r="Q41" s="539"/>
      <c r="R41" s="540">
        <v>5.1399999999999996E-3</v>
      </c>
      <c r="S41" s="539"/>
      <c r="T41" s="540"/>
      <c r="U41" s="522"/>
      <c r="V41" s="539" t="s">
        <v>199</v>
      </c>
      <c r="W41" s="524"/>
      <c r="X41" s="512"/>
    </row>
    <row r="42" spans="1:25" s="513" customFormat="1" x14ac:dyDescent="0.3">
      <c r="A42" s="521"/>
      <c r="B42" s="522" t="s">
        <v>449</v>
      </c>
      <c r="C42" s="522"/>
      <c r="D42" s="528" t="s">
        <v>442</v>
      </c>
      <c r="E42" s="522"/>
      <c r="F42" s="528" t="s">
        <v>442</v>
      </c>
      <c r="G42" s="528"/>
      <c r="H42" s="528" t="s">
        <v>445</v>
      </c>
      <c r="I42" s="528"/>
      <c r="J42" s="528" t="s">
        <v>446</v>
      </c>
      <c r="K42" s="528"/>
      <c r="L42" s="528" t="s">
        <v>443</v>
      </c>
      <c r="M42" s="528"/>
      <c r="N42" s="528" t="s">
        <v>448</v>
      </c>
      <c r="O42" s="528"/>
      <c r="P42" s="528" t="s">
        <v>444</v>
      </c>
      <c r="Q42" s="528"/>
      <c r="R42" s="528" t="s">
        <v>447</v>
      </c>
      <c r="S42" s="539"/>
      <c r="T42" s="540"/>
      <c r="U42" s="522"/>
      <c r="V42" s="522"/>
      <c r="W42" s="524"/>
      <c r="X42" s="512"/>
    </row>
    <row r="43" spans="1:25" s="513" customFormat="1" x14ac:dyDescent="0.3">
      <c r="A43" s="521"/>
      <c r="B43" s="522" t="s">
        <v>297</v>
      </c>
      <c r="C43" s="541"/>
      <c r="D43" s="540">
        <f>+D40</f>
        <v>2.34836E-2</v>
      </c>
      <c r="E43" s="540"/>
      <c r="F43" s="540">
        <f>+F40</f>
        <v>2.34836E-2</v>
      </c>
      <c r="G43" s="540"/>
      <c r="H43" s="540">
        <v>2.3405599999999999E-2</v>
      </c>
      <c r="I43" s="540"/>
      <c r="J43" s="540">
        <v>2.3647600000000001E-2</v>
      </c>
      <c r="K43" s="540"/>
      <c r="L43" s="540">
        <f>+L40</f>
        <v>2.58836E-2</v>
      </c>
      <c r="M43" s="540"/>
      <c r="N43" s="540">
        <v>2.60856E-2</v>
      </c>
      <c r="O43" s="540"/>
      <c r="P43" s="540">
        <f>+P40</f>
        <v>3.0283600000000001E-2</v>
      </c>
      <c r="Q43" s="539"/>
      <c r="R43" s="540">
        <v>3.0755600000000001E-2</v>
      </c>
      <c r="S43" s="528"/>
      <c r="T43" s="528"/>
      <c r="U43" s="522"/>
      <c r="V43" s="539">
        <f>SUMPRODUCT(D43:R43,D35:R35)/V35</f>
        <v>2.4734665127182254E-2</v>
      </c>
      <c r="W43" s="524"/>
      <c r="X43" s="512"/>
    </row>
    <row r="44" spans="1:25" s="513" customFormat="1" x14ac:dyDescent="0.3">
      <c r="A44" s="521"/>
      <c r="B44" s="522" t="s">
        <v>298</v>
      </c>
      <c r="C44" s="541"/>
      <c r="D44" s="540">
        <f>+D41</f>
        <v>1.4682300000000001E-2</v>
      </c>
      <c r="E44" s="540"/>
      <c r="F44" s="540">
        <f>+F41</f>
        <v>1.4682300000000001E-2</v>
      </c>
      <c r="G44" s="540"/>
      <c r="H44" s="540">
        <v>1.4604300000000001E-2</v>
      </c>
      <c r="I44" s="540"/>
      <c r="J44" s="540">
        <v>1.48463E-2</v>
      </c>
      <c r="K44" s="540"/>
      <c r="L44" s="540">
        <f>+L41</f>
        <v>1.7082300000000002E-2</v>
      </c>
      <c r="M44" s="540"/>
      <c r="N44" s="540">
        <v>1.7284299999999999E-2</v>
      </c>
      <c r="O44" s="540"/>
      <c r="P44" s="540">
        <f>+P41</f>
        <v>2.1482299999999999E-2</v>
      </c>
      <c r="Q44" s="539"/>
      <c r="R44" s="540">
        <v>2.19543E-2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450</v>
      </c>
      <c r="C47" s="522"/>
      <c r="D47" s="528" t="s">
        <v>442</v>
      </c>
      <c r="E47" s="522"/>
      <c r="F47" s="528" t="s">
        <v>442</v>
      </c>
      <c r="G47" s="528"/>
      <c r="H47" s="528" t="s">
        <v>237</v>
      </c>
      <c r="I47" s="528"/>
      <c r="J47" s="528" t="s">
        <v>239</v>
      </c>
      <c r="K47" s="528"/>
      <c r="L47" s="528" t="s">
        <v>443</v>
      </c>
      <c r="M47" s="528"/>
      <c r="N47" s="528" t="s">
        <v>240</v>
      </c>
      <c r="O47" s="528"/>
      <c r="P47" s="528" t="s">
        <v>444</v>
      </c>
      <c r="Q47" s="528"/>
      <c r="R47" s="528" t="s">
        <v>241</v>
      </c>
      <c r="S47" s="542"/>
      <c r="T47" s="542"/>
      <c r="U47" s="542"/>
      <c r="V47" s="542"/>
      <c r="W47" s="524"/>
      <c r="X47" s="512"/>
    </row>
    <row r="48" spans="1:25" s="513" customFormat="1" x14ac:dyDescent="0.3">
      <c r="A48" s="521"/>
      <c r="B48" s="522" t="s">
        <v>452</v>
      </c>
      <c r="C48" s="522"/>
      <c r="D48" s="528" t="s">
        <v>442</v>
      </c>
      <c r="E48" s="522"/>
      <c r="F48" s="528" t="s">
        <v>442</v>
      </c>
      <c r="G48" s="528"/>
      <c r="H48" s="528" t="s">
        <v>445</v>
      </c>
      <c r="I48" s="528"/>
      <c r="J48" s="528" t="s">
        <v>446</v>
      </c>
      <c r="K48" s="528"/>
      <c r="L48" s="528" t="s">
        <v>443</v>
      </c>
      <c r="M48" s="528"/>
      <c r="N48" s="528" t="s">
        <v>448</v>
      </c>
      <c r="O48" s="528"/>
      <c r="P48" s="528" t="s">
        <v>444</v>
      </c>
      <c r="Q48" s="528"/>
      <c r="R48" s="528" t="s">
        <v>447</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40"/>
      <c r="E50" s="540"/>
      <c r="F50" s="540"/>
      <c r="G50" s="540"/>
      <c r="H50" s="540"/>
      <c r="I50" s="540"/>
      <c r="J50" s="540"/>
      <c r="K50" s="540"/>
      <c r="L50" s="540"/>
      <c r="M50" s="540"/>
      <c r="N50" s="540"/>
      <c r="O50" s="540"/>
      <c r="P50" s="540"/>
      <c r="Q50" s="540"/>
      <c r="R50" s="540"/>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0.3679904337236517</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44880</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91</v>
      </c>
      <c r="S57" s="522"/>
      <c r="T57" s="549">
        <v>44697</v>
      </c>
      <c r="U57" s="550"/>
      <c r="V57" s="549">
        <v>44787</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44788</v>
      </c>
      <c r="U58" s="550"/>
      <c r="V58" s="549">
        <v>44879</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44866</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454</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482631</v>
      </c>
      <c r="O68" s="562"/>
      <c r="P68" s="562">
        <v>36031</v>
      </c>
      <c r="Q68" s="562"/>
      <c r="R68" s="562">
        <v>0</v>
      </c>
      <c r="S68" s="562"/>
      <c r="T68" s="562">
        <v>0</v>
      </c>
      <c r="U68" s="562"/>
      <c r="V68" s="563">
        <f>+N68-P68+R68-T68</f>
        <v>446600</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482631</v>
      </c>
      <c r="O71" s="562"/>
      <c r="P71" s="562">
        <f>SUM(P68:P70)</f>
        <v>36031</v>
      </c>
      <c r="Q71" s="562"/>
      <c r="R71" s="562">
        <f>SUM(R68:R70)</f>
        <v>0</v>
      </c>
      <c r="S71" s="562"/>
      <c r="T71" s="562">
        <f>SUM(T68:T70)</f>
        <v>0</v>
      </c>
      <c r="U71" s="562"/>
      <c r="V71" s="562">
        <f>SUM(V68:V70)</f>
        <v>446600</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482631</v>
      </c>
      <c r="O84" s="562"/>
      <c r="P84" s="562"/>
      <c r="Q84" s="562"/>
      <c r="R84" s="562"/>
      <c r="S84" s="562"/>
      <c r="T84" s="562"/>
      <c r="U84" s="562"/>
      <c r="V84" s="562">
        <f>SUM(V71:V83)</f>
        <v>446600</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44865</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36031+46</f>
        <v>36077</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5249+2108-2089-895</f>
        <v>4373</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718+44</f>
        <v>762</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151</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0</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36077</v>
      </c>
      <c r="U96" s="522"/>
      <c r="V96" s="562">
        <f>SUM(V88:V95)</f>
        <v>5286</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36077</v>
      </c>
      <c r="U100" s="522"/>
      <c r="V100" s="562">
        <f>V96+V98+V97+V99</f>
        <v>5286</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-186-79-6</f>
        <v>-271</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v>-1856</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-233</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-367</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-105</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-365</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-83</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-13</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-46</v>
      </c>
      <c r="U114" s="522"/>
      <c r="V114" s="563">
        <v>46</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-186</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-316</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0</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-15</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-1517</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-16540</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-2942</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-3428</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-3429</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-1200</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-4169</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-815</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-3508</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-36031</v>
      </c>
      <c r="U137" s="562"/>
      <c r="V137" s="562">
        <f>SUM(V102:V134)</f>
        <v>-5286</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OCTOBER 2022</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-46</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-46</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46</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446600</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446600</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+'July 22'!S188</f>
        <v>57078</v>
      </c>
      <c r="T186" s="563">
        <f>+'July 22'!T188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2.3997127812350407</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2.0699999999999998</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6.1949152542372881</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8.01</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5.4732142857142856</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7.21</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OCTOBER 2022</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44865</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4.6702242132044394E-2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2.4734665127182254E-2</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2.196757700486214E-2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1.0952466791399641E-2</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6.6530121875574357</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7.4655378539712533E-2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7.4700000000000003E-2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0</v>
      </c>
      <c r="T221" s="577">
        <v>0</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39</v>
      </c>
      <c r="T222" s="579">
        <f>+T274</f>
        <v>4360</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+R297</f>
        <v>0</v>
      </c>
      <c r="T223" s="579">
        <f>+T297</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-46</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'July 22'!T228+'Oct 22'!T227</f>
        <v>8952</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35</v>
      </c>
      <c r="T234" s="579">
        <v>6525</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0.09</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+R253+R265+R288</f>
        <v>3433</v>
      </c>
      <c r="S241" s="588">
        <f t="shared" ref="S241:S248" si="2">R241/$R$250</f>
        <v>0.99478412054476961</v>
      </c>
      <c r="T241" s="589">
        <f t="shared" ref="T241:T248" si="3">+T253+T265+T288</f>
        <v>444390</v>
      </c>
      <c r="U241" s="588">
        <f t="shared" ref="U241:U248" si="4">T241/$T$250</f>
        <v>0.99505150022391398</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11</v>
      </c>
      <c r="S242" s="593">
        <f t="shared" si="2"/>
        <v>3.1874818893074469E-3</v>
      </c>
      <c r="T242" s="563">
        <f t="shared" si="3"/>
        <v>1422</v>
      </c>
      <c r="U242" s="593">
        <f t="shared" si="4"/>
        <v>3.1840573219883567E-3</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1</v>
      </c>
      <c r="S243" s="593">
        <f t="shared" si="2"/>
        <v>2.8977108084613158E-4</v>
      </c>
      <c r="T243" s="563">
        <f t="shared" si="3"/>
        <v>113</v>
      </c>
      <c r="U243" s="593">
        <f t="shared" si="4"/>
        <v>2.5302283922973577E-4</v>
      </c>
      <c r="V243" s="582"/>
      <c r="W243" s="583"/>
      <c r="X243" s="512"/>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0</v>
      </c>
      <c r="S244" s="593">
        <f t="shared" si="2"/>
        <v>0</v>
      </c>
      <c r="T244" s="563">
        <f t="shared" si="3"/>
        <v>0</v>
      </c>
      <c r="U244" s="593">
        <f t="shared" si="4"/>
        <v>0</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1</v>
      </c>
      <c r="S245" s="593">
        <f t="shared" si="2"/>
        <v>2.8977108084613158E-4</v>
      </c>
      <c r="T245" s="563">
        <f t="shared" si="3"/>
        <v>299</v>
      </c>
      <c r="U245" s="593">
        <f t="shared" si="4"/>
        <v>6.695029108822212E-4</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3</v>
      </c>
      <c r="S246" s="593">
        <f t="shared" si="2"/>
        <v>8.6931324253839467E-4</v>
      </c>
      <c r="T246" s="563">
        <f t="shared" si="3"/>
        <v>222</v>
      </c>
      <c r="U246" s="593">
        <f t="shared" si="4"/>
        <v>4.9708911777877299E-4</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2</v>
      </c>
      <c r="S247" s="593">
        <f t="shared" si="2"/>
        <v>5.7954216169226315E-4</v>
      </c>
      <c r="T247" s="563">
        <f t="shared" si="3"/>
        <v>154</v>
      </c>
      <c r="U247" s="593">
        <f t="shared" si="4"/>
        <v>3.4482758620689653E-4</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0</v>
      </c>
      <c r="S248" s="593">
        <f t="shared" si="2"/>
        <v>0</v>
      </c>
      <c r="T248" s="563">
        <f t="shared" si="3"/>
        <v>0</v>
      </c>
      <c r="U248" s="593">
        <f t="shared" si="4"/>
        <v>0</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3451</v>
      </c>
      <c r="S250" s="593">
        <f>SUM(S241:S249)</f>
        <v>1</v>
      </c>
      <c r="T250" s="563">
        <f>SUM(T241:T249)</f>
        <v>446600</v>
      </c>
      <c r="U250" s="593">
        <f>SUM(U241:U249)</f>
        <v>1</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3398</v>
      </c>
      <c r="S253" s="595">
        <f t="shared" ref="S253:S260" si="5">R253/$R$262</f>
        <v>0.99589683470105506</v>
      </c>
      <c r="T253" s="596">
        <v>440316</v>
      </c>
      <c r="U253" s="595">
        <f t="shared" ref="U253:U260" si="6">T253/$T$262</f>
        <v>0.99564942112879884</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11</v>
      </c>
      <c r="S254" s="593">
        <f t="shared" si="5"/>
        <v>3.2239155920281361E-3</v>
      </c>
      <c r="T254" s="563">
        <v>1422</v>
      </c>
      <c r="U254" s="593">
        <f t="shared" si="6"/>
        <v>3.2154486251808972E-3</v>
      </c>
      <c r="V254" s="582"/>
      <c r="W254" s="583"/>
      <c r="X254" s="512"/>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1</v>
      </c>
      <c r="S255" s="593">
        <f t="shared" si="5"/>
        <v>2.9308323563892143E-4</v>
      </c>
      <c r="T255" s="563">
        <v>113</v>
      </c>
      <c r="U255" s="593">
        <f t="shared" si="6"/>
        <v>2.5551736613603471E-4</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0</v>
      </c>
      <c r="S256" s="593">
        <f t="shared" si="5"/>
        <v>0</v>
      </c>
      <c r="T256" s="563">
        <v>0</v>
      </c>
      <c r="U256" s="593">
        <f t="shared" si="6"/>
        <v>0</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1</v>
      </c>
      <c r="S257" s="593">
        <f t="shared" si="5"/>
        <v>2.9308323563892143E-4</v>
      </c>
      <c r="T257" s="563">
        <v>299</v>
      </c>
      <c r="U257" s="593">
        <f t="shared" si="6"/>
        <v>6.7610347322720693E-4</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0</v>
      </c>
      <c r="S258" s="593">
        <f t="shared" si="5"/>
        <v>0</v>
      </c>
      <c r="T258" s="563">
        <v>0</v>
      </c>
      <c r="U258" s="593">
        <f t="shared" si="6"/>
        <v>0</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1</v>
      </c>
      <c r="S259" s="593">
        <f t="shared" si="5"/>
        <v>2.9308323563892143E-4</v>
      </c>
      <c r="T259" s="563">
        <v>90</v>
      </c>
      <c r="U259" s="593">
        <f t="shared" si="6"/>
        <v>2.0350940665701882E-4</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0</v>
      </c>
      <c r="S260" s="593">
        <f t="shared" si="5"/>
        <v>0</v>
      </c>
      <c r="T260" s="563">
        <v>0</v>
      </c>
      <c r="U260" s="593">
        <f t="shared" si="6"/>
        <v>0</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3412</v>
      </c>
      <c r="S262" s="593">
        <f>SUM(S253:S261)</f>
        <v>1</v>
      </c>
      <c r="T262" s="563">
        <f>SUM(T253:T261)</f>
        <v>442240</v>
      </c>
      <c r="U262" s="593">
        <f>SUM(U253:U261)</f>
        <v>1</v>
      </c>
      <c r="V262" s="522"/>
      <c r="W262" s="524"/>
      <c r="X262" s="512"/>
      <c r="Y262" s="570"/>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35</v>
      </c>
      <c r="S265" s="595">
        <f t="shared" ref="S265:S272" si="7">R265/$R$274</f>
        <v>0.89743589743589747</v>
      </c>
      <c r="T265" s="596">
        <v>4074</v>
      </c>
      <c r="U265" s="595">
        <f t="shared" ref="U265:U272" si="8">T265/$T$274</f>
        <v>0.93440366972477062</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0</v>
      </c>
      <c r="S267" s="593">
        <f t="shared" si="7"/>
        <v>0</v>
      </c>
      <c r="T267" s="563">
        <v>0</v>
      </c>
      <c r="U267" s="593">
        <f t="shared" si="8"/>
        <v>0</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0</v>
      </c>
      <c r="S268" s="593">
        <f t="shared" si="7"/>
        <v>0</v>
      </c>
      <c r="T268" s="563">
        <v>0</v>
      </c>
      <c r="U268" s="593">
        <f t="shared" si="8"/>
        <v>0</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0</v>
      </c>
      <c r="S269" s="593">
        <f t="shared" si="7"/>
        <v>0</v>
      </c>
      <c r="T269" s="563">
        <v>0</v>
      </c>
      <c r="U269" s="593">
        <f t="shared" si="8"/>
        <v>0</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3</v>
      </c>
      <c r="S270" s="593">
        <f t="shared" si="7"/>
        <v>7.6923076923076927E-2</v>
      </c>
      <c r="T270" s="563">
        <v>222</v>
      </c>
      <c r="U270" s="593">
        <f t="shared" si="8"/>
        <v>5.0917431192660553E-2</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1</v>
      </c>
      <c r="S271" s="593">
        <f t="shared" si="7"/>
        <v>2.564102564102564E-2</v>
      </c>
      <c r="T271" s="563">
        <v>64</v>
      </c>
      <c r="U271" s="593">
        <f t="shared" si="8"/>
        <v>1.4678899082568808E-2</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0</v>
      </c>
      <c r="S272" s="593">
        <f t="shared" si="7"/>
        <v>0</v>
      </c>
      <c r="T272" s="563">
        <v>0</v>
      </c>
      <c r="U272" s="593">
        <f t="shared" si="8"/>
        <v>0</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39</v>
      </c>
      <c r="S274" s="593">
        <f>SUM(S265:S273)</f>
        <v>1</v>
      </c>
      <c r="T274" s="563">
        <f>SUM(T265:T273)</f>
        <v>4360</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20</v>
      </c>
      <c r="S277" s="593">
        <f>R277/R285</f>
        <v>0.51282051282051277</v>
      </c>
      <c r="T277" s="563">
        <v>2310</v>
      </c>
      <c r="U277" s="593">
        <f>T277/T285</f>
        <v>0.52981651376146788</v>
      </c>
      <c r="V277" s="522"/>
      <c r="W277" s="524"/>
      <c r="X277" s="512"/>
    </row>
    <row r="278" spans="1:24" s="513" customFormat="1" x14ac:dyDescent="0.3">
      <c r="A278" s="521"/>
      <c r="B278" s="424" t="s">
        <v>439</v>
      </c>
      <c r="C278" s="522"/>
      <c r="D278" s="522"/>
      <c r="E278" s="522"/>
      <c r="F278" s="522"/>
      <c r="G278" s="522"/>
      <c r="H278" s="594"/>
      <c r="I278" s="594"/>
      <c r="J278" s="594"/>
      <c r="K278" s="594"/>
      <c r="L278" s="594"/>
      <c r="M278" s="594"/>
      <c r="N278" s="594"/>
      <c r="O278" s="594"/>
      <c r="P278" s="594"/>
      <c r="Q278" s="594"/>
      <c r="R278" s="562">
        <v>0</v>
      </c>
      <c r="S278" s="593">
        <f>+R278/R285</f>
        <v>0</v>
      </c>
      <c r="T278" s="563">
        <v>0</v>
      </c>
      <c r="U278" s="593">
        <f>+T278/T285</f>
        <v>0</v>
      </c>
      <c r="V278" s="522"/>
      <c r="W278" s="524"/>
      <c r="X278" s="512"/>
    </row>
    <row r="279" spans="1:24" s="513" customFormat="1" x14ac:dyDescent="0.3">
      <c r="A279" s="521"/>
      <c r="B279" s="522" t="s">
        <v>398</v>
      </c>
      <c r="C279" s="522"/>
      <c r="D279" s="522"/>
      <c r="E279" s="522"/>
      <c r="F279" s="522"/>
      <c r="G279" s="522"/>
      <c r="H279" s="594"/>
      <c r="I279" s="594"/>
      <c r="J279" s="594"/>
      <c r="K279" s="594"/>
      <c r="L279" s="594"/>
      <c r="M279" s="594"/>
      <c r="N279" s="594"/>
      <c r="O279" s="594"/>
      <c r="P279" s="594"/>
      <c r="Q279" s="594"/>
      <c r="R279" s="562">
        <v>2</v>
      </c>
      <c r="S279" s="593">
        <f>R279/R285</f>
        <v>5.128205128205128E-2</v>
      </c>
      <c r="T279" s="563">
        <v>124</v>
      </c>
      <c r="U279" s="593">
        <f>T279/T285</f>
        <v>2.8440366972477066E-2</v>
      </c>
      <c r="V279" s="522"/>
      <c r="W279" s="524"/>
      <c r="X279" s="512"/>
    </row>
    <row r="280" spans="1:24" s="513" customFormat="1" x14ac:dyDescent="0.3">
      <c r="A280" s="521"/>
      <c r="B280" s="522" t="s">
        <v>399</v>
      </c>
      <c r="C280" s="522"/>
      <c r="D280" s="522"/>
      <c r="E280" s="522"/>
      <c r="F280" s="522"/>
      <c r="G280" s="522"/>
      <c r="H280" s="594"/>
      <c r="I280" s="594"/>
      <c r="J280" s="594"/>
      <c r="K280" s="594"/>
      <c r="L280" s="594"/>
      <c r="M280" s="594"/>
      <c r="N280" s="594"/>
      <c r="O280" s="594"/>
      <c r="P280" s="594"/>
      <c r="Q280" s="594"/>
      <c r="R280" s="562">
        <v>5</v>
      </c>
      <c r="S280" s="593">
        <f>R280/R285</f>
        <v>0.12820512820512819</v>
      </c>
      <c r="T280" s="563">
        <v>613</v>
      </c>
      <c r="U280" s="593">
        <f>T280/T285</f>
        <v>0.14059633027522936</v>
      </c>
      <c r="V280" s="522"/>
      <c r="W280" s="524"/>
      <c r="X280" s="512"/>
    </row>
    <row r="281" spans="1:24" s="513" customFormat="1" x14ac:dyDescent="0.3">
      <c r="A281" s="521"/>
      <c r="B281" s="522" t="s">
        <v>413</v>
      </c>
      <c r="C281" s="522"/>
      <c r="D281" s="522"/>
      <c r="E281" s="522"/>
      <c r="F281" s="522"/>
      <c r="G281" s="522"/>
      <c r="H281" s="594"/>
      <c r="I281" s="594"/>
      <c r="J281" s="594"/>
      <c r="K281" s="594"/>
      <c r="L281" s="594"/>
      <c r="M281" s="594"/>
      <c r="N281" s="594"/>
      <c r="O281" s="594"/>
      <c r="P281" s="594"/>
      <c r="Q281" s="594"/>
      <c r="R281" s="562">
        <v>3</v>
      </c>
      <c r="S281" s="593">
        <f>R281/R285</f>
        <v>7.6923076923076927E-2</v>
      </c>
      <c r="T281" s="563">
        <v>494</v>
      </c>
      <c r="U281" s="593">
        <f>T281/T285</f>
        <v>0.11330275229357799</v>
      </c>
      <c r="V281" s="522"/>
      <c r="W281" s="524"/>
      <c r="X281" s="512"/>
    </row>
    <row r="282" spans="1:24" s="513" customFormat="1" x14ac:dyDescent="0.3">
      <c r="A282" s="521"/>
      <c r="B282" s="653" t="s">
        <v>404</v>
      </c>
      <c r="C282" s="522"/>
      <c r="D282" s="522"/>
      <c r="E282" s="522"/>
      <c r="F282" s="522"/>
      <c r="G282" s="522"/>
      <c r="H282" s="594"/>
      <c r="I282" s="594"/>
      <c r="J282" s="594"/>
      <c r="K282" s="594"/>
      <c r="L282" s="594"/>
      <c r="M282" s="594"/>
      <c r="N282" s="594"/>
      <c r="O282" s="594"/>
      <c r="P282" s="594"/>
      <c r="Q282" s="594"/>
      <c r="R282" s="562">
        <v>8</v>
      </c>
      <c r="S282" s="593">
        <f>R282/R285</f>
        <v>0.20512820512820512</v>
      </c>
      <c r="T282" s="563">
        <v>759</v>
      </c>
      <c r="U282" s="593">
        <f>T282/T285</f>
        <v>0.17408256880733944</v>
      </c>
      <c r="V282" s="522"/>
      <c r="W282" s="524"/>
      <c r="X282" s="512"/>
    </row>
    <row r="283" spans="1:24" s="513" customFormat="1" x14ac:dyDescent="0.3">
      <c r="A283" s="521"/>
      <c r="B283" s="424" t="s">
        <v>440</v>
      </c>
      <c r="C283" s="522"/>
      <c r="D283" s="522"/>
      <c r="E283" s="522"/>
      <c r="F283" s="522"/>
      <c r="G283" s="522"/>
      <c r="H283" s="594"/>
      <c r="I283" s="594"/>
      <c r="J283" s="594"/>
      <c r="K283" s="594"/>
      <c r="L283" s="594"/>
      <c r="M283" s="594"/>
      <c r="N283" s="594"/>
      <c r="O283" s="594"/>
      <c r="P283" s="594"/>
      <c r="Q283" s="594"/>
      <c r="R283" s="562">
        <v>1</v>
      </c>
      <c r="S283" s="593">
        <f>R283/R285</f>
        <v>2.564102564102564E-2</v>
      </c>
      <c r="T283" s="563">
        <v>60</v>
      </c>
      <c r="U283" s="593">
        <f>T283/T285</f>
        <v>1.3761467889908258E-2</v>
      </c>
      <c r="V283" s="522"/>
      <c r="W283" s="524"/>
      <c r="X283" s="512"/>
    </row>
    <row r="284" spans="1:24" s="513" customFormat="1" x14ac:dyDescent="0.3">
      <c r="A284" s="521"/>
      <c r="B284" s="522"/>
      <c r="C284" s="522"/>
      <c r="D284" s="522"/>
      <c r="E284" s="522"/>
      <c r="F284" s="522"/>
      <c r="G284" s="522"/>
      <c r="H284" s="594"/>
      <c r="I284" s="594"/>
      <c r="J284" s="594"/>
      <c r="K284" s="594"/>
      <c r="L284" s="594"/>
      <c r="M284" s="594"/>
      <c r="N284" s="594"/>
      <c r="O284" s="594"/>
      <c r="P284" s="594"/>
      <c r="Q284" s="594"/>
      <c r="R284" s="562"/>
      <c r="S284" s="593"/>
      <c r="T284" s="563"/>
      <c r="U284" s="593"/>
      <c r="V284" s="522"/>
      <c r="W284" s="524"/>
      <c r="X284" s="512"/>
    </row>
    <row r="285" spans="1:24" s="513" customFormat="1" x14ac:dyDescent="0.3">
      <c r="A285" s="521"/>
      <c r="B285" s="522" t="s">
        <v>119</v>
      </c>
      <c r="C285" s="522"/>
      <c r="D285" s="522"/>
      <c r="E285" s="522"/>
      <c r="F285" s="522"/>
      <c r="G285" s="522"/>
      <c r="H285" s="594"/>
      <c r="I285" s="594"/>
      <c r="J285" s="594"/>
      <c r="K285" s="594"/>
      <c r="L285" s="594"/>
      <c r="M285" s="594"/>
      <c r="N285" s="594"/>
      <c r="O285" s="594"/>
      <c r="P285" s="594"/>
      <c r="Q285" s="594"/>
      <c r="R285" s="562">
        <f>SUM(R277:R284)</f>
        <v>39</v>
      </c>
      <c r="S285" s="593">
        <f>SUM(S277:S283)</f>
        <v>0.99999999999999989</v>
      </c>
      <c r="T285" s="563">
        <f>SUM(T277:T283)</f>
        <v>4360</v>
      </c>
      <c r="U285" s="593">
        <f>SUM(U277:U284)</f>
        <v>1</v>
      </c>
      <c r="V285" s="522"/>
      <c r="W285" s="524"/>
      <c r="X285" s="512"/>
    </row>
    <row r="286" spans="1:24" x14ac:dyDescent="0.3">
      <c r="A286" s="407"/>
      <c r="B286" s="429"/>
      <c r="C286" s="429"/>
      <c r="D286" s="429"/>
      <c r="E286" s="429"/>
      <c r="F286" s="429"/>
      <c r="G286" s="429"/>
      <c r="H286" s="488"/>
      <c r="I286" s="488"/>
      <c r="J286" s="488"/>
      <c r="K286" s="488"/>
      <c r="L286" s="488"/>
      <c r="M286" s="488"/>
      <c r="N286" s="488"/>
      <c r="O286" s="488"/>
      <c r="P286" s="488"/>
      <c r="Q286" s="488"/>
      <c r="R286" s="435"/>
      <c r="S286" s="489"/>
      <c r="T286" s="490"/>
      <c r="U286" s="489"/>
      <c r="V286" s="429"/>
      <c r="W286" s="429"/>
      <c r="X286" s="405"/>
    </row>
    <row r="287" spans="1:24" x14ac:dyDescent="0.3">
      <c r="A287" s="418"/>
      <c r="B287" s="464" t="s">
        <v>169</v>
      </c>
      <c r="C287" s="467"/>
      <c r="D287" s="467"/>
      <c r="E287" s="467"/>
      <c r="F287" s="467"/>
      <c r="G287" s="467"/>
      <c r="H287" s="491"/>
      <c r="I287" s="491"/>
      <c r="J287" s="491"/>
      <c r="K287" s="491"/>
      <c r="L287" s="491"/>
      <c r="M287" s="491"/>
      <c r="N287" s="491"/>
      <c r="O287" s="491"/>
      <c r="P287" s="491"/>
      <c r="Q287" s="491"/>
      <c r="R287" s="466" t="s">
        <v>104</v>
      </c>
      <c r="S287" s="465" t="s">
        <v>105</v>
      </c>
      <c r="T287" s="466" t="s">
        <v>113</v>
      </c>
      <c r="U287" s="465" t="s">
        <v>105</v>
      </c>
      <c r="V287" s="467"/>
      <c r="W287" s="468"/>
      <c r="X287" s="405"/>
    </row>
    <row r="288" spans="1:24" s="513" customFormat="1" x14ac:dyDescent="0.3">
      <c r="A288" s="509"/>
      <c r="B288" s="567" t="s">
        <v>90</v>
      </c>
      <c r="C288" s="552"/>
      <c r="D288" s="552"/>
      <c r="E288" s="552"/>
      <c r="F288" s="552"/>
      <c r="G288" s="552"/>
      <c r="H288" s="597"/>
      <c r="I288" s="597"/>
      <c r="J288" s="597"/>
      <c r="K288" s="597"/>
      <c r="L288" s="597"/>
      <c r="M288" s="597"/>
      <c r="N288" s="597"/>
      <c r="O288" s="597"/>
      <c r="P288" s="597"/>
      <c r="Q288" s="597"/>
      <c r="R288" s="567">
        <v>0</v>
      </c>
      <c r="S288" s="595">
        <v>0</v>
      </c>
      <c r="T288" s="596">
        <v>0</v>
      </c>
      <c r="U288" s="595">
        <v>0</v>
      </c>
      <c r="V288" s="552"/>
      <c r="W288" s="552"/>
      <c r="X288" s="512"/>
    </row>
    <row r="289" spans="1:24" s="513" customFormat="1" x14ac:dyDescent="0.3">
      <c r="A289" s="521"/>
      <c r="B289" s="562" t="s">
        <v>91</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92</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161</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162</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163</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164</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t="s">
        <v>165</v>
      </c>
      <c r="C295" s="522"/>
      <c r="D295" s="522"/>
      <c r="E295" s="522"/>
      <c r="F295" s="522"/>
      <c r="G295" s="522"/>
      <c r="H295" s="594"/>
      <c r="I295" s="594"/>
      <c r="J295" s="594"/>
      <c r="K295" s="594"/>
      <c r="L295" s="594"/>
      <c r="M295" s="594"/>
      <c r="N295" s="594"/>
      <c r="O295" s="594"/>
      <c r="P295" s="594"/>
      <c r="Q295" s="594"/>
      <c r="R295" s="562">
        <v>0</v>
      </c>
      <c r="S295" s="593">
        <v>0</v>
      </c>
      <c r="T295" s="563">
        <v>0</v>
      </c>
      <c r="U295" s="593">
        <v>0</v>
      </c>
      <c r="V295" s="522"/>
      <c r="W295" s="524"/>
      <c r="X295" s="512"/>
    </row>
    <row r="296" spans="1:24" s="513" customFormat="1" x14ac:dyDescent="0.3">
      <c r="A296" s="521"/>
      <c r="B296" s="562"/>
      <c r="C296" s="522"/>
      <c r="D296" s="522"/>
      <c r="E296" s="522"/>
      <c r="F296" s="522"/>
      <c r="G296" s="522"/>
      <c r="H296" s="594"/>
      <c r="I296" s="594"/>
      <c r="J296" s="594"/>
      <c r="K296" s="594"/>
      <c r="L296" s="594"/>
      <c r="M296" s="594"/>
      <c r="N296" s="594"/>
      <c r="O296" s="594"/>
      <c r="P296" s="594"/>
      <c r="Q296" s="594"/>
      <c r="R296" s="562"/>
      <c r="S296" s="593"/>
      <c r="T296" s="563"/>
      <c r="U296" s="593"/>
      <c r="V296" s="522"/>
      <c r="W296" s="524"/>
      <c r="X296" s="512"/>
    </row>
    <row r="297" spans="1:24" s="513" customFormat="1" x14ac:dyDescent="0.3">
      <c r="A297" s="521"/>
      <c r="B297" s="522" t="s">
        <v>119</v>
      </c>
      <c r="C297" s="522"/>
      <c r="D297" s="522"/>
      <c r="E297" s="522"/>
      <c r="F297" s="522"/>
      <c r="G297" s="522"/>
      <c r="H297" s="594"/>
      <c r="I297" s="594"/>
      <c r="J297" s="594"/>
      <c r="K297" s="594"/>
      <c r="L297" s="594"/>
      <c r="M297" s="594"/>
      <c r="N297" s="594"/>
      <c r="O297" s="594"/>
      <c r="P297" s="594"/>
      <c r="Q297" s="594"/>
      <c r="R297" s="562">
        <f>SUM(R288:R295)</f>
        <v>0</v>
      </c>
      <c r="S297" s="593">
        <f>SUM(S288:S296)</f>
        <v>0</v>
      </c>
      <c r="T297" s="563">
        <f>SUM(T288:T295)</f>
        <v>0</v>
      </c>
      <c r="U297" s="593">
        <f>SUM(U288:U296)</f>
        <v>0</v>
      </c>
      <c r="V297" s="522"/>
      <c r="W297" s="524"/>
      <c r="X297" s="512"/>
    </row>
    <row r="298" spans="1:24" s="513" customFormat="1" x14ac:dyDescent="0.3">
      <c r="A298" s="521"/>
      <c r="B298" s="522"/>
      <c r="C298" s="522"/>
      <c r="D298" s="522"/>
      <c r="E298" s="522"/>
      <c r="F298" s="522"/>
      <c r="G298" s="522"/>
      <c r="H298" s="594"/>
      <c r="I298" s="594"/>
      <c r="J298" s="594"/>
      <c r="K298" s="594"/>
      <c r="L298" s="594"/>
      <c r="M298" s="594"/>
      <c r="N298" s="594"/>
      <c r="O298" s="594"/>
      <c r="P298" s="594"/>
      <c r="Q298" s="594"/>
      <c r="R298" s="562"/>
      <c r="S298" s="593"/>
      <c r="T298" s="563"/>
      <c r="U298" s="593"/>
      <c r="V298" s="522"/>
      <c r="W298" s="524"/>
      <c r="X298" s="512"/>
    </row>
    <row r="299" spans="1:24" s="513" customFormat="1" x14ac:dyDescent="0.3">
      <c r="A299" s="521"/>
      <c r="B299" s="527" t="s">
        <v>170</v>
      </c>
      <c r="C299" s="522"/>
      <c r="D299" s="522"/>
      <c r="E299" s="522"/>
      <c r="F299" s="522"/>
      <c r="G299" s="522"/>
      <c r="H299" s="594"/>
      <c r="I299" s="594"/>
      <c r="J299" s="594"/>
      <c r="K299" s="594"/>
      <c r="L299" s="594"/>
      <c r="M299" s="594"/>
      <c r="N299" s="594"/>
      <c r="O299" s="594"/>
      <c r="P299" s="594"/>
      <c r="Q299" s="594"/>
      <c r="R299" s="598">
        <f>R297+R274+R262</f>
        <v>3451</v>
      </c>
      <c r="S299" s="593"/>
      <c r="T299" s="599">
        <f>+T297+T274+T262</f>
        <v>446600</v>
      </c>
      <c r="U299" s="593"/>
      <c r="V299" s="522"/>
      <c r="W299" s="524"/>
      <c r="X299" s="512"/>
    </row>
    <row r="300" spans="1:24" s="513" customFormat="1" x14ac:dyDescent="0.3">
      <c r="A300" s="509"/>
      <c r="B300" s="591"/>
      <c r="C300" s="552"/>
      <c r="D300" s="552"/>
      <c r="E300" s="552"/>
      <c r="F300" s="552"/>
      <c r="G300" s="552"/>
      <c r="H300" s="597"/>
      <c r="I300" s="597"/>
      <c r="J300" s="597"/>
      <c r="K300" s="597"/>
      <c r="L300" s="597"/>
      <c r="M300" s="597"/>
      <c r="N300" s="597"/>
      <c r="O300" s="597"/>
      <c r="P300" s="597"/>
      <c r="Q300" s="597"/>
      <c r="R300" s="624"/>
      <c r="S300" s="595"/>
      <c r="T300" s="625"/>
      <c r="U300" s="595"/>
      <c r="V300" s="552"/>
      <c r="W300" s="552"/>
      <c r="X300" s="512"/>
    </row>
    <row r="301" spans="1:24" s="513" customFormat="1" x14ac:dyDescent="0.3">
      <c r="A301" s="509"/>
      <c r="B301" s="510"/>
      <c r="C301" s="510"/>
      <c r="D301" s="510"/>
      <c r="E301" s="510"/>
      <c r="F301" s="510"/>
      <c r="G301" s="510"/>
      <c r="H301" s="600"/>
      <c r="I301" s="600"/>
      <c r="J301" s="600"/>
      <c r="K301" s="600"/>
      <c r="L301" s="600"/>
      <c r="M301" s="600"/>
      <c r="N301" s="600"/>
      <c r="O301" s="600"/>
      <c r="P301" s="600"/>
      <c r="Q301" s="600"/>
      <c r="R301" s="600"/>
      <c r="S301" s="600"/>
      <c r="T301" s="601"/>
      <c r="U301" s="600"/>
      <c r="V301" s="510"/>
      <c r="W301" s="510"/>
      <c r="X301" s="512"/>
    </row>
    <row r="302" spans="1:24" s="513" customFormat="1" x14ac:dyDescent="0.3">
      <c r="A302" s="509"/>
      <c r="B302" s="508" t="s">
        <v>93</v>
      </c>
      <c r="C302" s="510"/>
      <c r="D302" s="510"/>
      <c r="E302" s="510"/>
      <c r="F302" s="516" t="s">
        <v>99</v>
      </c>
      <c r="G302" s="510"/>
      <c r="H302" s="508" t="s">
        <v>101</v>
      </c>
      <c r="I302" s="510"/>
      <c r="J302" s="510"/>
      <c r="K302" s="510"/>
      <c r="L302" s="510"/>
      <c r="M302" s="510"/>
      <c r="N302" s="510"/>
      <c r="O302" s="510"/>
      <c r="P302" s="510"/>
      <c r="Q302" s="510"/>
      <c r="R302" s="510"/>
      <c r="S302" s="510"/>
      <c r="T302" s="510"/>
      <c r="U302" s="510"/>
      <c r="V302" s="510"/>
      <c r="W302" s="510"/>
      <c r="X302" s="512"/>
    </row>
    <row r="303" spans="1:24" s="513" customFormat="1" x14ac:dyDescent="0.3">
      <c r="A303" s="509"/>
      <c r="B303" s="508" t="s">
        <v>327</v>
      </c>
      <c r="C303" s="508"/>
      <c r="D303" s="508"/>
      <c r="E303" s="508"/>
      <c r="F303" s="602" t="s">
        <v>278</v>
      </c>
      <c r="G303" s="508"/>
      <c r="H303" s="402" t="s">
        <v>350</v>
      </c>
      <c r="I303" s="510"/>
      <c r="J303" s="510"/>
      <c r="K303" s="510"/>
      <c r="L303" s="510"/>
      <c r="M303" s="510"/>
      <c r="N303" s="510"/>
      <c r="O303" s="510"/>
      <c r="P303" s="510"/>
      <c r="Q303" s="510"/>
      <c r="R303" s="510"/>
      <c r="S303" s="510"/>
      <c r="T303" s="510"/>
      <c r="U303" s="510"/>
      <c r="V303" s="510"/>
      <c r="W303" s="510"/>
      <c r="X303" s="512"/>
    </row>
    <row r="304" spans="1:24" s="513" customFormat="1" x14ac:dyDescent="0.3">
      <c r="A304" s="509"/>
      <c r="B304" s="508" t="s">
        <v>328</v>
      </c>
      <c r="C304" s="508"/>
      <c r="D304" s="508"/>
      <c r="E304" s="508"/>
      <c r="F304" s="602" t="s">
        <v>152</v>
      </c>
      <c r="G304" s="508"/>
      <c r="H304" s="402" t="s">
        <v>351</v>
      </c>
      <c r="I304" s="510"/>
      <c r="J304" s="510"/>
      <c r="K304" s="510"/>
      <c r="L304" s="510"/>
      <c r="M304" s="510"/>
      <c r="N304" s="510"/>
      <c r="O304" s="510"/>
      <c r="P304" s="510"/>
      <c r="Q304" s="510"/>
      <c r="R304" s="510"/>
      <c r="S304" s="510"/>
      <c r="T304" s="510"/>
      <c r="U304" s="510"/>
      <c r="V304" s="510"/>
      <c r="W304" s="510"/>
      <c r="X304" s="512"/>
    </row>
    <row r="305" spans="1:24" s="513" customFormat="1" x14ac:dyDescent="0.3">
      <c r="A305" s="509"/>
      <c r="B305" s="508"/>
      <c r="C305" s="508"/>
      <c r="D305" s="508"/>
      <c r="E305" s="508"/>
      <c r="F305" s="602"/>
      <c r="G305" s="508"/>
      <c r="H305" s="402"/>
      <c r="I305" s="510"/>
      <c r="J305" s="510"/>
      <c r="K305" s="510"/>
      <c r="L305" s="510"/>
      <c r="M305" s="510"/>
      <c r="N305" s="510"/>
      <c r="O305" s="510"/>
      <c r="P305" s="510"/>
      <c r="Q305" s="510"/>
      <c r="R305" s="510"/>
      <c r="S305" s="510"/>
      <c r="T305" s="510"/>
      <c r="U305" s="510"/>
      <c r="V305" s="510"/>
      <c r="W305" s="510"/>
      <c r="X305" s="512"/>
    </row>
    <row r="306" spans="1:24" s="513" customFormat="1" ht="18" x14ac:dyDescent="0.35">
      <c r="A306" s="509"/>
      <c r="B306" s="647" t="s">
        <v>174</v>
      </c>
      <c r="C306" s="508"/>
      <c r="D306" s="508"/>
      <c r="E306" s="508"/>
      <c r="F306" s="602"/>
      <c r="G306" s="508"/>
      <c r="H306" s="402"/>
      <c r="I306" s="510"/>
      <c r="J306" s="510"/>
      <c r="K306" s="510"/>
      <c r="L306" s="552"/>
      <c r="M306" s="552"/>
      <c r="N306" s="552"/>
      <c r="O306" s="552"/>
      <c r="P306" s="648" t="s">
        <v>349</v>
      </c>
      <c r="Q306" s="552"/>
      <c r="R306" s="552"/>
      <c r="S306" s="552"/>
      <c r="T306" s="510"/>
      <c r="U306" s="510"/>
      <c r="V306" s="510"/>
      <c r="W306" s="510"/>
      <c r="X306" s="512"/>
    </row>
    <row r="307" spans="1:24" s="513" customFormat="1" x14ac:dyDescent="0.3">
      <c r="A307" s="509"/>
      <c r="B307" s="508"/>
      <c r="C307" s="508"/>
      <c r="D307" s="508"/>
      <c r="E307" s="508"/>
      <c r="F307" s="508"/>
      <c r="G307" s="508"/>
      <c r="H307" s="510"/>
      <c r="I307" s="510"/>
      <c r="J307" s="510"/>
      <c r="K307" s="510"/>
      <c r="L307" s="510"/>
      <c r="M307" s="510"/>
      <c r="N307" s="510"/>
      <c r="O307" s="510"/>
      <c r="P307" s="510"/>
      <c r="Q307" s="510"/>
      <c r="R307" s="510"/>
      <c r="S307" s="510"/>
      <c r="T307" s="510"/>
      <c r="U307" s="510"/>
      <c r="V307" s="510"/>
      <c r="W307" s="510"/>
      <c r="X307" s="512"/>
    </row>
    <row r="308" spans="1:24" s="513" customFormat="1" ht="18.600000000000001" thickBot="1" x14ac:dyDescent="0.4">
      <c r="A308" s="509"/>
      <c r="B308" s="603" t="str">
        <f>B202</f>
        <v>PM12 INVESTOR REPORT QUARTER ENDING OCTOBER 2022</v>
      </c>
      <c r="C308" s="508"/>
      <c r="D308" s="508"/>
      <c r="E308" s="508"/>
      <c r="F308" s="508"/>
      <c r="G308" s="508"/>
      <c r="H308" s="510"/>
      <c r="I308" s="510"/>
      <c r="J308" s="510"/>
      <c r="K308" s="510"/>
      <c r="L308" s="510"/>
      <c r="M308" s="510"/>
      <c r="N308" s="510"/>
      <c r="O308" s="510"/>
      <c r="P308" s="510"/>
      <c r="Q308" s="510"/>
      <c r="R308" s="510"/>
      <c r="S308" s="510"/>
      <c r="T308" s="510"/>
      <c r="U308" s="510"/>
      <c r="V308" s="510"/>
      <c r="W308" s="510"/>
      <c r="X308" s="512"/>
    </row>
    <row r="309" spans="1:24" x14ac:dyDescent="0.3">
      <c r="A309" s="492"/>
      <c r="B309" s="492"/>
      <c r="C309" s="492"/>
      <c r="D309" s="492"/>
      <c r="E309" s="492"/>
      <c r="F309" s="492"/>
      <c r="G309" s="492"/>
      <c r="H309" s="492"/>
      <c r="I309" s="492"/>
      <c r="J309" s="492"/>
      <c r="K309" s="492"/>
      <c r="L309" s="492"/>
      <c r="M309" s="492"/>
      <c r="N309" s="492"/>
      <c r="O309" s="492"/>
      <c r="P309" s="492"/>
      <c r="Q309" s="492"/>
      <c r="R309" s="492"/>
      <c r="S309" s="492"/>
      <c r="T309" s="492"/>
      <c r="U309" s="492"/>
      <c r="V309" s="492"/>
      <c r="W309" s="492"/>
    </row>
    <row r="310" spans="1:24" x14ac:dyDescent="0.3">
      <c r="B310" s="406" t="s">
        <v>384</v>
      </c>
    </row>
    <row r="311" spans="1:24" x14ac:dyDescent="0.3">
      <c r="B311" s="623" t="s">
        <v>378</v>
      </c>
    </row>
    <row r="313" spans="1:24" x14ac:dyDescent="0.3">
      <c r="B313" s="649" t="s">
        <v>432</v>
      </c>
    </row>
    <row r="314" spans="1:24" x14ac:dyDescent="0.3">
      <c r="B314" s="406" t="s">
        <v>433</v>
      </c>
    </row>
    <row r="315" spans="1:24" x14ac:dyDescent="0.3">
      <c r="B315" s="677" t="s">
        <v>430</v>
      </c>
    </row>
    <row r="316" spans="1:24" x14ac:dyDescent="0.3">
      <c r="B316" s="406" t="s">
        <v>428</v>
      </c>
    </row>
    <row r="317" spans="1:24" x14ac:dyDescent="0.3">
      <c r="B317" s="406" t="s">
        <v>436</v>
      </c>
    </row>
    <row r="318" spans="1:24" x14ac:dyDescent="0.3">
      <c r="B318" s="406" t="s">
        <v>431</v>
      </c>
    </row>
    <row r="319" spans="1:24" x14ac:dyDescent="0.3">
      <c r="B319" s="677" t="s">
        <v>429</v>
      </c>
    </row>
    <row r="320" spans="1:24" x14ac:dyDescent="0.3">
      <c r="B320" s="677"/>
    </row>
    <row r="321" spans="2:2" x14ac:dyDescent="0.3">
      <c r="B321" s="678" t="s">
        <v>453</v>
      </c>
    </row>
    <row r="323" spans="2:2" x14ac:dyDescent="0.3">
      <c r="B323" s="649" t="s">
        <v>421</v>
      </c>
    </row>
    <row r="324" spans="2:2" x14ac:dyDescent="0.3">
      <c r="B324" s="406" t="s">
        <v>423</v>
      </c>
    </row>
    <row r="325" spans="2:2" x14ac:dyDescent="0.3">
      <c r="B325" s="676" t="s">
        <v>422</v>
      </c>
    </row>
    <row r="327" spans="2:2" x14ac:dyDescent="0.3">
      <c r="B327" s="406" t="s">
        <v>455</v>
      </c>
    </row>
  </sheetData>
  <hyperlinks>
    <hyperlink ref="I9" r:id="rId1" xr:uid="{5561863B-1F36-4620-9465-0D52DAD0A052}"/>
    <hyperlink ref="P238" r:id="rId2" xr:uid="{580B11BB-E0A5-4990-9AE3-033EA9CC3F9B}"/>
    <hyperlink ref="B311" r:id="rId3" xr:uid="{9D0C0597-FFAD-48DD-B557-0C938A4914D7}"/>
    <hyperlink ref="P306" r:id="rId4" xr:uid="{62235305-53DB-4F46-92F0-FCA99FF4D5C7}"/>
    <hyperlink ref="B325" r:id="rId5" display="https://investorreporting.paragonbankinggroup.co.uk/bondinvestor_viewer/resources/bondinvestor/pdf/investornews/2021/libor-mortgages-transition-july-19" xr:uid="{5569DFEA-7503-4187-868D-98A94A0CBFC8}"/>
    <hyperlink ref="B319" r:id="rId6" display="https://protect-eu.mimecast.com/s/wcu_C4934SBRnRxHOTIMr?domain=londonstockexchange.com" xr:uid="{0D60778E-50FD-4306-86B5-44729C74C77D}"/>
    <hyperlink ref="B315" r:id="rId7" display="https://protect-eu.mimecast.com/s/GQAHC60N2crGn7VHp3gPx?domain=londonstockexchange.com" xr:uid="{078FC084-4F4C-44CA-8D4D-2974EBE908EA}"/>
  </hyperlinks>
  <printOptions horizontalCentered="1" verticalCentered="1"/>
  <pageMargins left="0.19685039370078741" right="0.19685039370078741" top="0.27559055118110237" bottom="0.27559055118110237" header="0" footer="0"/>
  <pageSetup scale="37" orientation="landscape" r:id="rId8"/>
  <headerFooter alignWithMargins="0"/>
  <rowBreaks count="3" manualBreakCount="3">
    <brk id="64" max="23" man="1"/>
    <brk id="141" max="14" man="1"/>
    <brk id="202" max="14" man="1"/>
  </rowBreaks>
  <drawing r:id="rId9"/>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56C05-22B0-4889-BF41-98C489E0CA36}">
  <sheetPr>
    <tabColor rgb="FF2D2926"/>
  </sheetPr>
  <dimension ref="A1:AA326"/>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0.70040064894435117</v>
      </c>
      <c r="T16" s="516" t="s">
        <v>145</v>
      </c>
      <c r="U16" s="515">
        <v>0.29959935105564889</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44979</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205004.8200759</v>
      </c>
      <c r="E32" s="529"/>
      <c r="F32" s="530">
        <f>F31*F38</f>
        <v>36463.991000000002</v>
      </c>
      <c r="G32" s="530"/>
      <c r="H32" s="534">
        <f>H31*H38</f>
        <v>61611.571000000004</v>
      </c>
      <c r="I32" s="534"/>
      <c r="J32" s="533">
        <f>J31*J38</f>
        <v>78208.009699999995</v>
      </c>
      <c r="K32" s="530"/>
      <c r="L32" s="530">
        <f>L31*L38</f>
        <v>14868.275</v>
      </c>
      <c r="M32" s="530"/>
      <c r="N32" s="534">
        <f>N31*N38</f>
        <v>74936.106</v>
      </c>
      <c r="O32" s="530"/>
      <c r="P32" s="530">
        <f>P31*P38</f>
        <v>10110.427</v>
      </c>
      <c r="Q32" s="530"/>
      <c r="R32" s="534">
        <f>R31*R38</f>
        <v>63041.486000000004</v>
      </c>
      <c r="S32" s="530"/>
      <c r="T32" s="530"/>
      <c r="U32" s="529"/>
      <c r="V32" s="530"/>
      <c r="W32" s="531"/>
      <c r="X32" s="512"/>
    </row>
    <row r="33" spans="1:25" s="513" customFormat="1" x14ac:dyDescent="0.3">
      <c r="A33" s="521"/>
      <c r="B33" s="527" t="s">
        <v>139</v>
      </c>
      <c r="C33" s="529"/>
      <c r="D33" s="619">
        <f>D34*D37</f>
        <v>192808.6846257</v>
      </c>
      <c r="E33" s="532"/>
      <c r="F33" s="535">
        <f>F37*F31</f>
        <v>34294.703999999998</v>
      </c>
      <c r="G33" s="535"/>
      <c r="H33" s="537">
        <f>H31*H37</f>
        <v>57946.224000000002</v>
      </c>
      <c r="I33" s="537"/>
      <c r="J33" s="536">
        <f>J37*J31</f>
        <v>73555.263099999996</v>
      </c>
      <c r="K33" s="535"/>
      <c r="L33" s="535">
        <f>L37*L31</f>
        <v>13983.74</v>
      </c>
      <c r="M33" s="535"/>
      <c r="N33" s="537">
        <f>N37*N31</f>
        <v>70478.049599999998</v>
      </c>
      <c r="O33" s="535"/>
      <c r="P33" s="535">
        <f>P37*P31</f>
        <v>9508.9431999999997</v>
      </c>
      <c r="Q33" s="535"/>
      <c r="R33" s="537">
        <f>R37*R31</f>
        <v>59291.0576</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205004.8200759</v>
      </c>
      <c r="E35" s="529"/>
      <c r="F35" s="530">
        <f>F34*F38</f>
        <v>36463.991000000002</v>
      </c>
      <c r="G35" s="530"/>
      <c r="H35" s="530">
        <f>H34*H38</f>
        <v>42490.860022800007</v>
      </c>
      <c r="I35" s="530"/>
      <c r="J35" s="530">
        <f>J34*J38</f>
        <v>42504.418699399997</v>
      </c>
      <c r="K35" s="530"/>
      <c r="L35" s="530">
        <f>L34*L38</f>
        <v>14868.275</v>
      </c>
      <c r="M35" s="530"/>
      <c r="N35" s="530">
        <f>N34*N38</f>
        <v>51680.339706999999</v>
      </c>
      <c r="O35" s="530"/>
      <c r="P35" s="530">
        <f>P34*P38</f>
        <v>10110.427</v>
      </c>
      <c r="Q35" s="530"/>
      <c r="R35" s="530">
        <f>R34*R38</f>
        <v>43476.620293</v>
      </c>
      <c r="S35" s="530"/>
      <c r="T35" s="530"/>
      <c r="U35" s="529"/>
      <c r="V35" s="530">
        <f>SUM(C35:R35)</f>
        <v>446599.75179810007</v>
      </c>
      <c r="W35" s="531"/>
      <c r="X35" s="512"/>
    </row>
    <row r="36" spans="1:25" s="513" customFormat="1" x14ac:dyDescent="0.3">
      <c r="A36" s="525"/>
      <c r="B36" s="527" t="s">
        <v>295</v>
      </c>
      <c r="C36" s="532"/>
      <c r="D36" s="535">
        <f>D34*D37</f>
        <v>192808.6846257</v>
      </c>
      <c r="E36" s="532"/>
      <c r="F36" s="535">
        <f>F34*F37</f>
        <v>34294.703999999998</v>
      </c>
      <c r="G36" s="535"/>
      <c r="H36" s="535">
        <f>H34*H37</f>
        <v>39963.027283200005</v>
      </c>
      <c r="I36" s="535"/>
      <c r="J36" s="535">
        <f>J34*J37</f>
        <v>39975.748166199999</v>
      </c>
      <c r="K36" s="535"/>
      <c r="L36" s="535">
        <f>L34*L37</f>
        <v>13983.74</v>
      </c>
      <c r="M36" s="535"/>
      <c r="N36" s="535">
        <f>N34*N37</f>
        <v>48605.802191199997</v>
      </c>
      <c r="O36" s="535"/>
      <c r="P36" s="535">
        <f>P34*P37</f>
        <v>9508.9431999999997</v>
      </c>
      <c r="Q36" s="535"/>
      <c r="R36" s="535">
        <f>R34*R37</f>
        <v>40890.133808799997</v>
      </c>
      <c r="S36" s="538"/>
      <c r="T36" s="538"/>
      <c r="U36" s="529"/>
      <c r="V36" s="535">
        <f>SUM(C36:R36)</f>
        <v>420030.78327509994</v>
      </c>
      <c r="W36" s="531"/>
      <c r="X36" s="512"/>
      <c r="Y36" s="621"/>
    </row>
    <row r="37" spans="1:25" x14ac:dyDescent="0.3">
      <c r="A37" s="420"/>
      <c r="B37" s="493" t="s">
        <v>135</v>
      </c>
      <c r="C37" s="494"/>
      <c r="D37" s="495">
        <v>0.2365121</v>
      </c>
      <c r="E37" s="496"/>
      <c r="F37" s="495">
        <v>0.23651520000000001</v>
      </c>
      <c r="G37" s="495"/>
      <c r="H37" s="495">
        <v>0.23651520000000001</v>
      </c>
      <c r="I37" s="495"/>
      <c r="J37" s="495">
        <v>0.2365121</v>
      </c>
      <c r="K37" s="495"/>
      <c r="L37" s="495">
        <v>0.5593496</v>
      </c>
      <c r="M37" s="495"/>
      <c r="N37" s="495">
        <v>0.5593496</v>
      </c>
      <c r="O37" s="495"/>
      <c r="P37" s="495">
        <v>0.5593496</v>
      </c>
      <c r="Q37" s="495"/>
      <c r="R37" s="495">
        <v>0.5593496</v>
      </c>
      <c r="S37" s="425"/>
      <c r="T37" s="425"/>
      <c r="U37" s="424"/>
      <c r="V37" s="424"/>
      <c r="W37" s="426"/>
      <c r="X37" s="405"/>
    </row>
    <row r="38" spans="1:25" x14ac:dyDescent="0.3">
      <c r="A38" s="420"/>
      <c r="B38" s="493" t="s">
        <v>136</v>
      </c>
      <c r="C38" s="494"/>
      <c r="D38" s="495">
        <v>0.25147269999999999</v>
      </c>
      <c r="E38" s="496"/>
      <c r="F38" s="495">
        <v>0.25147580000000003</v>
      </c>
      <c r="G38" s="495"/>
      <c r="H38" s="495">
        <v>0.25147580000000003</v>
      </c>
      <c r="I38" s="495"/>
      <c r="J38" s="495">
        <v>0.25147269999999999</v>
      </c>
      <c r="K38" s="495"/>
      <c r="L38" s="495">
        <v>0.59473100000000001</v>
      </c>
      <c r="M38" s="495"/>
      <c r="N38" s="495">
        <v>0.59473100000000001</v>
      </c>
      <c r="O38" s="495"/>
      <c r="P38" s="495">
        <v>0.59473100000000001</v>
      </c>
      <c r="Q38" s="495"/>
      <c r="R38" s="495">
        <v>0.59473100000000001</v>
      </c>
      <c r="S38" s="427"/>
      <c r="T38" s="428"/>
      <c r="U38" s="424"/>
      <c r="V38" s="427"/>
      <c r="W38" s="426"/>
      <c r="X38" s="405"/>
    </row>
    <row r="39" spans="1:25" s="513" customFormat="1" x14ac:dyDescent="0.3">
      <c r="A39" s="521"/>
      <c r="B39" s="522" t="s">
        <v>451</v>
      </c>
      <c r="C39" s="522"/>
      <c r="D39" s="528" t="s">
        <v>442</v>
      </c>
      <c r="E39" s="522"/>
      <c r="F39" s="528" t="s">
        <v>442</v>
      </c>
      <c r="G39" s="528"/>
      <c r="H39" s="528" t="s">
        <v>237</v>
      </c>
      <c r="I39" s="528"/>
      <c r="J39" s="528" t="s">
        <v>239</v>
      </c>
      <c r="K39" s="528"/>
      <c r="L39" s="528" t="s">
        <v>443</v>
      </c>
      <c r="M39" s="528"/>
      <c r="N39" s="528" t="s">
        <v>240</v>
      </c>
      <c r="O39" s="528"/>
      <c r="P39" s="528" t="s">
        <v>444</v>
      </c>
      <c r="Q39" s="528"/>
      <c r="R39" s="528" t="s">
        <v>241</v>
      </c>
      <c r="S39" s="539"/>
      <c r="T39" s="540"/>
      <c r="U39" s="522"/>
      <c r="V39" s="522"/>
      <c r="W39" s="524"/>
      <c r="X39" s="512"/>
    </row>
    <row r="40" spans="1:25" s="513" customFormat="1" x14ac:dyDescent="0.3">
      <c r="A40" s="521"/>
      <c r="B40" s="522" t="s">
        <v>12</v>
      </c>
      <c r="C40" s="522"/>
      <c r="D40" s="540">
        <v>3.6314699999999998E-2</v>
      </c>
      <c r="E40" s="522"/>
      <c r="F40" s="540">
        <v>3.6314699999999998E-2</v>
      </c>
      <c r="G40" s="539"/>
      <c r="H40" s="540">
        <v>2.002E-2</v>
      </c>
      <c r="I40" s="540"/>
      <c r="J40" s="540">
        <v>4.8261400000000003E-2</v>
      </c>
      <c r="K40" s="539"/>
      <c r="L40" s="540">
        <v>3.8714699999999998E-2</v>
      </c>
      <c r="M40" s="539"/>
      <c r="N40" s="540">
        <v>2.2419999999999999E-2</v>
      </c>
      <c r="O40" s="539"/>
      <c r="P40" s="540">
        <v>4.3114699999999999E-2</v>
      </c>
      <c r="Q40" s="539"/>
      <c r="R40" s="540">
        <v>2.682E-2</v>
      </c>
      <c r="S40" s="539"/>
      <c r="T40" s="540"/>
      <c r="U40" s="522"/>
      <c r="V40" s="528"/>
      <c r="W40" s="524"/>
      <c r="X40" s="512"/>
    </row>
    <row r="41" spans="1:25" s="513" customFormat="1" x14ac:dyDescent="0.3">
      <c r="A41" s="521"/>
      <c r="B41" s="522" t="s">
        <v>13</v>
      </c>
      <c r="C41" s="522"/>
      <c r="D41" s="540">
        <v>2.34836E-2</v>
      </c>
      <c r="E41" s="522"/>
      <c r="F41" s="540">
        <v>2.34836E-2</v>
      </c>
      <c r="G41" s="539"/>
      <c r="H41" s="540">
        <v>5.6100000000000004E-3</v>
      </c>
      <c r="I41" s="540"/>
      <c r="J41" s="540">
        <v>3.1251399999999999E-2</v>
      </c>
      <c r="K41" s="539"/>
      <c r="L41" s="540">
        <v>2.58836E-2</v>
      </c>
      <c r="M41" s="539"/>
      <c r="N41" s="540">
        <v>8.0099999999999998E-3</v>
      </c>
      <c r="O41" s="539"/>
      <c r="P41" s="540">
        <v>3.0283600000000001E-2</v>
      </c>
      <c r="Q41" s="539"/>
      <c r="R41" s="540">
        <v>1.2409999999999999E-2</v>
      </c>
      <c r="S41" s="539"/>
      <c r="T41" s="540"/>
      <c r="U41" s="522"/>
      <c r="V41" s="539" t="s">
        <v>199</v>
      </c>
      <c r="W41" s="524"/>
      <c r="X41" s="512"/>
    </row>
    <row r="42" spans="1:25" s="513" customFormat="1" x14ac:dyDescent="0.3">
      <c r="A42" s="521"/>
      <c r="B42" s="522" t="s">
        <v>449</v>
      </c>
      <c r="C42" s="522"/>
      <c r="D42" s="528" t="s">
        <v>442</v>
      </c>
      <c r="E42" s="522"/>
      <c r="F42" s="528" t="s">
        <v>442</v>
      </c>
      <c r="G42" s="528"/>
      <c r="H42" s="528" t="s">
        <v>445</v>
      </c>
      <c r="I42" s="528"/>
      <c r="J42" s="528" t="s">
        <v>446</v>
      </c>
      <c r="K42" s="528"/>
      <c r="L42" s="528" t="s">
        <v>443</v>
      </c>
      <c r="M42" s="528"/>
      <c r="N42" s="528" t="s">
        <v>448</v>
      </c>
      <c r="O42" s="528"/>
      <c r="P42" s="528" t="s">
        <v>444</v>
      </c>
      <c r="Q42" s="528"/>
      <c r="R42" s="528" t="s">
        <v>447</v>
      </c>
      <c r="S42" s="539"/>
      <c r="T42" s="540"/>
      <c r="U42" s="522"/>
      <c r="V42" s="522"/>
      <c r="W42" s="524"/>
      <c r="X42" s="512"/>
    </row>
    <row r="43" spans="1:25" s="513" customFormat="1" x14ac:dyDescent="0.3">
      <c r="A43" s="521"/>
      <c r="B43" s="522" t="s">
        <v>297</v>
      </c>
      <c r="C43" s="541"/>
      <c r="D43" s="540">
        <f>+D40</f>
        <v>3.6314699999999998E-2</v>
      </c>
      <c r="E43" s="540"/>
      <c r="F43" s="540">
        <f>+F40</f>
        <v>3.6314699999999998E-2</v>
      </c>
      <c r="G43" s="540"/>
      <c r="H43" s="540">
        <v>3.6236699999999997E-2</v>
      </c>
      <c r="I43" s="540"/>
      <c r="J43" s="540">
        <v>3.6478700000000003E-2</v>
      </c>
      <c r="K43" s="540"/>
      <c r="L43" s="540">
        <f>+L40</f>
        <v>3.8714699999999998E-2</v>
      </c>
      <c r="M43" s="540"/>
      <c r="N43" s="540">
        <v>3.8916699999999999E-2</v>
      </c>
      <c r="O43" s="540"/>
      <c r="P43" s="540">
        <f>+P40</f>
        <v>4.3114699999999999E-2</v>
      </c>
      <c r="Q43" s="539"/>
      <c r="R43" s="540">
        <v>4.3586699999999999E-2</v>
      </c>
      <c r="S43" s="528"/>
      <c r="T43" s="528"/>
      <c r="U43" s="522"/>
      <c r="V43" s="539">
        <f>SUMPRODUCT(D43:R43,D35:R35)/V35</f>
        <v>3.7565765244939549E-2</v>
      </c>
      <c r="W43" s="524"/>
      <c r="X43" s="512"/>
    </row>
    <row r="44" spans="1:25" s="513" customFormat="1" x14ac:dyDescent="0.3">
      <c r="A44" s="521"/>
      <c r="B44" s="522" t="s">
        <v>298</v>
      </c>
      <c r="C44" s="541"/>
      <c r="D44" s="540">
        <f>+D41</f>
        <v>2.34836E-2</v>
      </c>
      <c r="E44" s="540"/>
      <c r="F44" s="540">
        <f>+F41</f>
        <v>2.34836E-2</v>
      </c>
      <c r="G44" s="540"/>
      <c r="H44" s="540">
        <v>2.3405599999999999E-2</v>
      </c>
      <c r="I44" s="540"/>
      <c r="J44" s="540">
        <v>2.3647600000000001E-2</v>
      </c>
      <c r="K44" s="540"/>
      <c r="L44" s="540">
        <f>+L41</f>
        <v>2.58836E-2</v>
      </c>
      <c r="M44" s="540"/>
      <c r="N44" s="540">
        <v>2.60856E-2</v>
      </c>
      <c r="O44" s="540"/>
      <c r="P44" s="540">
        <f>+P41</f>
        <v>3.0283600000000001E-2</v>
      </c>
      <c r="Q44" s="539"/>
      <c r="R44" s="540">
        <v>3.0755600000000001E-2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450</v>
      </c>
      <c r="C47" s="522"/>
      <c r="D47" s="528" t="s">
        <v>442</v>
      </c>
      <c r="E47" s="522"/>
      <c r="F47" s="528" t="s">
        <v>442</v>
      </c>
      <c r="G47" s="528"/>
      <c r="H47" s="528" t="s">
        <v>237</v>
      </c>
      <c r="I47" s="528"/>
      <c r="J47" s="528" t="s">
        <v>239</v>
      </c>
      <c r="K47" s="528"/>
      <c r="L47" s="528" t="s">
        <v>443</v>
      </c>
      <c r="M47" s="528"/>
      <c r="N47" s="528" t="s">
        <v>240</v>
      </c>
      <c r="O47" s="528"/>
      <c r="P47" s="528" t="s">
        <v>444</v>
      </c>
      <c r="Q47" s="528"/>
      <c r="R47" s="528" t="s">
        <v>241</v>
      </c>
      <c r="S47" s="542"/>
      <c r="T47" s="542"/>
      <c r="U47" s="542"/>
      <c r="V47" s="542"/>
      <c r="W47" s="524"/>
      <c r="X47" s="512"/>
    </row>
    <row r="48" spans="1:25" s="513" customFormat="1" x14ac:dyDescent="0.3">
      <c r="A48" s="521"/>
      <c r="B48" s="522" t="s">
        <v>452</v>
      </c>
      <c r="C48" s="522"/>
      <c r="D48" s="528" t="s">
        <v>442</v>
      </c>
      <c r="E48" s="522"/>
      <c r="F48" s="528" t="s">
        <v>442</v>
      </c>
      <c r="G48" s="528"/>
      <c r="H48" s="528" t="s">
        <v>445</v>
      </c>
      <c r="I48" s="528"/>
      <c r="J48" s="528" t="s">
        <v>446</v>
      </c>
      <c r="K48" s="528"/>
      <c r="L48" s="528" t="s">
        <v>443</v>
      </c>
      <c r="M48" s="528"/>
      <c r="N48" s="528" t="s">
        <v>448</v>
      </c>
      <c r="O48" s="528"/>
      <c r="P48" s="528" t="s">
        <v>444</v>
      </c>
      <c r="Q48" s="528"/>
      <c r="R48" s="528" t="s">
        <v>447</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40"/>
      <c r="E50" s="540"/>
      <c r="F50" s="540"/>
      <c r="G50" s="540"/>
      <c r="H50" s="540"/>
      <c r="I50" s="540"/>
      <c r="J50" s="540"/>
      <c r="K50" s="540"/>
      <c r="L50" s="540"/>
      <c r="M50" s="540"/>
      <c r="N50" s="540"/>
      <c r="O50" s="540"/>
      <c r="P50" s="540"/>
      <c r="Q50" s="540"/>
      <c r="R50" s="540"/>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0.36799056422870935</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44972</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44788</v>
      </c>
      <c r="U57" s="550"/>
      <c r="V57" s="549">
        <v>44879</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44880</v>
      </c>
      <c r="U58" s="550"/>
      <c r="V58" s="549">
        <v>44971</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44958</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456</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446600</v>
      </c>
      <c r="O68" s="562"/>
      <c r="P68" s="562">
        <v>26569</v>
      </c>
      <c r="Q68" s="562"/>
      <c r="R68" s="562">
        <v>0</v>
      </c>
      <c r="S68" s="562"/>
      <c r="T68" s="562">
        <v>0</v>
      </c>
      <c r="U68" s="562"/>
      <c r="V68" s="563">
        <f>+N68-P68+R68-T68</f>
        <v>420031</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446600</v>
      </c>
      <c r="O71" s="562"/>
      <c r="P71" s="562">
        <f>SUM(P68:P70)</f>
        <v>26569</v>
      </c>
      <c r="Q71" s="562"/>
      <c r="R71" s="562">
        <f>SUM(R68:R70)</f>
        <v>0</v>
      </c>
      <c r="S71" s="562"/>
      <c r="T71" s="562">
        <f>SUM(T68:T70)</f>
        <v>0</v>
      </c>
      <c r="U71" s="562"/>
      <c r="V71" s="562">
        <f>SUM(V68:V70)</f>
        <v>420031</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446600</v>
      </c>
      <c r="O84" s="562"/>
      <c r="P84" s="562"/>
      <c r="Q84" s="562"/>
      <c r="R84" s="562"/>
      <c r="S84" s="562"/>
      <c r="T84" s="562"/>
      <c r="U84" s="562"/>
      <c r="V84" s="562">
        <f>SUM(V71:V83)</f>
        <v>420031</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44957</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26569+14</f>
        <v>26583</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5916+2763-2131-1235</f>
        <v>5313</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79+50</f>
        <v>129</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274</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0</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26583</v>
      </c>
      <c r="U96" s="522"/>
      <c r="V96" s="562">
        <f>SUM(V88:V95)</f>
        <v>5716</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26583</v>
      </c>
      <c r="U100" s="522"/>
      <c r="V100" s="562">
        <f>V96+V98+V97+V99</f>
        <v>5716</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-172-56-6</f>
        <v>-234</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v>-2655</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-334</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-507</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-145</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-478</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-110</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-13</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-14</v>
      </c>
      <c r="U114" s="522"/>
      <c r="V114" s="563">
        <v>14</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-172</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-382</v>
      </c>
      <c r="W119" s="615"/>
      <c r="X119" s="679"/>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0</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-15</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-680</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-12196</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-2169</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-2528</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-2528</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-885</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-3075</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-602</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-2586</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-26569</v>
      </c>
      <c r="U137" s="562"/>
      <c r="V137" s="562">
        <f>SUM(V102:V134)</f>
        <v>-5716</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JANUARY 2023</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-14</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-14</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14</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420031</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420031</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+'Oct 22'!S188</f>
        <v>57078</v>
      </c>
      <c r="T186" s="563">
        <f>+'Oct 22'!T188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1.833389093342255</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2.06</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3.8205521472392636</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7.92</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3.1275510204081631</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7.14</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JANUARY 2023</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44957</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5.3900145762018493E-2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3.7565765244939549E-2</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1.6334380517078945E-2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1.2798925212718316E-2</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6.4666906940922502</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5.9491715181370357E-2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7.6999999999999999E-2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0</v>
      </c>
      <c r="T221" s="577">
        <v>0</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39</v>
      </c>
      <c r="T222" s="579">
        <f>+T274</f>
        <v>4411</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+R296</f>
        <v>0</v>
      </c>
      <c r="T223" s="579">
        <f>+T296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-14</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'Oct 22'!T228+'Jan 23'!T227</f>
        <v>8938</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2</v>
      </c>
      <c r="T234" s="579">
        <v>124</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2.7</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3201</v>
      </c>
      <c r="S241" s="588">
        <f t="shared" ref="S241:S248" si="2">R241/$R$250</f>
        <v>0.98039816232771826</v>
      </c>
      <c r="T241" s="589">
        <f t="shared" ref="T241:T248" si="3">+T253+T265+T287</f>
        <v>411219</v>
      </c>
      <c r="U241" s="588">
        <f t="shared" ref="U241:U248" si="4">T241/$T$250</f>
        <v>0.97902059609885939</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41</v>
      </c>
      <c r="S242" s="593">
        <f t="shared" si="2"/>
        <v>1.2557427258805513E-2</v>
      </c>
      <c r="T242" s="563">
        <f t="shared" si="3"/>
        <v>4208</v>
      </c>
      <c r="U242" s="593">
        <f t="shared" si="4"/>
        <v>1.0018308172492031E-2</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10</v>
      </c>
      <c r="S243" s="593">
        <f t="shared" si="2"/>
        <v>3.0627871362940277E-3</v>
      </c>
      <c r="T243" s="563">
        <f t="shared" si="3"/>
        <v>2757</v>
      </c>
      <c r="U243" s="593">
        <f t="shared" si="4"/>
        <v>6.5638012432415703E-3</v>
      </c>
      <c r="V243" s="582"/>
      <c r="W243" s="583"/>
      <c r="X243" s="512"/>
      <c r="Y243" s="680"/>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6</v>
      </c>
      <c r="S244" s="593">
        <f t="shared" si="2"/>
        <v>1.8376722817764165E-3</v>
      </c>
      <c r="T244" s="563">
        <f t="shared" si="3"/>
        <v>1373</v>
      </c>
      <c r="U244" s="593">
        <f t="shared" si="4"/>
        <v>3.2688063500074995E-3</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2</v>
      </c>
      <c r="S245" s="593">
        <f t="shared" si="2"/>
        <v>6.1255742725880549E-4</v>
      </c>
      <c r="T245" s="563">
        <f t="shared" si="3"/>
        <v>67</v>
      </c>
      <c r="U245" s="593">
        <f t="shared" si="4"/>
        <v>1.5951203601638928E-4</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0</v>
      </c>
      <c r="S246" s="593">
        <f t="shared" si="2"/>
        <v>0</v>
      </c>
      <c r="T246" s="563">
        <f t="shared" si="3"/>
        <v>0</v>
      </c>
      <c r="U246" s="593">
        <f t="shared" si="4"/>
        <v>0</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3</v>
      </c>
      <c r="S247" s="593">
        <f t="shared" si="2"/>
        <v>9.1883614088820824E-4</v>
      </c>
      <c r="T247" s="563">
        <f t="shared" si="3"/>
        <v>243</v>
      </c>
      <c r="U247" s="593">
        <f t="shared" si="4"/>
        <v>5.7852872764153126E-4</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2</v>
      </c>
      <c r="S248" s="593">
        <f t="shared" si="2"/>
        <v>6.1255742725880549E-4</v>
      </c>
      <c r="T248" s="563">
        <f t="shared" si="3"/>
        <v>164</v>
      </c>
      <c r="U248" s="593">
        <f t="shared" si="4"/>
        <v>3.9044737174160954E-4</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3265</v>
      </c>
      <c r="S250" s="593">
        <f>SUM(S241:S249)</f>
        <v>1</v>
      </c>
      <c r="T250" s="563">
        <f>SUM(T241:T249)</f>
        <v>420031</v>
      </c>
      <c r="U250" s="593">
        <f>SUM(U241:U249)</f>
        <v>1</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3168</v>
      </c>
      <c r="S253" s="595">
        <f t="shared" ref="S253:S260" si="5">R253/$R$262</f>
        <v>0.98202107873527589</v>
      </c>
      <c r="T253" s="596">
        <v>407403</v>
      </c>
      <c r="U253" s="595">
        <f t="shared" ref="U253:U260" si="6">T253/$T$262</f>
        <v>0.98022953659592893</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40</v>
      </c>
      <c r="S254" s="593">
        <f t="shared" si="5"/>
        <v>1.2399256044637322E-2</v>
      </c>
      <c r="T254" s="563">
        <v>4033</v>
      </c>
      <c r="U254" s="593">
        <f t="shared" si="6"/>
        <v>9.703575381357972E-3</v>
      </c>
      <c r="V254" s="582"/>
      <c r="W254" s="583"/>
      <c r="X254" s="681"/>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9</v>
      </c>
      <c r="S255" s="593">
        <f t="shared" si="5"/>
        <v>2.7898326100433972E-3</v>
      </c>
      <c r="T255" s="563">
        <v>2644</v>
      </c>
      <c r="U255" s="593">
        <f t="shared" si="6"/>
        <v>6.3615802896876952E-3</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6</v>
      </c>
      <c r="S256" s="593">
        <f t="shared" si="5"/>
        <v>1.8598884066955983E-3</v>
      </c>
      <c r="T256" s="563">
        <v>1373</v>
      </c>
      <c r="U256" s="593">
        <f t="shared" si="6"/>
        <v>3.3034983879505317E-3</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2</v>
      </c>
      <c r="S257" s="593">
        <f t="shared" si="5"/>
        <v>6.1996280223186606E-4</v>
      </c>
      <c r="T257" s="563">
        <v>67</v>
      </c>
      <c r="U257" s="593">
        <f t="shared" si="6"/>
        <v>1.6120494682642799E-4</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0</v>
      </c>
      <c r="S258" s="593">
        <f t="shared" si="5"/>
        <v>0</v>
      </c>
      <c r="T258" s="563">
        <v>0</v>
      </c>
      <c r="U258" s="593">
        <f t="shared" si="6"/>
        <v>0</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0</v>
      </c>
      <c r="S259" s="593">
        <f t="shared" si="5"/>
        <v>0</v>
      </c>
      <c r="T259" s="563">
        <v>0</v>
      </c>
      <c r="U259" s="593">
        <f t="shared" si="6"/>
        <v>0</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1</v>
      </c>
      <c r="S260" s="593">
        <f t="shared" si="5"/>
        <v>3.0998140111593303E-4</v>
      </c>
      <c r="T260" s="563">
        <v>100</v>
      </c>
      <c r="U260" s="593">
        <f t="shared" si="6"/>
        <v>2.4060439824839997E-4</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3226</v>
      </c>
      <c r="S262" s="593">
        <f>SUM(S253:S261)</f>
        <v>1</v>
      </c>
      <c r="T262" s="563">
        <f>SUM(T253:T261)</f>
        <v>415620</v>
      </c>
      <c r="U262" s="593">
        <f>SUM(U253:U261)</f>
        <v>1</v>
      </c>
      <c r="V262" s="522"/>
      <c r="W262" s="524"/>
      <c r="X262" s="512"/>
      <c r="Y262" s="570"/>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33</v>
      </c>
      <c r="S265" s="595">
        <f t="shared" ref="S265:S272" si="7">R265/$R$274</f>
        <v>0.84615384615384615</v>
      </c>
      <c r="T265" s="596">
        <v>3816</v>
      </c>
      <c r="U265" s="595">
        <f t="shared" ref="U265:U272" si="8">T265/$T$274</f>
        <v>0.86510995239174793</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1</v>
      </c>
      <c r="S266" s="593">
        <f t="shared" si="7"/>
        <v>2.564102564102564E-2</v>
      </c>
      <c r="T266" s="563">
        <v>175</v>
      </c>
      <c r="U266" s="593">
        <f t="shared" si="8"/>
        <v>3.9673543414191791E-2</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1</v>
      </c>
      <c r="S267" s="593">
        <f t="shared" si="7"/>
        <v>2.564102564102564E-2</v>
      </c>
      <c r="T267" s="563">
        <v>113</v>
      </c>
      <c r="U267" s="593">
        <f t="shared" si="8"/>
        <v>2.5617773747449557E-2</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0</v>
      </c>
      <c r="S268" s="593">
        <f t="shared" si="7"/>
        <v>0</v>
      </c>
      <c r="T268" s="563">
        <v>0</v>
      </c>
      <c r="U268" s="593">
        <f t="shared" si="8"/>
        <v>0</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0</v>
      </c>
      <c r="S269" s="593">
        <f t="shared" si="7"/>
        <v>0</v>
      </c>
      <c r="T269" s="563">
        <v>0</v>
      </c>
      <c r="U269" s="593">
        <f t="shared" si="8"/>
        <v>0</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0</v>
      </c>
      <c r="S270" s="593">
        <f t="shared" si="7"/>
        <v>0</v>
      </c>
      <c r="T270" s="563">
        <v>0</v>
      </c>
      <c r="U270" s="593">
        <f t="shared" si="8"/>
        <v>0</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3</v>
      </c>
      <c r="S271" s="593">
        <f t="shared" si="7"/>
        <v>7.6923076923076927E-2</v>
      </c>
      <c r="T271" s="563">
        <v>243</v>
      </c>
      <c r="U271" s="593">
        <f t="shared" si="8"/>
        <v>5.5089548855134889E-2</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1</v>
      </c>
      <c r="S272" s="593">
        <f t="shared" si="7"/>
        <v>2.564102564102564E-2</v>
      </c>
      <c r="T272" s="563">
        <v>64</v>
      </c>
      <c r="U272" s="593">
        <f t="shared" si="8"/>
        <v>1.4509181591475856E-2</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39</v>
      </c>
      <c r="S274" s="593">
        <f>SUM(S265:S273)</f>
        <v>1</v>
      </c>
      <c r="T274" s="563">
        <f>SUM(T265:T273)</f>
        <v>4411</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21</v>
      </c>
      <c r="S277" s="593">
        <f>R277/R284</f>
        <v>0.53846153846153844</v>
      </c>
      <c r="T277" s="563">
        <v>2372</v>
      </c>
      <c r="U277" s="593">
        <f>T277/T284</f>
        <v>0.53774654273407385</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0</v>
      </c>
      <c r="S278" s="593">
        <f>R278/R284</f>
        <v>0</v>
      </c>
      <c r="T278" s="563">
        <v>0</v>
      </c>
      <c r="U278" s="593">
        <f>T278/T284</f>
        <v>0</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5</v>
      </c>
      <c r="S279" s="593">
        <f>R279/R284</f>
        <v>0.12820512820512819</v>
      </c>
      <c r="T279" s="563">
        <v>613</v>
      </c>
      <c r="U279" s="593">
        <f>T279/T284</f>
        <v>0.13897075493085467</v>
      </c>
      <c r="V279" s="522"/>
      <c r="W279" s="524"/>
      <c r="X279" s="512"/>
    </row>
    <row r="280" spans="1:24" s="513" customFormat="1" x14ac:dyDescent="0.3">
      <c r="A280" s="521"/>
      <c r="B280" s="522" t="s">
        <v>413</v>
      </c>
      <c r="C280" s="522"/>
      <c r="D280" s="522"/>
      <c r="E280" s="522"/>
      <c r="F280" s="522"/>
      <c r="G280" s="522"/>
      <c r="H280" s="594"/>
      <c r="I280" s="594"/>
      <c r="J280" s="594"/>
      <c r="K280" s="594"/>
      <c r="L280" s="594"/>
      <c r="M280" s="594"/>
      <c r="N280" s="594"/>
      <c r="O280" s="594"/>
      <c r="P280" s="594"/>
      <c r="Q280" s="594"/>
      <c r="R280" s="562">
        <v>4</v>
      </c>
      <c r="S280" s="593">
        <f>R280/R284</f>
        <v>0.10256410256410256</v>
      </c>
      <c r="T280" s="563">
        <v>554</v>
      </c>
      <c r="U280" s="593">
        <f>T280/T284</f>
        <v>0.12559510315121289</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8</v>
      </c>
      <c r="S281" s="593">
        <f>R281/R284</f>
        <v>0.20512820512820512</v>
      </c>
      <c r="T281" s="563">
        <v>759</v>
      </c>
      <c r="U281" s="593">
        <f>T281/T284</f>
        <v>0.17206982543640897</v>
      </c>
      <c r="V281" s="522"/>
      <c r="W281" s="524"/>
      <c r="X281" s="512"/>
    </row>
    <row r="282" spans="1:24" s="513" customFormat="1" x14ac:dyDescent="0.3">
      <c r="A282" s="521"/>
      <c r="B282" s="424" t="s">
        <v>440</v>
      </c>
      <c r="C282" s="522"/>
      <c r="D282" s="522"/>
      <c r="E282" s="522"/>
      <c r="F282" s="522"/>
      <c r="G282" s="522"/>
      <c r="H282" s="594"/>
      <c r="I282" s="594"/>
      <c r="J282" s="594"/>
      <c r="K282" s="594"/>
      <c r="L282" s="594"/>
      <c r="M282" s="594"/>
      <c r="N282" s="594"/>
      <c r="O282" s="594"/>
      <c r="P282" s="594"/>
      <c r="Q282" s="594"/>
      <c r="R282" s="562">
        <v>1</v>
      </c>
      <c r="S282" s="593">
        <f>R282/R284</f>
        <v>2.564102564102564E-2</v>
      </c>
      <c r="T282" s="563">
        <v>113</v>
      </c>
      <c r="U282" s="593">
        <f>T282/T284</f>
        <v>2.5617773747449557E-2</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39</v>
      </c>
      <c r="S284" s="593">
        <f>SUM(S277:S282)</f>
        <v>0.99999999999999989</v>
      </c>
      <c r="T284" s="563">
        <f>SUM(T277:T282)</f>
        <v>4411</v>
      </c>
      <c r="U284" s="593">
        <f>SUM(U277:U283)</f>
        <v>0.99999999999999989</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0</v>
      </c>
      <c r="S296" s="593">
        <f>SUM(S287:S295)</f>
        <v>0</v>
      </c>
      <c r="T296" s="563">
        <f>SUM(T287:T294)</f>
        <v>0</v>
      </c>
      <c r="U296" s="593">
        <f>SUM(U287:U295)</f>
        <v>0</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3265</v>
      </c>
      <c r="S298" s="593"/>
      <c r="T298" s="599">
        <f>+T296+T274+T262</f>
        <v>420031</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509"/>
      <c r="B300" s="510"/>
      <c r="C300" s="510"/>
      <c r="D300" s="510"/>
      <c r="E300" s="510"/>
      <c r="F300" s="510"/>
      <c r="G300" s="510"/>
      <c r="H300" s="600"/>
      <c r="I300" s="600"/>
      <c r="J300" s="600"/>
      <c r="K300" s="600"/>
      <c r="L300" s="600"/>
      <c r="M300" s="600"/>
      <c r="N300" s="600"/>
      <c r="O300" s="600"/>
      <c r="P300" s="600"/>
      <c r="Q300" s="600"/>
      <c r="R300" s="600"/>
      <c r="S300" s="600"/>
      <c r="T300" s="601"/>
      <c r="U300" s="600"/>
      <c r="V300" s="510"/>
      <c r="W300" s="510"/>
      <c r="X300" s="512"/>
    </row>
    <row r="301" spans="1:24" s="513" customFormat="1" x14ac:dyDescent="0.3">
      <c r="A301" s="509"/>
      <c r="B301" s="508" t="s">
        <v>93</v>
      </c>
      <c r="C301" s="510"/>
      <c r="D301" s="510"/>
      <c r="E301" s="510"/>
      <c r="F301" s="516" t="s">
        <v>99</v>
      </c>
      <c r="G301" s="510"/>
      <c r="H301" s="508" t="s">
        <v>101</v>
      </c>
      <c r="I301" s="510"/>
      <c r="J301" s="510"/>
      <c r="K301" s="510"/>
      <c r="L301" s="510"/>
      <c r="M301" s="510"/>
      <c r="N301" s="510"/>
      <c r="O301" s="510"/>
      <c r="P301" s="510"/>
      <c r="Q301" s="510"/>
      <c r="R301" s="510"/>
      <c r="S301" s="510"/>
      <c r="T301" s="510"/>
      <c r="U301" s="510"/>
      <c r="V301" s="510"/>
      <c r="W301" s="510"/>
      <c r="X301" s="512"/>
    </row>
    <row r="302" spans="1:24" s="513" customFormat="1" x14ac:dyDescent="0.3">
      <c r="A302" s="509"/>
      <c r="B302" s="508" t="s">
        <v>327</v>
      </c>
      <c r="C302" s="508"/>
      <c r="D302" s="508"/>
      <c r="E302" s="508"/>
      <c r="F302" s="602" t="s">
        <v>278</v>
      </c>
      <c r="G302" s="508"/>
      <c r="H302" s="402" t="s">
        <v>350</v>
      </c>
      <c r="I302" s="510"/>
      <c r="J302" s="510"/>
      <c r="K302" s="510"/>
      <c r="L302" s="510"/>
      <c r="M302" s="510"/>
      <c r="N302" s="510"/>
      <c r="O302" s="510"/>
      <c r="P302" s="510"/>
      <c r="Q302" s="510"/>
      <c r="R302" s="510"/>
      <c r="S302" s="510"/>
      <c r="T302" s="510"/>
      <c r="U302" s="510"/>
      <c r="V302" s="510"/>
      <c r="W302" s="510"/>
      <c r="X302" s="512"/>
    </row>
    <row r="303" spans="1:24" s="513" customFormat="1" x14ac:dyDescent="0.3">
      <c r="A303" s="509"/>
      <c r="B303" s="508" t="s">
        <v>328</v>
      </c>
      <c r="C303" s="508"/>
      <c r="D303" s="508"/>
      <c r="E303" s="508"/>
      <c r="F303" s="602" t="s">
        <v>152</v>
      </c>
      <c r="G303" s="508"/>
      <c r="H303" s="402" t="s">
        <v>351</v>
      </c>
      <c r="I303" s="510"/>
      <c r="J303" s="510"/>
      <c r="K303" s="510"/>
      <c r="L303" s="510"/>
      <c r="M303" s="510"/>
      <c r="N303" s="510"/>
      <c r="O303" s="510"/>
      <c r="P303" s="510"/>
      <c r="Q303" s="510"/>
      <c r="R303" s="510"/>
      <c r="S303" s="510"/>
      <c r="T303" s="510"/>
      <c r="U303" s="510"/>
      <c r="V303" s="510"/>
      <c r="W303" s="510"/>
      <c r="X303" s="512"/>
    </row>
    <row r="304" spans="1:24" s="513" customFormat="1" x14ac:dyDescent="0.3">
      <c r="A304" s="509"/>
      <c r="B304" s="508"/>
      <c r="C304" s="508"/>
      <c r="D304" s="508"/>
      <c r="E304" s="508"/>
      <c r="F304" s="602"/>
      <c r="G304" s="508"/>
      <c r="H304" s="402"/>
      <c r="I304" s="510"/>
      <c r="J304" s="510"/>
      <c r="K304" s="510"/>
      <c r="L304" s="510"/>
      <c r="M304" s="510"/>
      <c r="N304" s="510"/>
      <c r="O304" s="510"/>
      <c r="P304" s="510"/>
      <c r="Q304" s="510"/>
      <c r="R304" s="510"/>
      <c r="S304" s="510"/>
      <c r="T304" s="510"/>
      <c r="U304" s="510"/>
      <c r="V304" s="510"/>
      <c r="W304" s="510"/>
      <c r="X304" s="512"/>
    </row>
    <row r="305" spans="1:24" s="513" customFormat="1" ht="18" x14ac:dyDescent="0.35">
      <c r="A305" s="509"/>
      <c r="B305" s="647" t="s">
        <v>174</v>
      </c>
      <c r="C305" s="508"/>
      <c r="D305" s="508"/>
      <c r="E305" s="508"/>
      <c r="F305" s="602"/>
      <c r="G305" s="508"/>
      <c r="H305" s="402"/>
      <c r="I305" s="510"/>
      <c r="J305" s="510"/>
      <c r="K305" s="510"/>
      <c r="L305" s="552"/>
      <c r="M305" s="552"/>
      <c r="N305" s="552"/>
      <c r="O305" s="552"/>
      <c r="P305" s="648" t="s">
        <v>349</v>
      </c>
      <c r="Q305" s="552"/>
      <c r="R305" s="552"/>
      <c r="S305" s="552"/>
      <c r="T305" s="510"/>
      <c r="U305" s="510"/>
      <c r="V305" s="510"/>
      <c r="W305" s="510"/>
      <c r="X305" s="512"/>
    </row>
    <row r="306" spans="1:24" s="513" customFormat="1" x14ac:dyDescent="0.3">
      <c r="A306" s="509"/>
      <c r="B306" s="508"/>
      <c r="C306" s="508"/>
      <c r="D306" s="508"/>
      <c r="E306" s="508"/>
      <c r="F306" s="508"/>
      <c r="G306" s="508"/>
      <c r="H306" s="510"/>
      <c r="I306" s="510"/>
      <c r="J306" s="510"/>
      <c r="K306" s="510"/>
      <c r="L306" s="510"/>
      <c r="M306" s="510"/>
      <c r="N306" s="510"/>
      <c r="O306" s="510"/>
      <c r="P306" s="510"/>
      <c r="Q306" s="510"/>
      <c r="R306" s="510"/>
      <c r="S306" s="510"/>
      <c r="T306" s="510"/>
      <c r="U306" s="510"/>
      <c r="V306" s="510"/>
      <c r="W306" s="510"/>
      <c r="X306" s="512"/>
    </row>
    <row r="307" spans="1:24" s="513" customFormat="1" ht="18.600000000000001" thickBot="1" x14ac:dyDescent="0.4">
      <c r="A307" s="509"/>
      <c r="B307" s="603" t="str">
        <f>B202</f>
        <v>PM12 INVESTOR REPORT QUARTER ENDING JANUARY 2023</v>
      </c>
      <c r="C307" s="508"/>
      <c r="D307" s="508"/>
      <c r="E307" s="508"/>
      <c r="F307" s="508"/>
      <c r="G307" s="508"/>
      <c r="H307" s="510"/>
      <c r="I307" s="510"/>
      <c r="J307" s="510"/>
      <c r="K307" s="510"/>
      <c r="L307" s="510"/>
      <c r="M307" s="510"/>
      <c r="N307" s="510"/>
      <c r="O307" s="510"/>
      <c r="P307" s="510"/>
      <c r="Q307" s="510"/>
      <c r="R307" s="510"/>
      <c r="S307" s="510"/>
      <c r="T307" s="510"/>
      <c r="U307" s="510"/>
      <c r="V307" s="510"/>
      <c r="W307" s="510"/>
      <c r="X307" s="512"/>
    </row>
    <row r="308" spans="1:24" x14ac:dyDescent="0.3">
      <c r="A308" s="492"/>
      <c r="B308" s="492"/>
      <c r="C308" s="492"/>
      <c r="D308" s="492"/>
      <c r="E308" s="492"/>
      <c r="F308" s="492"/>
      <c r="G308" s="492"/>
      <c r="H308" s="492"/>
      <c r="I308" s="492"/>
      <c r="J308" s="492"/>
      <c r="K308" s="492"/>
      <c r="L308" s="492"/>
      <c r="M308" s="492"/>
      <c r="N308" s="492"/>
      <c r="O308" s="492"/>
      <c r="P308" s="492"/>
      <c r="Q308" s="492"/>
      <c r="R308" s="492"/>
      <c r="S308" s="492"/>
      <c r="T308" s="492"/>
      <c r="U308" s="492"/>
      <c r="V308" s="492"/>
      <c r="W308" s="492"/>
    </row>
    <row r="309" spans="1:24" x14ac:dyDescent="0.3">
      <c r="B309" s="406" t="s">
        <v>384</v>
      </c>
    </row>
    <row r="310" spans="1:24" x14ac:dyDescent="0.3">
      <c r="B310" s="623" t="s">
        <v>378</v>
      </c>
    </row>
    <row r="312" spans="1:24" x14ac:dyDescent="0.3">
      <c r="B312" s="649" t="s">
        <v>432</v>
      </c>
    </row>
    <row r="313" spans="1:24" x14ac:dyDescent="0.3">
      <c r="B313" s="406" t="s">
        <v>433</v>
      </c>
    </row>
    <row r="314" spans="1:24" x14ac:dyDescent="0.3">
      <c r="B314" s="677" t="s">
        <v>430</v>
      </c>
    </row>
    <row r="315" spans="1:24" x14ac:dyDescent="0.3">
      <c r="B315" s="406" t="s">
        <v>428</v>
      </c>
    </row>
    <row r="316" spans="1:24" x14ac:dyDescent="0.3">
      <c r="B316" s="406" t="s">
        <v>436</v>
      </c>
    </row>
    <row r="317" spans="1:24" x14ac:dyDescent="0.3">
      <c r="B317" s="406" t="s">
        <v>431</v>
      </c>
    </row>
    <row r="318" spans="1:24" x14ac:dyDescent="0.3">
      <c r="B318" s="677" t="s">
        <v>429</v>
      </c>
    </row>
    <row r="319" spans="1:24" x14ac:dyDescent="0.3">
      <c r="B319" s="677"/>
    </row>
    <row r="320" spans="1:24" x14ac:dyDescent="0.3">
      <c r="B320" s="678" t="s">
        <v>453</v>
      </c>
    </row>
    <row r="322" spans="2:2" x14ac:dyDescent="0.3">
      <c r="B322" s="649" t="s">
        <v>421</v>
      </c>
    </row>
    <row r="323" spans="2:2" x14ac:dyDescent="0.3">
      <c r="B323" s="406" t="s">
        <v>423</v>
      </c>
    </row>
    <row r="324" spans="2:2" x14ac:dyDescent="0.3">
      <c r="B324" s="676" t="s">
        <v>422</v>
      </c>
    </row>
    <row r="326" spans="2:2" x14ac:dyDescent="0.3">
      <c r="B326" s="617"/>
    </row>
  </sheetData>
  <hyperlinks>
    <hyperlink ref="I9" r:id="rId1" xr:uid="{143A3AED-E760-4AAF-ABF1-C5ACD0BBC6DF}"/>
    <hyperlink ref="P238" r:id="rId2" xr:uid="{3B297AF4-1475-4754-84C1-76F89377F428}"/>
    <hyperlink ref="B310" r:id="rId3" xr:uid="{E86C5492-2CB7-486A-A848-7E4F8B4CD17F}"/>
    <hyperlink ref="P305" r:id="rId4" xr:uid="{483C6EBF-03ED-41BA-BD6A-62D406E75FE2}"/>
    <hyperlink ref="B324" r:id="rId5" display="https://investorreporting.paragonbankinggroup.co.uk/bondinvestor_viewer/resources/bondinvestor/pdf/investornews/2021/libor-mortgages-transition-july-19" xr:uid="{0597343C-B3C1-4743-9B05-65450555EE75}"/>
    <hyperlink ref="B318" r:id="rId6" display="https://protect-eu.mimecast.com/s/wcu_C4934SBRnRxHOTIMr?domain=londonstockexchange.com" xr:uid="{BB28B7C6-D226-4316-86D2-524E374A2C8F}"/>
    <hyperlink ref="B314" r:id="rId7" display="https://protect-eu.mimecast.com/s/GQAHC60N2crGn7VHp3gPx?domain=londonstockexchange.com" xr:uid="{D67A0AA4-6EE6-4D70-8676-598AA58C33CD}"/>
  </hyperlinks>
  <printOptions horizontalCentered="1" verticalCentered="1"/>
  <pageMargins left="0.19685039370078741" right="0.19685039370078741" top="0.27559055118110237" bottom="0.27559055118110237" header="0" footer="0"/>
  <pageSetup scale="37" orientation="landscape" r:id="rId8"/>
  <headerFooter alignWithMargins="0"/>
  <rowBreaks count="3" manualBreakCount="3">
    <brk id="64" max="23" man="1"/>
    <brk id="141" max="14" man="1"/>
    <brk id="202" max="14" man="1"/>
  </rowBreaks>
  <drawing r:id="rId9"/>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2F327-783D-41E0-82E0-11B3819BA5A5}">
  <sheetPr>
    <tabColor rgb="FF89CB31"/>
  </sheetPr>
  <dimension ref="A1:AA326"/>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0.69878290731955373</v>
      </c>
      <c r="T16" s="516" t="s">
        <v>145</v>
      </c>
      <c r="U16" s="515">
        <v>0.30121709268044633</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45065</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192808.6846257</v>
      </c>
      <c r="E32" s="529"/>
      <c r="F32" s="530">
        <f>F31*F38</f>
        <v>34294.703999999998</v>
      </c>
      <c r="G32" s="530"/>
      <c r="H32" s="534">
        <f>H31*H38</f>
        <v>57946.224000000002</v>
      </c>
      <c r="I32" s="534"/>
      <c r="J32" s="533">
        <f>J31*J38</f>
        <v>73555.263099999996</v>
      </c>
      <c r="K32" s="530"/>
      <c r="L32" s="530">
        <f>L31*L38</f>
        <v>13983.74</v>
      </c>
      <c r="M32" s="530"/>
      <c r="N32" s="534">
        <f>N31*N38</f>
        <v>70478.049599999998</v>
      </c>
      <c r="O32" s="530"/>
      <c r="P32" s="530">
        <f>P31*P38</f>
        <v>9508.9431999999997</v>
      </c>
      <c r="Q32" s="530"/>
      <c r="R32" s="534">
        <f>R31*R38</f>
        <v>59291.0576</v>
      </c>
      <c r="S32" s="530"/>
      <c r="T32" s="530"/>
      <c r="U32" s="529"/>
      <c r="V32" s="530"/>
      <c r="W32" s="531"/>
      <c r="X32" s="512"/>
    </row>
    <row r="33" spans="1:25" s="513" customFormat="1" x14ac:dyDescent="0.3">
      <c r="A33" s="521"/>
      <c r="B33" s="527" t="s">
        <v>139</v>
      </c>
      <c r="C33" s="529"/>
      <c r="D33" s="619">
        <f>D34*D37</f>
        <v>183777.1400478</v>
      </c>
      <c r="E33" s="532"/>
      <c r="F33" s="535">
        <f>F37*F31</f>
        <v>32688.306999999997</v>
      </c>
      <c r="G33" s="535"/>
      <c r="H33" s="537">
        <f>H31*H37</f>
        <v>55231.966999999997</v>
      </c>
      <c r="I33" s="537"/>
      <c r="J33" s="536">
        <f>J37*J31</f>
        <v>70109.787400000001</v>
      </c>
      <c r="K33" s="535"/>
      <c r="L33" s="535">
        <f>L37*L31</f>
        <v>13328.715</v>
      </c>
      <c r="M33" s="535"/>
      <c r="N33" s="537">
        <f>N37*N31</f>
        <v>67176.723599999998</v>
      </c>
      <c r="O33" s="535"/>
      <c r="P33" s="535">
        <f>P37*P31</f>
        <v>9063.5262000000002</v>
      </c>
      <c r="Q33" s="535"/>
      <c r="R33" s="537">
        <f>R37*R31</f>
        <v>56513.751599999996</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192808.6846257</v>
      </c>
      <c r="E35" s="529"/>
      <c r="F35" s="530">
        <f>F34*F38</f>
        <v>34294.703999999998</v>
      </c>
      <c r="G35" s="530"/>
      <c r="H35" s="530">
        <f>H34*H38</f>
        <v>39963.027283200005</v>
      </c>
      <c r="I35" s="530"/>
      <c r="J35" s="530">
        <f>J34*J38</f>
        <v>39975.748166199999</v>
      </c>
      <c r="K35" s="530"/>
      <c r="L35" s="530">
        <f>L34*L38</f>
        <v>13983.74</v>
      </c>
      <c r="M35" s="530"/>
      <c r="N35" s="530">
        <f>N34*N38</f>
        <v>48605.802191199997</v>
      </c>
      <c r="O35" s="530"/>
      <c r="P35" s="530">
        <f>P34*P38</f>
        <v>9508.9431999999997</v>
      </c>
      <c r="Q35" s="530"/>
      <c r="R35" s="530">
        <f>R34*R38</f>
        <v>40890.133808799997</v>
      </c>
      <c r="S35" s="530"/>
      <c r="T35" s="530"/>
      <c r="U35" s="529"/>
      <c r="V35" s="530">
        <f>SUM(C35:R35)</f>
        <v>420030.78327509994</v>
      </c>
      <c r="W35" s="531"/>
      <c r="X35" s="512"/>
    </row>
    <row r="36" spans="1:25" s="513" customFormat="1" x14ac:dyDescent="0.3">
      <c r="A36" s="525"/>
      <c r="B36" s="527" t="s">
        <v>295</v>
      </c>
      <c r="C36" s="532"/>
      <c r="D36" s="535">
        <f>D34*D37</f>
        <v>183777.1400478</v>
      </c>
      <c r="E36" s="532"/>
      <c r="F36" s="535">
        <f>F34*F37</f>
        <v>32688.306999999997</v>
      </c>
      <c r="G36" s="535"/>
      <c r="H36" s="535">
        <f>H34*H37</f>
        <v>38091.120555599999</v>
      </c>
      <c r="I36" s="535"/>
      <c r="J36" s="535">
        <f>J34*J37</f>
        <v>38103.204134799998</v>
      </c>
      <c r="K36" s="535"/>
      <c r="L36" s="535">
        <f>L34*L37</f>
        <v>13328.715</v>
      </c>
      <c r="M36" s="535"/>
      <c r="N36" s="535">
        <f>N34*N37</f>
        <v>46329.013894199998</v>
      </c>
      <c r="O36" s="535"/>
      <c r="P36" s="535">
        <f>P34*P37</f>
        <v>9063.5262000000002</v>
      </c>
      <c r="Q36" s="535"/>
      <c r="R36" s="535">
        <f>R34*R37</f>
        <v>38974.7621058</v>
      </c>
      <c r="S36" s="538"/>
      <c r="T36" s="538"/>
      <c r="U36" s="529"/>
      <c r="V36" s="535">
        <f>SUM(C36:R36)</f>
        <v>400355.78893819998</v>
      </c>
      <c r="W36" s="531"/>
      <c r="X36" s="512"/>
      <c r="Y36" s="621"/>
    </row>
    <row r="37" spans="1:25" x14ac:dyDescent="0.3">
      <c r="A37" s="420"/>
      <c r="B37" s="493" t="s">
        <v>135</v>
      </c>
      <c r="C37" s="494"/>
      <c r="D37" s="495">
        <v>0.22543340000000001</v>
      </c>
      <c r="E37" s="496"/>
      <c r="F37" s="495">
        <v>0.22543659999999999</v>
      </c>
      <c r="G37" s="495"/>
      <c r="H37" s="495">
        <v>0.22543659999999999</v>
      </c>
      <c r="I37" s="495"/>
      <c r="J37" s="495">
        <v>0.22543340000000001</v>
      </c>
      <c r="K37" s="495"/>
      <c r="L37" s="495">
        <v>0.53314859999999997</v>
      </c>
      <c r="M37" s="495"/>
      <c r="N37" s="495">
        <v>0.53314859999999997</v>
      </c>
      <c r="O37" s="495"/>
      <c r="P37" s="495">
        <v>0.53314859999999997</v>
      </c>
      <c r="Q37" s="495"/>
      <c r="R37" s="495">
        <v>0.53314859999999997</v>
      </c>
      <c r="S37" s="425"/>
      <c r="T37" s="425"/>
      <c r="U37" s="424"/>
      <c r="V37" s="424"/>
      <c r="W37" s="426"/>
      <c r="X37" s="405"/>
    </row>
    <row r="38" spans="1:25" x14ac:dyDescent="0.3">
      <c r="A38" s="420"/>
      <c r="B38" s="493" t="s">
        <v>136</v>
      </c>
      <c r="C38" s="494"/>
      <c r="D38" s="495">
        <v>0.2365121</v>
      </c>
      <c r="E38" s="496"/>
      <c r="F38" s="495">
        <v>0.23651520000000001</v>
      </c>
      <c r="G38" s="495"/>
      <c r="H38" s="495">
        <v>0.23651520000000001</v>
      </c>
      <c r="I38" s="495"/>
      <c r="J38" s="495">
        <v>0.2365121</v>
      </c>
      <c r="K38" s="495"/>
      <c r="L38" s="495">
        <v>0.5593496</v>
      </c>
      <c r="M38" s="495"/>
      <c r="N38" s="495">
        <v>0.5593496</v>
      </c>
      <c r="O38" s="495"/>
      <c r="P38" s="495">
        <v>0.5593496</v>
      </c>
      <c r="Q38" s="495"/>
      <c r="R38" s="495">
        <v>0.5593496</v>
      </c>
      <c r="S38" s="427"/>
      <c r="T38" s="428"/>
      <c r="U38" s="424"/>
      <c r="V38" s="427"/>
      <c r="W38" s="426"/>
      <c r="X38" s="405"/>
    </row>
    <row r="39" spans="1:25" s="513" customFormat="1" x14ac:dyDescent="0.3">
      <c r="A39" s="521"/>
      <c r="B39" s="522" t="s">
        <v>451</v>
      </c>
      <c r="C39" s="522"/>
      <c r="D39" s="528" t="s">
        <v>442</v>
      </c>
      <c r="E39" s="522"/>
      <c r="F39" s="528" t="s">
        <v>442</v>
      </c>
      <c r="G39" s="528"/>
      <c r="H39" s="528" t="s">
        <v>237</v>
      </c>
      <c r="I39" s="528"/>
      <c r="J39" s="528" t="s">
        <v>239</v>
      </c>
      <c r="K39" s="528"/>
      <c r="L39" s="528" t="s">
        <v>443</v>
      </c>
      <c r="M39" s="528"/>
      <c r="N39" s="528" t="s">
        <v>240</v>
      </c>
      <c r="O39" s="528"/>
      <c r="P39" s="528" t="s">
        <v>444</v>
      </c>
      <c r="Q39" s="528"/>
      <c r="R39" s="528" t="s">
        <v>241</v>
      </c>
      <c r="S39" s="539"/>
      <c r="T39" s="540"/>
      <c r="U39" s="522"/>
      <c r="V39" s="522"/>
      <c r="W39" s="524"/>
      <c r="X39" s="512"/>
    </row>
    <row r="40" spans="1:25" s="513" customFormat="1" x14ac:dyDescent="0.3">
      <c r="A40" s="521"/>
      <c r="B40" s="522" t="s">
        <v>12</v>
      </c>
      <c r="C40" s="522"/>
      <c r="D40" s="540">
        <v>4.4353700000000003E-2</v>
      </c>
      <c r="E40" s="522"/>
      <c r="F40" s="540">
        <v>4.4353700000000003E-2</v>
      </c>
      <c r="G40" s="539"/>
      <c r="H40" s="540">
        <v>2.894E-2</v>
      </c>
      <c r="I40" s="540"/>
      <c r="J40" s="540">
        <v>5.0835699999999998E-2</v>
      </c>
      <c r="K40" s="539"/>
      <c r="L40" s="540">
        <v>4.6753700000000002E-2</v>
      </c>
      <c r="M40" s="539"/>
      <c r="N40" s="540">
        <v>3.134E-2</v>
      </c>
      <c r="O40" s="539"/>
      <c r="P40" s="540">
        <v>5.1153700000000003E-2</v>
      </c>
      <c r="Q40" s="539"/>
      <c r="R40" s="540">
        <v>3.5740000000000001E-2</v>
      </c>
      <c r="S40" s="539"/>
      <c r="T40" s="540"/>
      <c r="U40" s="522"/>
      <c r="V40" s="528"/>
      <c r="W40" s="524"/>
      <c r="X40" s="512"/>
    </row>
    <row r="41" spans="1:25" s="513" customFormat="1" x14ac:dyDescent="0.3">
      <c r="A41" s="521"/>
      <c r="B41" s="522" t="s">
        <v>13</v>
      </c>
      <c r="C41" s="522"/>
      <c r="D41" s="540">
        <v>3.6314699999999998E-2</v>
      </c>
      <c r="E41" s="522"/>
      <c r="F41" s="540">
        <v>3.6314699999999998E-2</v>
      </c>
      <c r="G41" s="539"/>
      <c r="H41" s="540">
        <v>2.002E-2</v>
      </c>
      <c r="I41" s="540"/>
      <c r="J41" s="540">
        <v>4.8261400000000003E-2</v>
      </c>
      <c r="K41" s="539"/>
      <c r="L41" s="540">
        <v>3.8714699999999998E-2</v>
      </c>
      <c r="M41" s="539"/>
      <c r="N41" s="540">
        <v>2.2419999999999999E-2</v>
      </c>
      <c r="O41" s="539"/>
      <c r="P41" s="540">
        <v>4.3114699999999999E-2</v>
      </c>
      <c r="Q41" s="539"/>
      <c r="R41" s="540">
        <v>2.682E-2</v>
      </c>
      <c r="S41" s="539"/>
      <c r="T41" s="540"/>
      <c r="U41" s="522"/>
      <c r="V41" s="539" t="s">
        <v>199</v>
      </c>
      <c r="W41" s="524"/>
      <c r="X41" s="512"/>
    </row>
    <row r="42" spans="1:25" s="513" customFormat="1" x14ac:dyDescent="0.3">
      <c r="A42" s="521"/>
      <c r="B42" s="522" t="s">
        <v>449</v>
      </c>
      <c r="C42" s="522"/>
      <c r="D42" s="528" t="s">
        <v>442</v>
      </c>
      <c r="E42" s="522"/>
      <c r="F42" s="528" t="s">
        <v>442</v>
      </c>
      <c r="G42" s="528"/>
      <c r="H42" s="528" t="s">
        <v>445</v>
      </c>
      <c r="I42" s="528"/>
      <c r="J42" s="528" t="s">
        <v>446</v>
      </c>
      <c r="K42" s="528"/>
      <c r="L42" s="528" t="s">
        <v>443</v>
      </c>
      <c r="M42" s="528"/>
      <c r="N42" s="528" t="s">
        <v>448</v>
      </c>
      <c r="O42" s="528"/>
      <c r="P42" s="528" t="s">
        <v>444</v>
      </c>
      <c r="Q42" s="528"/>
      <c r="R42" s="528" t="s">
        <v>447</v>
      </c>
      <c r="S42" s="539"/>
      <c r="T42" s="540"/>
      <c r="U42" s="522"/>
      <c r="V42" s="522"/>
      <c r="W42" s="524"/>
      <c r="X42" s="512"/>
    </row>
    <row r="43" spans="1:25" s="513" customFormat="1" x14ac:dyDescent="0.3">
      <c r="A43" s="521"/>
      <c r="B43" s="522" t="s">
        <v>297</v>
      </c>
      <c r="C43" s="541"/>
      <c r="D43" s="540">
        <f>+D40</f>
        <v>4.4353700000000003E-2</v>
      </c>
      <c r="E43" s="540"/>
      <c r="F43" s="540">
        <f>+F40</f>
        <v>4.4353700000000003E-2</v>
      </c>
      <c r="G43" s="540"/>
      <c r="H43" s="540">
        <v>4.4275700000000001E-2</v>
      </c>
      <c r="I43" s="540"/>
      <c r="J43" s="540">
        <v>4.45177E-2</v>
      </c>
      <c r="K43" s="540"/>
      <c r="L43" s="540">
        <f>+L40</f>
        <v>4.6753700000000002E-2</v>
      </c>
      <c r="M43" s="540"/>
      <c r="N43" s="540">
        <v>4.6955700000000003E-2</v>
      </c>
      <c r="O43" s="540"/>
      <c r="P43" s="540">
        <f>+P40</f>
        <v>5.1153700000000003E-2</v>
      </c>
      <c r="Q43" s="539"/>
      <c r="R43" s="540">
        <v>5.1625699999999997E-2</v>
      </c>
      <c r="S43" s="528"/>
      <c r="T43" s="528"/>
      <c r="U43" s="522"/>
      <c r="V43" s="539">
        <f>SUMPRODUCT(D43:R43,D35:R35)/V35</f>
        <v>4.5604765559035691E-2</v>
      </c>
      <c r="W43" s="524"/>
      <c r="X43" s="512"/>
    </row>
    <row r="44" spans="1:25" s="513" customFormat="1" x14ac:dyDescent="0.3">
      <c r="A44" s="521"/>
      <c r="B44" s="522" t="s">
        <v>298</v>
      </c>
      <c r="C44" s="541"/>
      <c r="D44" s="540">
        <f>+D41</f>
        <v>3.6314699999999998E-2</v>
      </c>
      <c r="E44" s="540"/>
      <c r="F44" s="540">
        <f>+F41</f>
        <v>3.6314699999999998E-2</v>
      </c>
      <c r="G44" s="540"/>
      <c r="H44" s="540">
        <v>3.6236699999999997E-2</v>
      </c>
      <c r="I44" s="540"/>
      <c r="J44" s="540">
        <v>3.6478700000000003E-2</v>
      </c>
      <c r="K44" s="540"/>
      <c r="L44" s="540">
        <f>+L41</f>
        <v>3.8714699999999998E-2</v>
      </c>
      <c r="M44" s="540"/>
      <c r="N44" s="540">
        <v>3.8916699999999999E-2</v>
      </c>
      <c r="O44" s="540"/>
      <c r="P44" s="540">
        <f>+P41</f>
        <v>4.3114699999999999E-2</v>
      </c>
      <c r="Q44" s="539"/>
      <c r="R44" s="540">
        <v>4.3586699999999999E-2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450</v>
      </c>
      <c r="C47" s="522"/>
      <c r="D47" s="528" t="s">
        <v>442</v>
      </c>
      <c r="E47" s="522"/>
      <c r="F47" s="528" t="s">
        <v>442</v>
      </c>
      <c r="G47" s="528"/>
      <c r="H47" s="528" t="s">
        <v>237</v>
      </c>
      <c r="I47" s="528"/>
      <c r="J47" s="528" t="s">
        <v>239</v>
      </c>
      <c r="K47" s="528"/>
      <c r="L47" s="528" t="s">
        <v>443</v>
      </c>
      <c r="M47" s="528"/>
      <c r="N47" s="528" t="s">
        <v>240</v>
      </c>
      <c r="O47" s="528"/>
      <c r="P47" s="528" t="s">
        <v>444</v>
      </c>
      <c r="Q47" s="528"/>
      <c r="R47" s="528" t="s">
        <v>241</v>
      </c>
      <c r="S47" s="542"/>
      <c r="T47" s="542"/>
      <c r="U47" s="542"/>
      <c r="V47" s="542"/>
      <c r="W47" s="524"/>
      <c r="X47" s="512"/>
    </row>
    <row r="48" spans="1:25" s="513" customFormat="1" x14ac:dyDescent="0.3">
      <c r="A48" s="521"/>
      <c r="B48" s="522" t="s">
        <v>452</v>
      </c>
      <c r="C48" s="522"/>
      <c r="D48" s="528" t="s">
        <v>442</v>
      </c>
      <c r="E48" s="522"/>
      <c r="F48" s="528" t="s">
        <v>442</v>
      </c>
      <c r="G48" s="528"/>
      <c r="H48" s="528" t="s">
        <v>445</v>
      </c>
      <c r="I48" s="528"/>
      <c r="J48" s="528" t="s">
        <v>446</v>
      </c>
      <c r="K48" s="528"/>
      <c r="L48" s="528" t="s">
        <v>443</v>
      </c>
      <c r="M48" s="528"/>
      <c r="N48" s="528" t="s">
        <v>448</v>
      </c>
      <c r="O48" s="528"/>
      <c r="P48" s="528" t="s">
        <v>444</v>
      </c>
      <c r="Q48" s="528"/>
      <c r="R48" s="528" t="s">
        <v>447</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40"/>
      <c r="E50" s="540"/>
      <c r="F50" s="540"/>
      <c r="G50" s="540"/>
      <c r="H50" s="540"/>
      <c r="I50" s="540"/>
      <c r="J50" s="540"/>
      <c r="K50" s="540"/>
      <c r="L50" s="540"/>
      <c r="M50" s="540"/>
      <c r="N50" s="540"/>
      <c r="O50" s="540"/>
      <c r="P50" s="540"/>
      <c r="Q50" s="540"/>
      <c r="R50" s="540"/>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0.36799050501665775</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45061</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44880</v>
      </c>
      <c r="U57" s="550"/>
      <c r="V57" s="549">
        <v>44971</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89</v>
      </c>
      <c r="S58" s="522"/>
      <c r="T58" s="549">
        <v>44972</v>
      </c>
      <c r="U58" s="550"/>
      <c r="V58" s="549">
        <v>45060</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45048</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457</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420031</v>
      </c>
      <c r="O68" s="562"/>
      <c r="P68" s="562">
        <v>19675</v>
      </c>
      <c r="Q68" s="562"/>
      <c r="R68" s="562">
        <v>0</v>
      </c>
      <c r="S68" s="562"/>
      <c r="T68" s="562">
        <v>0</v>
      </c>
      <c r="U68" s="562"/>
      <c r="V68" s="563">
        <f>+N68-P68+R68-T68</f>
        <v>400356</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420031</v>
      </c>
      <c r="O71" s="562"/>
      <c r="P71" s="562">
        <f>SUM(P68:P70)</f>
        <v>19675</v>
      </c>
      <c r="Q71" s="562"/>
      <c r="R71" s="562">
        <f>SUM(R68:R70)</f>
        <v>0</v>
      </c>
      <c r="S71" s="562"/>
      <c r="T71" s="562">
        <f>SUM(T68:T70)</f>
        <v>0</v>
      </c>
      <c r="U71" s="562"/>
      <c r="V71" s="562">
        <f>SUM(V68:V70)</f>
        <v>400356</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420031</v>
      </c>
      <c r="O84" s="562"/>
      <c r="P84" s="562"/>
      <c r="Q84" s="562"/>
      <c r="R84" s="562"/>
      <c r="S84" s="562"/>
      <c r="T84" s="562"/>
      <c r="U84" s="562"/>
      <c r="V84" s="562">
        <f>SUM(V71:V83)</f>
        <v>400356</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45044</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19675-82</f>
        <v>19593</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5011+2897-1051-1075</f>
        <v>5782</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87+49</f>
        <v>136</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331</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81</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19593</v>
      </c>
      <c r="U96" s="522"/>
      <c r="V96" s="562">
        <f>SUM(V88:V95)</f>
        <v>6330</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19593</v>
      </c>
      <c r="U100" s="522"/>
      <c r="V100" s="562">
        <f>V96+V98+V97+V99</f>
        <v>6330</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-158-58-6</f>
        <v>-222</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f>-2085-431-434</f>
        <v>-2950</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-372</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-557</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-159</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-514</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-119</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-13</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82</v>
      </c>
      <c r="U114" s="522"/>
      <c r="V114" s="563">
        <v>-82</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-157</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-410</v>
      </c>
      <c r="W119" s="615"/>
      <c r="X119" s="679"/>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-81</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-15</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-674</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-9032</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-1606</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-1872</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-1872</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-655</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-2277</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-445</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-1916</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-19675</v>
      </c>
      <c r="U137" s="562"/>
      <c r="V137" s="562">
        <f>SUM(V102:V134)</f>
        <v>-6330</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APRIL 2023</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82</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82</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-82</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400356</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400356</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+'Jan 23'!S188</f>
        <v>57078</v>
      </c>
      <c r="T186" s="563">
        <f>+'Jan 23'!T188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1.8380493678506924</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2.06</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3.8882681564245809</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7.84</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3.2669826224328595</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7.06</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APRIL 2023</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45044</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5.9430533700975847E-2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4.5604765559035691E-2</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1.3825768141940156E-2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1.5070316238563345E-2</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6.2713918183552444</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4.684178072570834E-2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7.8600000000000003E-2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2</v>
      </c>
      <c r="T221" s="577">
        <v>169</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41</v>
      </c>
      <c r="T222" s="579">
        <f>+T274</f>
        <v>5250</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+R296</f>
        <v>0</v>
      </c>
      <c r="T223" s="579">
        <f>+T296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82</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'Jan 23'!T228+'April 23'!T227</f>
        <v>9020</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2</v>
      </c>
      <c r="T234" s="579">
        <v>253</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4.8099999999999996</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3053</v>
      </c>
      <c r="S241" s="588">
        <f t="shared" ref="S241:S248" si="2">R241/$R$250</f>
        <v>0.97696000000000005</v>
      </c>
      <c r="T241" s="589">
        <f t="shared" ref="T241:T248" si="3">+T253+T265+T287</f>
        <v>389140</v>
      </c>
      <c r="U241" s="588">
        <f t="shared" ref="U241:U248" si="4">T241/$T$250</f>
        <v>0.97198493340926573</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15</v>
      </c>
      <c r="S242" s="593">
        <f t="shared" si="2"/>
        <v>4.7999999999999996E-3</v>
      </c>
      <c r="T242" s="563">
        <f t="shared" si="3"/>
        <v>3216</v>
      </c>
      <c r="U242" s="593">
        <f t="shared" si="4"/>
        <v>8.0328507628210886E-3</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37</v>
      </c>
      <c r="S243" s="593">
        <f t="shared" si="2"/>
        <v>1.184E-2</v>
      </c>
      <c r="T243" s="563">
        <f t="shared" si="3"/>
        <v>3924</v>
      </c>
      <c r="U243" s="593">
        <f t="shared" si="4"/>
        <v>9.8012768635914044E-3</v>
      </c>
      <c r="V243" s="582"/>
      <c r="W243" s="583"/>
      <c r="X243" s="512"/>
      <c r="Y243" s="680"/>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4</v>
      </c>
      <c r="S244" s="593">
        <f t="shared" si="2"/>
        <v>1.2800000000000001E-3</v>
      </c>
      <c r="T244" s="563">
        <f t="shared" si="3"/>
        <v>616</v>
      </c>
      <c r="U244" s="593">
        <f t="shared" si="4"/>
        <v>1.5386306187493131E-3</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3</v>
      </c>
      <c r="S245" s="593">
        <f t="shared" si="2"/>
        <v>9.6000000000000002E-4</v>
      </c>
      <c r="T245" s="563">
        <f t="shared" si="3"/>
        <v>506</v>
      </c>
      <c r="U245" s="593">
        <f t="shared" si="4"/>
        <v>1.2638751511155073E-3</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7</v>
      </c>
      <c r="S246" s="593">
        <f t="shared" si="2"/>
        <v>2.2399999999999998E-3</v>
      </c>
      <c r="T246" s="563">
        <f t="shared" si="3"/>
        <v>2546</v>
      </c>
      <c r="U246" s="593">
        <f t="shared" si="4"/>
        <v>6.3593401872333623E-3</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3</v>
      </c>
      <c r="S247" s="593">
        <f t="shared" si="2"/>
        <v>9.6000000000000002E-4</v>
      </c>
      <c r="T247" s="563">
        <f t="shared" si="3"/>
        <v>278</v>
      </c>
      <c r="U247" s="593">
        <f t="shared" si="4"/>
        <v>6.9438200001998218E-4</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3</v>
      </c>
      <c r="S248" s="593">
        <f t="shared" si="2"/>
        <v>9.6000000000000002E-4</v>
      </c>
      <c r="T248" s="563">
        <f t="shared" si="3"/>
        <v>130</v>
      </c>
      <c r="U248" s="593">
        <f t="shared" si="4"/>
        <v>3.2471100720358879E-4</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3125</v>
      </c>
      <c r="S250" s="593">
        <f>SUM(S241:S249)</f>
        <v>0.99999999999999989</v>
      </c>
      <c r="T250" s="563">
        <f>SUM(T241:T249)</f>
        <v>400356</v>
      </c>
      <c r="U250" s="593">
        <f>SUM(U241:U249)</f>
        <v>1</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3024</v>
      </c>
      <c r="S253" s="595">
        <f t="shared" ref="S253:S260" si="5">R253/$R$262</f>
        <v>0.98054474708171202</v>
      </c>
      <c r="T253" s="596">
        <v>385632</v>
      </c>
      <c r="U253" s="595">
        <f t="shared" ref="U253:U260" si="6">T253/$T$262</f>
        <v>0.97602162457669583</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14</v>
      </c>
      <c r="S254" s="593">
        <f t="shared" si="5"/>
        <v>4.5395590142671858E-3</v>
      </c>
      <c r="T254" s="563">
        <v>3057</v>
      </c>
      <c r="U254" s="593">
        <f t="shared" si="6"/>
        <v>7.7371642040363854E-3</v>
      </c>
      <c r="V254" s="582"/>
      <c r="W254" s="583"/>
      <c r="X254" s="681"/>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36</v>
      </c>
      <c r="S255" s="593">
        <f t="shared" si="5"/>
        <v>1.1673151750972763E-2</v>
      </c>
      <c r="T255" s="563">
        <v>3827</v>
      </c>
      <c r="U255" s="593">
        <f t="shared" si="6"/>
        <v>9.6860083116935714E-3</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4</v>
      </c>
      <c r="S256" s="593">
        <f t="shared" si="5"/>
        <v>1.2970168612191958E-3</v>
      </c>
      <c r="T256" s="563">
        <v>616</v>
      </c>
      <c r="U256" s="593">
        <f t="shared" si="6"/>
        <v>1.5590752861257486E-3</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3</v>
      </c>
      <c r="S257" s="593">
        <f t="shared" si="5"/>
        <v>9.727626459143969E-4</v>
      </c>
      <c r="T257" s="563">
        <v>506</v>
      </c>
      <c r="U257" s="593">
        <f t="shared" si="6"/>
        <v>1.2806689850318649E-3</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1</v>
      </c>
      <c r="S258" s="593">
        <f t="shared" si="5"/>
        <v>3.2425421530479895E-4</v>
      </c>
      <c r="T258" s="563">
        <v>1402</v>
      </c>
      <c r="U258" s="593">
        <f t="shared" si="6"/>
        <v>3.5484148557602263E-3</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0</v>
      </c>
      <c r="S259" s="593">
        <f t="shared" si="5"/>
        <v>0</v>
      </c>
      <c r="T259" s="563">
        <v>0</v>
      </c>
      <c r="U259" s="593">
        <f t="shared" si="6"/>
        <v>0</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2</v>
      </c>
      <c r="S260" s="593">
        <f t="shared" si="5"/>
        <v>6.485084306095979E-4</v>
      </c>
      <c r="T260" s="563">
        <v>66</v>
      </c>
      <c r="U260" s="593">
        <f t="shared" si="6"/>
        <v>1.6704378065633021E-4</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3084</v>
      </c>
      <c r="S262" s="593">
        <f>SUM(S253:S261)</f>
        <v>0.99999999999999989</v>
      </c>
      <c r="T262" s="563">
        <f>SUM(T253:T261)</f>
        <v>395106</v>
      </c>
      <c r="U262" s="593">
        <f>SUM(U253:U261)</f>
        <v>0.99999999999999989</v>
      </c>
      <c r="V262" s="522"/>
      <c r="W262" s="524"/>
      <c r="X262" s="512"/>
      <c r="Y262" s="570"/>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29</v>
      </c>
      <c r="S265" s="595">
        <f t="shared" ref="S265:S272" si="7">R265/$R$274</f>
        <v>0.70731707317073167</v>
      </c>
      <c r="T265" s="596">
        <v>3508</v>
      </c>
      <c r="U265" s="595">
        <f t="shared" ref="U265:U272" si="8">T265/$T$274</f>
        <v>0.66819047619047622</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1</v>
      </c>
      <c r="S266" s="593">
        <f t="shared" si="7"/>
        <v>2.4390243902439025E-2</v>
      </c>
      <c r="T266" s="563">
        <v>159</v>
      </c>
      <c r="U266" s="593">
        <f t="shared" si="8"/>
        <v>3.0285714285714287E-2</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1</v>
      </c>
      <c r="S267" s="593">
        <f t="shared" si="7"/>
        <v>2.4390243902439025E-2</v>
      </c>
      <c r="T267" s="563">
        <v>97</v>
      </c>
      <c r="U267" s="593">
        <f t="shared" si="8"/>
        <v>1.8476190476190476E-2</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0</v>
      </c>
      <c r="S268" s="593">
        <f t="shared" si="7"/>
        <v>0</v>
      </c>
      <c r="T268" s="563">
        <v>0</v>
      </c>
      <c r="U268" s="593">
        <f t="shared" si="8"/>
        <v>0</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0</v>
      </c>
      <c r="S269" s="593">
        <f t="shared" si="7"/>
        <v>0</v>
      </c>
      <c r="T269" s="563">
        <v>0</v>
      </c>
      <c r="U269" s="593">
        <f t="shared" si="8"/>
        <v>0</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6</v>
      </c>
      <c r="S270" s="593">
        <f t="shared" si="7"/>
        <v>0.14634146341463414</v>
      </c>
      <c r="T270" s="563">
        <v>1144</v>
      </c>
      <c r="U270" s="593">
        <f t="shared" si="8"/>
        <v>0.21790476190476191</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3</v>
      </c>
      <c r="S271" s="593">
        <f t="shared" si="7"/>
        <v>7.3170731707317069E-2</v>
      </c>
      <c r="T271" s="563">
        <v>278</v>
      </c>
      <c r="U271" s="593">
        <f t="shared" si="8"/>
        <v>5.2952380952380952E-2</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1</v>
      </c>
      <c r="S272" s="593">
        <f t="shared" si="7"/>
        <v>2.4390243902439025E-2</v>
      </c>
      <c r="T272" s="563">
        <v>64</v>
      </c>
      <c r="U272" s="593">
        <f t="shared" si="8"/>
        <v>1.2190476190476191E-2</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41</v>
      </c>
      <c r="S274" s="593">
        <f>SUM(S265:S273)</f>
        <v>1</v>
      </c>
      <c r="T274" s="563">
        <f>SUM(T265:T273)</f>
        <v>5250</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19</v>
      </c>
      <c r="S277" s="593">
        <f>R277/R284</f>
        <v>0.46341463414634149</v>
      </c>
      <c r="T277" s="563">
        <v>2238</v>
      </c>
      <c r="U277" s="593">
        <f>T277/T284</f>
        <v>0.42628571428571427</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0</v>
      </c>
      <c r="S278" s="593">
        <f>R278/R284</f>
        <v>0</v>
      </c>
      <c r="T278" s="563">
        <v>0</v>
      </c>
      <c r="U278" s="593">
        <f>T278/T284</f>
        <v>0</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6</v>
      </c>
      <c r="S279" s="593">
        <f>R279/R284</f>
        <v>0.14634146341463414</v>
      </c>
      <c r="T279" s="563">
        <v>614</v>
      </c>
      <c r="U279" s="593">
        <f>T279/T284</f>
        <v>0.11695238095238095</v>
      </c>
      <c r="V279" s="522"/>
      <c r="W279" s="524"/>
      <c r="X279" s="512"/>
    </row>
    <row r="280" spans="1:24" s="513" customFormat="1" x14ac:dyDescent="0.3">
      <c r="A280" s="521"/>
      <c r="B280" s="522" t="s">
        <v>413</v>
      </c>
      <c r="C280" s="522"/>
      <c r="D280" s="522"/>
      <c r="E280" s="522"/>
      <c r="F280" s="522"/>
      <c r="G280" s="522"/>
      <c r="H280" s="594"/>
      <c r="I280" s="594"/>
      <c r="J280" s="594"/>
      <c r="K280" s="594"/>
      <c r="L280" s="594"/>
      <c r="M280" s="594"/>
      <c r="N280" s="594"/>
      <c r="O280" s="594"/>
      <c r="P280" s="594"/>
      <c r="Q280" s="594"/>
      <c r="R280" s="562">
        <v>11</v>
      </c>
      <c r="S280" s="593">
        <f>R280/R284</f>
        <v>0.26829268292682928</v>
      </c>
      <c r="T280" s="563">
        <v>1520</v>
      </c>
      <c r="U280" s="593">
        <f>T280/T284</f>
        <v>0.28952380952380952</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2</v>
      </c>
      <c r="S281" s="593">
        <f>R281/R284</f>
        <v>4.878048780487805E-2</v>
      </c>
      <c r="T281" s="563">
        <v>254</v>
      </c>
      <c r="U281" s="593">
        <f>T281/T284</f>
        <v>4.8380952380952379E-2</v>
      </c>
      <c r="V281" s="522"/>
      <c r="W281" s="524"/>
      <c r="X281" s="512"/>
    </row>
    <row r="282" spans="1:24" s="513" customFormat="1" x14ac:dyDescent="0.3">
      <c r="A282" s="521"/>
      <c r="B282" s="424" t="s">
        <v>440</v>
      </c>
      <c r="C282" s="522"/>
      <c r="D282" s="522"/>
      <c r="E282" s="522"/>
      <c r="F282" s="522"/>
      <c r="G282" s="522"/>
      <c r="H282" s="594"/>
      <c r="I282" s="594"/>
      <c r="J282" s="594"/>
      <c r="K282" s="594"/>
      <c r="L282" s="594"/>
      <c r="M282" s="594"/>
      <c r="N282" s="594"/>
      <c r="O282" s="594"/>
      <c r="P282" s="594"/>
      <c r="Q282" s="594"/>
      <c r="R282" s="562">
        <v>3</v>
      </c>
      <c r="S282" s="593">
        <f>R282/R284</f>
        <v>7.3170731707317069E-2</v>
      </c>
      <c r="T282" s="563">
        <v>624</v>
      </c>
      <c r="U282" s="593">
        <f>T282/T284</f>
        <v>0.11885714285714286</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41</v>
      </c>
      <c r="S284" s="593">
        <f>SUM(S277:S282)</f>
        <v>1</v>
      </c>
      <c r="T284" s="563">
        <f>SUM(T277:T282)</f>
        <v>5250</v>
      </c>
      <c r="U284" s="593">
        <f>SUM(U277:U283)</f>
        <v>1</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0</v>
      </c>
      <c r="S296" s="593">
        <f>SUM(S287:S295)</f>
        <v>0</v>
      </c>
      <c r="T296" s="563">
        <f>SUM(T287:T294)</f>
        <v>0</v>
      </c>
      <c r="U296" s="593">
        <f>SUM(U287:U295)</f>
        <v>0</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3125</v>
      </c>
      <c r="S298" s="593"/>
      <c r="T298" s="599">
        <f>+T296+T274+T262</f>
        <v>400356</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509"/>
      <c r="B300" s="510"/>
      <c r="C300" s="510"/>
      <c r="D300" s="510"/>
      <c r="E300" s="510"/>
      <c r="F300" s="510"/>
      <c r="G300" s="510"/>
      <c r="H300" s="600"/>
      <c r="I300" s="600"/>
      <c r="J300" s="600"/>
      <c r="K300" s="600"/>
      <c r="L300" s="600"/>
      <c r="M300" s="600"/>
      <c r="N300" s="600"/>
      <c r="O300" s="600"/>
      <c r="P300" s="600"/>
      <c r="Q300" s="600"/>
      <c r="R300" s="600"/>
      <c r="S300" s="600"/>
      <c r="T300" s="601"/>
      <c r="U300" s="600"/>
      <c r="V300" s="510"/>
      <c r="W300" s="510"/>
      <c r="X300" s="512"/>
    </row>
    <row r="301" spans="1:24" s="513" customFormat="1" x14ac:dyDescent="0.3">
      <c r="A301" s="509"/>
      <c r="B301" s="508" t="s">
        <v>93</v>
      </c>
      <c r="C301" s="510"/>
      <c r="D301" s="510"/>
      <c r="E301" s="510"/>
      <c r="F301" s="516" t="s">
        <v>99</v>
      </c>
      <c r="G301" s="510"/>
      <c r="H301" s="508" t="s">
        <v>101</v>
      </c>
      <c r="I301" s="510"/>
      <c r="J301" s="510"/>
      <c r="K301" s="510"/>
      <c r="L301" s="510"/>
      <c r="M301" s="510"/>
      <c r="N301" s="510"/>
      <c r="O301" s="510"/>
      <c r="P301" s="510"/>
      <c r="Q301" s="510"/>
      <c r="R301" s="510"/>
      <c r="S301" s="510"/>
      <c r="T301" s="510"/>
      <c r="U301" s="510"/>
      <c r="V301" s="510"/>
      <c r="W301" s="510"/>
      <c r="X301" s="512"/>
    </row>
    <row r="302" spans="1:24" s="513" customFormat="1" x14ac:dyDescent="0.3">
      <c r="A302" s="509"/>
      <c r="B302" s="508" t="s">
        <v>327</v>
      </c>
      <c r="C302" s="508"/>
      <c r="D302" s="508"/>
      <c r="E302" s="508"/>
      <c r="F302" s="602" t="s">
        <v>278</v>
      </c>
      <c r="G302" s="508"/>
      <c r="H302" s="402" t="s">
        <v>350</v>
      </c>
      <c r="I302" s="510"/>
      <c r="J302" s="510"/>
      <c r="K302" s="510"/>
      <c r="L302" s="510"/>
      <c r="M302" s="510"/>
      <c r="N302" s="510"/>
      <c r="O302" s="510"/>
      <c r="P302" s="510"/>
      <c r="Q302" s="510"/>
      <c r="R302" s="510"/>
      <c r="S302" s="510"/>
      <c r="T302" s="510"/>
      <c r="U302" s="510"/>
      <c r="V302" s="510"/>
      <c r="W302" s="510"/>
      <c r="X302" s="512"/>
    </row>
    <row r="303" spans="1:24" s="513" customFormat="1" x14ac:dyDescent="0.3">
      <c r="A303" s="509"/>
      <c r="B303" s="508" t="s">
        <v>328</v>
      </c>
      <c r="C303" s="508"/>
      <c r="D303" s="508"/>
      <c r="E303" s="508"/>
      <c r="F303" s="602" t="s">
        <v>152</v>
      </c>
      <c r="G303" s="508"/>
      <c r="H303" s="402" t="s">
        <v>351</v>
      </c>
      <c r="I303" s="510"/>
      <c r="J303" s="510"/>
      <c r="K303" s="510"/>
      <c r="L303" s="510"/>
      <c r="M303" s="510"/>
      <c r="N303" s="510"/>
      <c r="O303" s="510"/>
      <c r="P303" s="510"/>
      <c r="Q303" s="510"/>
      <c r="R303" s="510"/>
      <c r="S303" s="510"/>
      <c r="T303" s="510"/>
      <c r="U303" s="510"/>
      <c r="V303" s="510"/>
      <c r="W303" s="510"/>
      <c r="X303" s="512"/>
    </row>
    <row r="304" spans="1:24" s="513" customFormat="1" x14ac:dyDescent="0.3">
      <c r="A304" s="509"/>
      <c r="B304" s="508"/>
      <c r="C304" s="508"/>
      <c r="D304" s="508"/>
      <c r="E304" s="508"/>
      <c r="F304" s="602"/>
      <c r="G304" s="508"/>
      <c r="H304" s="402"/>
      <c r="I304" s="510"/>
      <c r="J304" s="510"/>
      <c r="K304" s="510"/>
      <c r="L304" s="510"/>
      <c r="M304" s="510"/>
      <c r="N304" s="510"/>
      <c r="O304" s="510"/>
      <c r="P304" s="510"/>
      <c r="Q304" s="510"/>
      <c r="R304" s="510"/>
      <c r="S304" s="510"/>
      <c r="T304" s="510"/>
      <c r="U304" s="510"/>
      <c r="V304" s="510"/>
      <c r="W304" s="510"/>
      <c r="X304" s="512"/>
    </row>
    <row r="305" spans="1:24" s="513" customFormat="1" ht="18" x14ac:dyDescent="0.35">
      <c r="A305" s="509"/>
      <c r="B305" s="647" t="s">
        <v>174</v>
      </c>
      <c r="C305" s="508"/>
      <c r="D305" s="508"/>
      <c r="E305" s="508"/>
      <c r="F305" s="602"/>
      <c r="G305" s="508"/>
      <c r="H305" s="402"/>
      <c r="I305" s="510"/>
      <c r="J305" s="510"/>
      <c r="K305" s="510"/>
      <c r="L305" s="552"/>
      <c r="M305" s="552"/>
      <c r="N305" s="552"/>
      <c r="O305" s="552"/>
      <c r="P305" s="648" t="s">
        <v>349</v>
      </c>
      <c r="Q305" s="552"/>
      <c r="R305" s="552"/>
      <c r="S305" s="552"/>
      <c r="T305" s="510"/>
      <c r="U305" s="510"/>
      <c r="V305" s="510"/>
      <c r="W305" s="510"/>
      <c r="X305" s="512"/>
    </row>
    <row r="306" spans="1:24" s="513" customFormat="1" x14ac:dyDescent="0.3">
      <c r="A306" s="509"/>
      <c r="B306" s="508"/>
      <c r="C306" s="508"/>
      <c r="D306" s="508"/>
      <c r="E306" s="508"/>
      <c r="F306" s="508"/>
      <c r="G306" s="508"/>
      <c r="H306" s="510"/>
      <c r="I306" s="510"/>
      <c r="J306" s="510"/>
      <c r="K306" s="510"/>
      <c r="L306" s="510"/>
      <c r="M306" s="510"/>
      <c r="N306" s="510"/>
      <c r="O306" s="510"/>
      <c r="P306" s="510"/>
      <c r="Q306" s="510"/>
      <c r="R306" s="510"/>
      <c r="S306" s="510"/>
      <c r="T306" s="510"/>
      <c r="U306" s="510"/>
      <c r="V306" s="510"/>
      <c r="W306" s="510"/>
      <c r="X306" s="512"/>
    </row>
    <row r="307" spans="1:24" s="513" customFormat="1" ht="18.600000000000001" thickBot="1" x14ac:dyDescent="0.4">
      <c r="A307" s="509"/>
      <c r="B307" s="603" t="str">
        <f>B202</f>
        <v>PM12 INVESTOR REPORT QUARTER ENDING APRIL 2023</v>
      </c>
      <c r="C307" s="508"/>
      <c r="D307" s="508"/>
      <c r="E307" s="508"/>
      <c r="F307" s="508"/>
      <c r="G307" s="508"/>
      <c r="H307" s="510"/>
      <c r="I307" s="510"/>
      <c r="J307" s="510"/>
      <c r="K307" s="510"/>
      <c r="L307" s="510"/>
      <c r="M307" s="510"/>
      <c r="N307" s="510"/>
      <c r="O307" s="510"/>
      <c r="P307" s="510"/>
      <c r="Q307" s="510"/>
      <c r="R307" s="510"/>
      <c r="S307" s="510"/>
      <c r="T307" s="510"/>
      <c r="U307" s="510"/>
      <c r="V307" s="510"/>
      <c r="W307" s="510"/>
      <c r="X307" s="512"/>
    </row>
    <row r="308" spans="1:24" x14ac:dyDescent="0.3">
      <c r="A308" s="492"/>
      <c r="B308" s="492"/>
      <c r="C308" s="492"/>
      <c r="D308" s="492"/>
      <c r="E308" s="492"/>
      <c r="F308" s="492"/>
      <c r="G308" s="492"/>
      <c r="H308" s="492"/>
      <c r="I308" s="492"/>
      <c r="J308" s="492"/>
      <c r="K308" s="492"/>
      <c r="L308" s="492"/>
      <c r="M308" s="492"/>
      <c r="N308" s="492"/>
      <c r="O308" s="492"/>
      <c r="P308" s="492"/>
      <c r="Q308" s="492"/>
      <c r="R308" s="492"/>
      <c r="S308" s="492"/>
      <c r="T308" s="492"/>
      <c r="U308" s="492"/>
      <c r="V308" s="492"/>
      <c r="W308" s="492"/>
    </row>
    <row r="309" spans="1:24" x14ac:dyDescent="0.3">
      <c r="B309" s="406" t="s">
        <v>384</v>
      </c>
    </row>
    <row r="310" spans="1:24" x14ac:dyDescent="0.3">
      <c r="B310" s="623" t="s">
        <v>378</v>
      </c>
    </row>
    <row r="312" spans="1:24" x14ac:dyDescent="0.3">
      <c r="B312" s="649" t="s">
        <v>432</v>
      </c>
    </row>
    <row r="313" spans="1:24" x14ac:dyDescent="0.3">
      <c r="B313" s="406" t="s">
        <v>433</v>
      </c>
    </row>
    <row r="314" spans="1:24" x14ac:dyDescent="0.3">
      <c r="B314" s="677" t="s">
        <v>430</v>
      </c>
    </row>
    <row r="315" spans="1:24" x14ac:dyDescent="0.3">
      <c r="B315" s="406" t="s">
        <v>428</v>
      </c>
    </row>
    <row r="316" spans="1:24" x14ac:dyDescent="0.3">
      <c r="B316" s="406" t="s">
        <v>436</v>
      </c>
    </row>
    <row r="317" spans="1:24" x14ac:dyDescent="0.3">
      <c r="B317" s="406" t="s">
        <v>431</v>
      </c>
    </row>
    <row r="318" spans="1:24" x14ac:dyDescent="0.3">
      <c r="B318" s="677" t="s">
        <v>429</v>
      </c>
    </row>
    <row r="319" spans="1:24" x14ac:dyDescent="0.3">
      <c r="B319" s="677"/>
    </row>
    <row r="320" spans="1:24" x14ac:dyDescent="0.3">
      <c r="B320" s="678" t="s">
        <v>453</v>
      </c>
    </row>
    <row r="322" spans="2:2" x14ac:dyDescent="0.3">
      <c r="B322" s="649" t="s">
        <v>421</v>
      </c>
    </row>
    <row r="323" spans="2:2" x14ac:dyDescent="0.3">
      <c r="B323" s="406" t="s">
        <v>423</v>
      </c>
    </row>
    <row r="324" spans="2:2" x14ac:dyDescent="0.3">
      <c r="B324" s="676" t="s">
        <v>422</v>
      </c>
    </row>
    <row r="326" spans="2:2" x14ac:dyDescent="0.3">
      <c r="B326" s="617"/>
    </row>
  </sheetData>
  <hyperlinks>
    <hyperlink ref="I9" r:id="rId1" xr:uid="{F886C2F4-2B68-4561-8D95-FD077364B358}"/>
    <hyperlink ref="P238" r:id="rId2" xr:uid="{5F0498C8-0215-4EB9-B8D6-9C1D8EEE693A}"/>
    <hyperlink ref="B310" r:id="rId3" xr:uid="{5BB55E25-FB2C-4105-A5E1-D8DCB95880C4}"/>
    <hyperlink ref="P305" r:id="rId4" xr:uid="{A1B5D07D-23A7-4420-9248-FB63DB9F5A93}"/>
    <hyperlink ref="B324" r:id="rId5" display="https://investorreporting.paragonbankinggroup.co.uk/bondinvestor_viewer/resources/bondinvestor/pdf/investornews/2021/libor-mortgages-transition-july-19" xr:uid="{11463287-82D0-4E7B-A72C-E0D08BE6CCBC}"/>
    <hyperlink ref="B318" r:id="rId6" display="https://protect-eu.mimecast.com/s/wcu_C4934SBRnRxHOTIMr?domain=londonstockexchange.com" xr:uid="{49958A6A-D7F5-4073-BE35-C68F0C6AF727}"/>
    <hyperlink ref="B314" r:id="rId7" display="https://protect-eu.mimecast.com/s/GQAHC60N2crGn7VHp3gPx?domain=londonstockexchange.com" xr:uid="{5E1BB431-D1F0-4D7D-91C5-A2525A7CB513}"/>
  </hyperlinks>
  <printOptions horizontalCentered="1" verticalCentered="1"/>
  <pageMargins left="0.19685039370078741" right="0.19685039370078741" top="0.27559055118110237" bottom="0.27559055118110237" header="0" footer="0"/>
  <pageSetup scale="37" orientation="landscape" r:id="rId8"/>
  <headerFooter alignWithMargins="0"/>
  <rowBreaks count="3" manualBreakCount="3">
    <brk id="64" max="23" man="1"/>
    <brk id="141" max="14" man="1"/>
    <brk id="202" max="14" man="1"/>
  </rowBreaks>
  <drawing r:id="rId9"/>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0D0A7-E6A2-4B06-909D-728FD0C93641}">
  <sheetPr>
    <tabColor rgb="FF2D2926"/>
  </sheetPr>
  <dimension ref="A1:AA326"/>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0.69919879773687077</v>
      </c>
      <c r="T16" s="516" t="s">
        <v>145</v>
      </c>
      <c r="U16" s="515">
        <v>0.30080120226312917</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45160</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183777.1400478</v>
      </c>
      <c r="E32" s="529"/>
      <c r="F32" s="530">
        <f>F31*F38</f>
        <v>32688.306999999997</v>
      </c>
      <c r="G32" s="530"/>
      <c r="H32" s="534">
        <f>H31*H38</f>
        <v>55231.966999999997</v>
      </c>
      <c r="I32" s="534"/>
      <c r="J32" s="533">
        <f>J31*J38</f>
        <v>70109.787400000001</v>
      </c>
      <c r="K32" s="530"/>
      <c r="L32" s="530">
        <f>L31*L38</f>
        <v>13328.715</v>
      </c>
      <c r="M32" s="530"/>
      <c r="N32" s="534">
        <f>N31*N38</f>
        <v>67176.723599999998</v>
      </c>
      <c r="O32" s="530"/>
      <c r="P32" s="530">
        <f>P31*P38</f>
        <v>9063.5262000000002</v>
      </c>
      <c r="Q32" s="530"/>
      <c r="R32" s="534">
        <f>R31*R38</f>
        <v>56513.751599999996</v>
      </c>
      <c r="S32" s="530"/>
      <c r="T32" s="530"/>
      <c r="U32" s="529"/>
      <c r="V32" s="530"/>
      <c r="W32" s="531"/>
      <c r="X32" s="512"/>
    </row>
    <row r="33" spans="1:25" s="513" customFormat="1" x14ac:dyDescent="0.3">
      <c r="A33" s="521"/>
      <c r="B33" s="527" t="s">
        <v>139</v>
      </c>
      <c r="C33" s="529"/>
      <c r="D33" s="619">
        <f>D34*D37</f>
        <v>169590.16316190001</v>
      </c>
      <c r="E33" s="532"/>
      <c r="F33" s="535">
        <f>F37*F31</f>
        <v>30164.93</v>
      </c>
      <c r="G33" s="535"/>
      <c r="H33" s="537">
        <f>H31*H37</f>
        <v>50968.33</v>
      </c>
      <c r="I33" s="537"/>
      <c r="J33" s="536">
        <f>J37*J31</f>
        <v>64697.547700000003</v>
      </c>
      <c r="K33" s="535"/>
      <c r="L33" s="535">
        <f>L37*L31</f>
        <v>12299.789999999999</v>
      </c>
      <c r="M33" s="535"/>
      <c r="N33" s="537">
        <f>N37*N31</f>
        <v>61990.941599999998</v>
      </c>
      <c r="O33" s="535"/>
      <c r="P33" s="535">
        <f>P37*P31</f>
        <v>8363.8572000000004</v>
      </c>
      <c r="Q33" s="535"/>
      <c r="R33" s="537">
        <f>R37*R31</f>
        <v>52151.109599999996</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183777.1400478</v>
      </c>
      <c r="E35" s="529"/>
      <c r="F35" s="530">
        <f>F34*F38</f>
        <v>32688.306999999997</v>
      </c>
      <c r="G35" s="530"/>
      <c r="H35" s="530">
        <f>H34*H38</f>
        <v>38091.120555599999</v>
      </c>
      <c r="I35" s="530"/>
      <c r="J35" s="530">
        <f>J34*J38</f>
        <v>38103.204134799998</v>
      </c>
      <c r="K35" s="530"/>
      <c r="L35" s="530">
        <f>L34*L38</f>
        <v>13328.715</v>
      </c>
      <c r="M35" s="530"/>
      <c r="N35" s="530">
        <f>N34*N38</f>
        <v>46329.013894199998</v>
      </c>
      <c r="O35" s="530"/>
      <c r="P35" s="530">
        <f>P34*P38</f>
        <v>9063.5262000000002</v>
      </c>
      <c r="Q35" s="530"/>
      <c r="R35" s="530">
        <f>R34*R38</f>
        <v>38974.7621058</v>
      </c>
      <c r="S35" s="530"/>
      <c r="T35" s="530"/>
      <c r="U35" s="529"/>
      <c r="V35" s="530">
        <f>SUM(C35:R35)</f>
        <v>400355.78893819998</v>
      </c>
      <c r="W35" s="531"/>
      <c r="X35" s="512"/>
    </row>
    <row r="36" spans="1:25" s="513" customFormat="1" x14ac:dyDescent="0.3">
      <c r="A36" s="525"/>
      <c r="B36" s="527" t="s">
        <v>295</v>
      </c>
      <c r="C36" s="532"/>
      <c r="D36" s="535">
        <f>D34*D37</f>
        <v>169590.16316190001</v>
      </c>
      <c r="E36" s="532"/>
      <c r="F36" s="535">
        <f>F34*F37</f>
        <v>30164.93</v>
      </c>
      <c r="G36" s="535"/>
      <c r="H36" s="535">
        <f>H34*H37</f>
        <v>35150.672844000001</v>
      </c>
      <c r="I36" s="535"/>
      <c r="J36" s="535">
        <f>J34*J37</f>
        <v>35161.764975400001</v>
      </c>
      <c r="K36" s="535"/>
      <c r="L36" s="535">
        <f>L34*L37</f>
        <v>12299.789999999999</v>
      </c>
      <c r="M36" s="535"/>
      <c r="N36" s="535">
        <f>N34*N37</f>
        <v>42752.594065199999</v>
      </c>
      <c r="O36" s="535"/>
      <c r="P36" s="535">
        <f>P34*P37</f>
        <v>8363.8572000000004</v>
      </c>
      <c r="Q36" s="535"/>
      <c r="R36" s="535">
        <f>R34*R37</f>
        <v>35966.061934799996</v>
      </c>
      <c r="S36" s="538"/>
      <c r="T36" s="538"/>
      <c r="U36" s="529"/>
      <c r="V36" s="535">
        <f>SUM(C36:R36)</f>
        <v>369449.83418130002</v>
      </c>
      <c r="W36" s="531"/>
      <c r="X36" s="512"/>
      <c r="Y36" s="621"/>
    </row>
    <row r="37" spans="1:25" x14ac:dyDescent="0.3">
      <c r="A37" s="420"/>
      <c r="B37" s="493" t="s">
        <v>135</v>
      </c>
      <c r="C37" s="494"/>
      <c r="D37" s="495">
        <v>0.20803070000000001</v>
      </c>
      <c r="E37" s="496"/>
      <c r="F37" s="495">
        <v>0.208034</v>
      </c>
      <c r="G37" s="495"/>
      <c r="H37" s="495">
        <v>0.208034</v>
      </c>
      <c r="I37" s="495"/>
      <c r="J37" s="495">
        <v>0.20803070000000001</v>
      </c>
      <c r="K37" s="495"/>
      <c r="L37" s="495">
        <v>0.49199159999999997</v>
      </c>
      <c r="M37" s="495"/>
      <c r="N37" s="495">
        <v>0.49199159999999997</v>
      </c>
      <c r="O37" s="495"/>
      <c r="P37" s="495">
        <v>0.49199159999999997</v>
      </c>
      <c r="Q37" s="495"/>
      <c r="R37" s="495">
        <v>0.49199159999999997</v>
      </c>
      <c r="S37" s="425"/>
      <c r="T37" s="425"/>
      <c r="U37" s="424"/>
      <c r="V37" s="424"/>
      <c r="W37" s="426"/>
      <c r="X37" s="405"/>
    </row>
    <row r="38" spans="1:25" x14ac:dyDescent="0.3">
      <c r="A38" s="420"/>
      <c r="B38" s="493" t="s">
        <v>136</v>
      </c>
      <c r="C38" s="494"/>
      <c r="D38" s="495">
        <v>0.22543340000000001</v>
      </c>
      <c r="E38" s="496"/>
      <c r="F38" s="495">
        <v>0.22543659999999999</v>
      </c>
      <c r="G38" s="495"/>
      <c r="H38" s="495">
        <v>0.22543659999999999</v>
      </c>
      <c r="I38" s="495"/>
      <c r="J38" s="495">
        <v>0.22543340000000001</v>
      </c>
      <c r="K38" s="495"/>
      <c r="L38" s="495">
        <v>0.53314859999999997</v>
      </c>
      <c r="M38" s="495"/>
      <c r="N38" s="495">
        <v>0.53314859999999997</v>
      </c>
      <c r="O38" s="495"/>
      <c r="P38" s="495">
        <v>0.53314859999999997</v>
      </c>
      <c r="Q38" s="495"/>
      <c r="R38" s="495">
        <v>0.53314859999999997</v>
      </c>
      <c r="S38" s="427"/>
      <c r="T38" s="428"/>
      <c r="U38" s="424"/>
      <c r="V38" s="427"/>
      <c r="W38" s="426"/>
      <c r="X38" s="405"/>
    </row>
    <row r="39" spans="1:25" s="513" customFormat="1" x14ac:dyDescent="0.3">
      <c r="A39" s="521"/>
      <c r="B39" s="522" t="s">
        <v>451</v>
      </c>
      <c r="C39" s="522"/>
      <c r="D39" s="528" t="s">
        <v>442</v>
      </c>
      <c r="E39" s="522"/>
      <c r="F39" s="528" t="s">
        <v>442</v>
      </c>
      <c r="G39" s="528"/>
      <c r="H39" s="528" t="s">
        <v>237</v>
      </c>
      <c r="I39" s="528"/>
      <c r="J39" s="528" t="s">
        <v>239</v>
      </c>
      <c r="K39" s="528"/>
      <c r="L39" s="528" t="s">
        <v>443</v>
      </c>
      <c r="M39" s="528"/>
      <c r="N39" s="528" t="s">
        <v>240</v>
      </c>
      <c r="O39" s="528"/>
      <c r="P39" s="528" t="s">
        <v>444</v>
      </c>
      <c r="Q39" s="528"/>
      <c r="R39" s="528" t="s">
        <v>241</v>
      </c>
      <c r="S39" s="539"/>
      <c r="T39" s="540"/>
      <c r="U39" s="522"/>
      <c r="V39" s="522"/>
      <c r="W39" s="524"/>
      <c r="X39" s="512"/>
    </row>
    <row r="40" spans="1:25" s="513" customFormat="1" x14ac:dyDescent="0.3">
      <c r="A40" s="521"/>
      <c r="B40" s="522" t="s">
        <v>12</v>
      </c>
      <c r="C40" s="522"/>
      <c r="D40" s="540">
        <v>5.0763799999999998E-2</v>
      </c>
      <c r="E40" s="522"/>
      <c r="F40" s="540">
        <v>5.0763799999999998E-2</v>
      </c>
      <c r="G40" s="539"/>
      <c r="H40" s="540">
        <v>3.5630000000000002E-2</v>
      </c>
      <c r="I40" s="540"/>
      <c r="J40" s="540">
        <v>5.5407100000000001E-2</v>
      </c>
      <c r="K40" s="539"/>
      <c r="L40" s="540">
        <v>5.3163799999999997E-2</v>
      </c>
      <c r="M40" s="539"/>
      <c r="N40" s="540">
        <v>3.8030000000000001E-2</v>
      </c>
      <c r="O40" s="539"/>
      <c r="P40" s="540">
        <v>5.7563799999999998E-2</v>
      </c>
      <c r="Q40" s="539"/>
      <c r="R40" s="540">
        <v>4.2430000000000002E-2</v>
      </c>
      <c r="S40" s="539"/>
      <c r="T40" s="540"/>
      <c r="U40" s="522"/>
      <c r="V40" s="528"/>
      <c r="W40" s="524"/>
      <c r="X40" s="512"/>
    </row>
    <row r="41" spans="1:25" s="513" customFormat="1" x14ac:dyDescent="0.3">
      <c r="A41" s="521"/>
      <c r="B41" s="522" t="s">
        <v>13</v>
      </c>
      <c r="C41" s="522"/>
      <c r="D41" s="540">
        <v>4.4353700000000003E-2</v>
      </c>
      <c r="E41" s="522"/>
      <c r="F41" s="540">
        <v>4.4353700000000003E-2</v>
      </c>
      <c r="G41" s="539"/>
      <c r="H41" s="540">
        <v>2.894E-2</v>
      </c>
      <c r="I41" s="540"/>
      <c r="J41" s="540">
        <v>5.0835699999999998E-2</v>
      </c>
      <c r="K41" s="539"/>
      <c r="L41" s="540">
        <v>4.6753700000000002E-2</v>
      </c>
      <c r="M41" s="539"/>
      <c r="N41" s="540">
        <v>3.134E-2</v>
      </c>
      <c r="O41" s="539"/>
      <c r="P41" s="540">
        <v>5.1153700000000003E-2</v>
      </c>
      <c r="Q41" s="539"/>
      <c r="R41" s="540">
        <v>3.5740000000000001E-2</v>
      </c>
      <c r="S41" s="539"/>
      <c r="T41" s="540"/>
      <c r="U41" s="522"/>
      <c r="V41" s="539" t="s">
        <v>199</v>
      </c>
      <c r="W41" s="524"/>
      <c r="X41" s="512"/>
    </row>
    <row r="42" spans="1:25" s="513" customFormat="1" x14ac:dyDescent="0.3">
      <c r="A42" s="521"/>
      <c r="B42" s="522" t="s">
        <v>449</v>
      </c>
      <c r="C42" s="522"/>
      <c r="D42" s="528" t="s">
        <v>442</v>
      </c>
      <c r="E42" s="522"/>
      <c r="F42" s="528" t="s">
        <v>442</v>
      </c>
      <c r="G42" s="528"/>
      <c r="H42" s="528" t="s">
        <v>445</v>
      </c>
      <c r="I42" s="528"/>
      <c r="J42" s="528" t="s">
        <v>446</v>
      </c>
      <c r="K42" s="528"/>
      <c r="L42" s="528" t="s">
        <v>443</v>
      </c>
      <c r="M42" s="528"/>
      <c r="N42" s="528" t="s">
        <v>448</v>
      </c>
      <c r="O42" s="528"/>
      <c r="P42" s="528" t="s">
        <v>444</v>
      </c>
      <c r="Q42" s="528"/>
      <c r="R42" s="528" t="s">
        <v>447</v>
      </c>
      <c r="S42" s="539"/>
      <c r="T42" s="540"/>
      <c r="U42" s="522"/>
      <c r="V42" s="522"/>
      <c r="W42" s="524"/>
      <c r="X42" s="512"/>
    </row>
    <row r="43" spans="1:25" s="513" customFormat="1" x14ac:dyDescent="0.3">
      <c r="A43" s="521"/>
      <c r="B43" s="522" t="s">
        <v>297</v>
      </c>
      <c r="C43" s="541"/>
      <c r="D43" s="540">
        <f>+D40</f>
        <v>5.0763799999999998E-2</v>
      </c>
      <c r="E43" s="540"/>
      <c r="F43" s="540">
        <f>+F40</f>
        <v>5.0763799999999998E-2</v>
      </c>
      <c r="G43" s="540"/>
      <c r="H43" s="540">
        <v>5.0685800000000003E-2</v>
      </c>
      <c r="I43" s="540"/>
      <c r="J43" s="540">
        <v>5.0927800000000002E-2</v>
      </c>
      <c r="K43" s="540"/>
      <c r="L43" s="540">
        <f>+L40</f>
        <v>5.3163799999999997E-2</v>
      </c>
      <c r="M43" s="540"/>
      <c r="N43" s="540">
        <v>5.3365799999999998E-2</v>
      </c>
      <c r="O43" s="540"/>
      <c r="P43" s="540">
        <f>+P40</f>
        <v>5.7563799999999998E-2</v>
      </c>
      <c r="Q43" s="539"/>
      <c r="R43" s="540">
        <v>5.8035799999999998E-2</v>
      </c>
      <c r="S43" s="528"/>
      <c r="T43" s="528"/>
      <c r="U43" s="522"/>
      <c r="V43" s="539">
        <f>SUMPRODUCT(D43:R43,D35:R35)/V35</f>
        <v>5.2014865402973787E-2</v>
      </c>
      <c r="W43" s="524"/>
      <c r="X43" s="512"/>
    </row>
    <row r="44" spans="1:25" s="513" customFormat="1" x14ac:dyDescent="0.3">
      <c r="A44" s="521"/>
      <c r="B44" s="522" t="s">
        <v>298</v>
      </c>
      <c r="C44" s="541"/>
      <c r="D44" s="540">
        <f>+D41</f>
        <v>4.4353700000000003E-2</v>
      </c>
      <c r="E44" s="540"/>
      <c r="F44" s="540">
        <f>+F41</f>
        <v>4.4353700000000003E-2</v>
      </c>
      <c r="G44" s="540"/>
      <c r="H44" s="540">
        <v>4.4275700000000001E-2</v>
      </c>
      <c r="I44" s="540"/>
      <c r="J44" s="540">
        <v>4.45177E-2</v>
      </c>
      <c r="K44" s="540"/>
      <c r="L44" s="540">
        <f>+L41</f>
        <v>4.6753700000000002E-2</v>
      </c>
      <c r="M44" s="540"/>
      <c r="N44" s="540">
        <v>4.6955700000000003E-2</v>
      </c>
      <c r="O44" s="540"/>
      <c r="P44" s="540">
        <f>+P41</f>
        <v>5.1153700000000003E-2</v>
      </c>
      <c r="Q44" s="539"/>
      <c r="R44" s="540">
        <v>5.1625699999999997E-2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450</v>
      </c>
      <c r="C47" s="522"/>
      <c r="D47" s="528" t="s">
        <v>442</v>
      </c>
      <c r="E47" s="522"/>
      <c r="F47" s="528" t="s">
        <v>442</v>
      </c>
      <c r="G47" s="528"/>
      <c r="H47" s="528" t="s">
        <v>237</v>
      </c>
      <c r="I47" s="528"/>
      <c r="J47" s="528" t="s">
        <v>239</v>
      </c>
      <c r="K47" s="528"/>
      <c r="L47" s="528" t="s">
        <v>443</v>
      </c>
      <c r="M47" s="528"/>
      <c r="N47" s="528" t="s">
        <v>240</v>
      </c>
      <c r="O47" s="528"/>
      <c r="P47" s="528" t="s">
        <v>444</v>
      </c>
      <c r="Q47" s="528"/>
      <c r="R47" s="528" t="s">
        <v>241</v>
      </c>
      <c r="S47" s="542"/>
      <c r="T47" s="542"/>
      <c r="U47" s="542"/>
      <c r="V47" s="542"/>
      <c r="W47" s="524"/>
      <c r="X47" s="512"/>
    </row>
    <row r="48" spans="1:25" s="513" customFormat="1" x14ac:dyDescent="0.3">
      <c r="A48" s="521"/>
      <c r="B48" s="522" t="s">
        <v>452</v>
      </c>
      <c r="C48" s="522"/>
      <c r="D48" s="528" t="s">
        <v>442</v>
      </c>
      <c r="E48" s="522"/>
      <c r="F48" s="528" t="s">
        <v>442</v>
      </c>
      <c r="G48" s="528"/>
      <c r="H48" s="528" t="s">
        <v>445</v>
      </c>
      <c r="I48" s="528"/>
      <c r="J48" s="528" t="s">
        <v>446</v>
      </c>
      <c r="K48" s="528"/>
      <c r="L48" s="528" t="s">
        <v>443</v>
      </c>
      <c r="M48" s="528"/>
      <c r="N48" s="528" t="s">
        <v>448</v>
      </c>
      <c r="O48" s="528"/>
      <c r="P48" s="528" t="s">
        <v>444</v>
      </c>
      <c r="Q48" s="528"/>
      <c r="R48" s="528" t="s">
        <v>447</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40"/>
      <c r="E50" s="540"/>
      <c r="F50" s="540"/>
      <c r="G50" s="540"/>
      <c r="H50" s="540"/>
      <c r="I50" s="540"/>
      <c r="J50" s="540"/>
      <c r="K50" s="540"/>
      <c r="L50" s="540"/>
      <c r="M50" s="540"/>
      <c r="N50" s="540"/>
      <c r="O50" s="540"/>
      <c r="P50" s="540"/>
      <c r="Q50" s="540"/>
      <c r="R50" s="540"/>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0.36799056457801815</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45153</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89</v>
      </c>
      <c r="S57" s="522"/>
      <c r="T57" s="549">
        <v>44972</v>
      </c>
      <c r="U57" s="550"/>
      <c r="V57" s="549">
        <v>45060</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45061</v>
      </c>
      <c r="U58" s="550"/>
      <c r="V58" s="549">
        <v>45152</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45139</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458</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400356</v>
      </c>
      <c r="O68" s="562"/>
      <c r="P68" s="562">
        <v>30906</v>
      </c>
      <c r="Q68" s="562"/>
      <c r="R68" s="562">
        <v>0</v>
      </c>
      <c r="S68" s="562"/>
      <c r="T68" s="562">
        <v>0</v>
      </c>
      <c r="U68" s="562"/>
      <c r="V68" s="563">
        <f>+N68-P68+R68-T68</f>
        <v>369450</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400356</v>
      </c>
      <c r="O71" s="562"/>
      <c r="P71" s="562">
        <f>SUM(P68:P70)</f>
        <v>30906</v>
      </c>
      <c r="Q71" s="562"/>
      <c r="R71" s="562">
        <f>SUM(R68:R70)</f>
        <v>0</v>
      </c>
      <c r="S71" s="562"/>
      <c r="T71" s="562">
        <f>SUM(T68:T70)</f>
        <v>0</v>
      </c>
      <c r="U71" s="562"/>
      <c r="V71" s="562">
        <f>SUM(V68:V70)</f>
        <v>369450</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400356</v>
      </c>
      <c r="O84" s="562"/>
      <c r="P84" s="562"/>
      <c r="Q84" s="562"/>
      <c r="R84" s="562"/>
      <c r="S84" s="562"/>
      <c r="T84" s="562"/>
      <c r="U84" s="562"/>
      <c r="V84" s="562">
        <f>SUM(V71:V83)</f>
        <v>369450</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45138</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30906-378</f>
        <v>30528</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5492+3403-1712-815</f>
        <v>6368</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92+218</f>
        <v>310</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412</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0</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30528</v>
      </c>
      <c r="U96" s="522"/>
      <c r="V96" s="562">
        <f>SUM(V88:V95)</f>
        <v>7090</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30528</v>
      </c>
      <c r="U100" s="522"/>
      <c r="V100" s="562">
        <f>V96+V98+V97+V99</f>
        <v>7090</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-154-80-6</f>
        <v>-240</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f>-3746+418</f>
        <v>-3328</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-418</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-623</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-179</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-571</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-131</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-13</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378</v>
      </c>
      <c r="U114" s="522"/>
      <c r="V114" s="563">
        <v>-378</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-154</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-457</v>
      </c>
      <c r="W119" s="615"/>
      <c r="X119" s="679"/>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0</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-15</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-578</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-14187</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-2523</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-2940</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-2941</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-1029</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-3577</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-700</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-3009</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-30906</v>
      </c>
      <c r="U137" s="562"/>
      <c r="V137" s="562">
        <f>SUM(V102:V134)</f>
        <v>-7090</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JULY 2023</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378</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378</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-378</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369450</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369450</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+'April 23'!S188</f>
        <v>57078</v>
      </c>
      <c r="T186" s="563">
        <f>+'April 23'!T188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1.8280832888414309</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2.06</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3.8678304239401498</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7.75</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3.2763532763532766</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6.98</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JULY 2023</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45138</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6.7924336399929397E-2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5.2014865402973787E-2</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1.590947099695561E-2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1.7709238777488034E-2</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6.0987464957892321</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7.719629529718551E-2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8.1799999999999998E-2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4</v>
      </c>
      <c r="T221" s="577">
        <v>85</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44</v>
      </c>
      <c r="T222" s="579">
        <f>+T274</f>
        <v>7388</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+R296</f>
        <v>0</v>
      </c>
      <c r="T223" s="579">
        <f>+T296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378</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'April 23'!T228+'July 23'!T227</f>
        <v>9398</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6</v>
      </c>
      <c r="T234" s="579">
        <v>720</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4.58</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2775</v>
      </c>
      <c r="S241" s="588">
        <f t="shared" ref="S241:S248" si="2">R241/$R$250</f>
        <v>0.96387634595345606</v>
      </c>
      <c r="T241" s="589">
        <f t="shared" ref="T241:T248" si="3">+T253+T265+T287</f>
        <v>351518</v>
      </c>
      <c r="U241" s="588">
        <f t="shared" ref="U241:U248" si="4">T241/$T$250</f>
        <v>0.95146298551901476</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54</v>
      </c>
      <c r="S242" s="593">
        <f t="shared" si="2"/>
        <v>1.8756512678013201E-2</v>
      </c>
      <c r="T242" s="563">
        <f t="shared" si="3"/>
        <v>10352</v>
      </c>
      <c r="U242" s="593">
        <f t="shared" si="4"/>
        <v>2.8020029773988361E-2</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30</v>
      </c>
      <c r="S243" s="593">
        <f t="shared" si="2"/>
        <v>1.0420284821118444E-2</v>
      </c>
      <c r="T243" s="563">
        <f t="shared" si="3"/>
        <v>3681</v>
      </c>
      <c r="U243" s="593">
        <f t="shared" si="4"/>
        <v>9.9634591961023141E-3</v>
      </c>
      <c r="V243" s="582"/>
      <c r="W243" s="583"/>
      <c r="X243" s="682"/>
      <c r="Y243" s="680"/>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6</v>
      </c>
      <c r="S244" s="593">
        <f t="shared" si="2"/>
        <v>2.0840569642236887E-3</v>
      </c>
      <c r="T244" s="563">
        <f t="shared" si="3"/>
        <v>585</v>
      </c>
      <c r="U244" s="593">
        <f t="shared" si="4"/>
        <v>1.5834348355663825E-3</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1</v>
      </c>
      <c r="S245" s="593">
        <f t="shared" si="2"/>
        <v>3.4734282737061478E-4</v>
      </c>
      <c r="T245" s="563">
        <f t="shared" si="3"/>
        <v>349</v>
      </c>
      <c r="U245" s="593">
        <f t="shared" si="4"/>
        <v>9.446474489105427E-4</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5</v>
      </c>
      <c r="S246" s="593">
        <f t="shared" si="2"/>
        <v>1.7367141368530739E-3</v>
      </c>
      <c r="T246" s="563">
        <f t="shared" si="3"/>
        <v>599</v>
      </c>
      <c r="U246" s="593">
        <f t="shared" si="4"/>
        <v>1.6213290025713898E-3</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8</v>
      </c>
      <c r="S247" s="593">
        <f t="shared" si="2"/>
        <v>2.7787426189649182E-3</v>
      </c>
      <c r="T247" s="563">
        <f t="shared" si="3"/>
        <v>2366</v>
      </c>
      <c r="U247" s="593">
        <f t="shared" si="4"/>
        <v>6.4041142238462582E-3</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0</v>
      </c>
      <c r="S248" s="593">
        <f t="shared" si="2"/>
        <v>0</v>
      </c>
      <c r="T248" s="563">
        <f t="shared" si="3"/>
        <v>0</v>
      </c>
      <c r="U248" s="593">
        <f t="shared" si="4"/>
        <v>0</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2879</v>
      </c>
      <c r="S250" s="593">
        <f>SUM(S241:S249)</f>
        <v>0.99999999999999989</v>
      </c>
      <c r="T250" s="563">
        <f>SUM(T241:T249)</f>
        <v>369450</v>
      </c>
      <c r="U250" s="593">
        <f>SUM(U241:U249)</f>
        <v>0.99999999999999989</v>
      </c>
      <c r="V250" s="522"/>
      <c r="W250" s="683"/>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2747</v>
      </c>
      <c r="S253" s="595">
        <f t="shared" ref="S253:S260" si="5">R253/$R$262</f>
        <v>0.96895943562610232</v>
      </c>
      <c r="T253" s="596">
        <v>348095</v>
      </c>
      <c r="U253" s="595">
        <f t="shared" ref="U253:U260" si="6">T253/$T$262</f>
        <v>0.96142373405659809</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52</v>
      </c>
      <c r="S254" s="593">
        <f t="shared" si="5"/>
        <v>1.8342151675485009E-2</v>
      </c>
      <c r="T254" s="563">
        <v>9798</v>
      </c>
      <c r="U254" s="593">
        <f t="shared" si="6"/>
        <v>2.7061663472002034E-2</v>
      </c>
      <c r="V254" s="582"/>
      <c r="W254" s="583"/>
      <c r="X254" s="681"/>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28</v>
      </c>
      <c r="S255" s="593">
        <f t="shared" si="5"/>
        <v>9.876543209876543E-3</v>
      </c>
      <c r="T255" s="563">
        <v>3327</v>
      </c>
      <c r="U255" s="593">
        <f t="shared" si="6"/>
        <v>9.189033922366887E-3</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3</v>
      </c>
      <c r="S256" s="593">
        <f t="shared" si="5"/>
        <v>1.0582010582010583E-3</v>
      </c>
      <c r="T256" s="563">
        <v>262</v>
      </c>
      <c r="U256" s="593">
        <f t="shared" si="6"/>
        <v>7.2363296893902145E-4</v>
      </c>
      <c r="V256" s="582"/>
      <c r="W256" s="583"/>
      <c r="X256" s="512"/>
      <c r="Y256" s="570"/>
    </row>
    <row r="257" spans="1:26"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1</v>
      </c>
      <c r="S257" s="593">
        <f t="shared" si="5"/>
        <v>3.5273368606701942E-4</v>
      </c>
      <c r="T257" s="563">
        <v>349</v>
      </c>
      <c r="U257" s="593">
        <f t="shared" si="6"/>
        <v>9.6392330595312405E-4</v>
      </c>
      <c r="V257" s="582"/>
      <c r="W257" s="583"/>
      <c r="X257" s="512"/>
    </row>
    <row r="258" spans="1:26"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2</v>
      </c>
      <c r="S258" s="593">
        <f t="shared" si="5"/>
        <v>7.0546737213403885E-4</v>
      </c>
      <c r="T258" s="563">
        <v>170</v>
      </c>
      <c r="U258" s="593">
        <f t="shared" si="6"/>
        <v>4.6953284244134985E-4</v>
      </c>
      <c r="V258" s="582"/>
      <c r="W258" s="583"/>
      <c r="X258" s="512"/>
      <c r="Y258" s="570"/>
    </row>
    <row r="259" spans="1:26"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2</v>
      </c>
      <c r="S259" s="593">
        <f t="shared" si="5"/>
        <v>7.0546737213403885E-4</v>
      </c>
      <c r="T259" s="563">
        <v>61</v>
      </c>
      <c r="U259" s="593">
        <f t="shared" si="6"/>
        <v>1.6847943169954316E-4</v>
      </c>
      <c r="V259" s="582"/>
      <c r="W259" s="583"/>
      <c r="X259" s="512"/>
    </row>
    <row r="260" spans="1:26"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0</v>
      </c>
      <c r="S260" s="593">
        <f t="shared" si="5"/>
        <v>0</v>
      </c>
      <c r="T260" s="563">
        <v>0</v>
      </c>
      <c r="U260" s="593">
        <f t="shared" si="6"/>
        <v>0</v>
      </c>
      <c r="V260" s="582"/>
      <c r="W260" s="583"/>
      <c r="X260" s="512"/>
      <c r="Y260" s="570"/>
    </row>
    <row r="261" spans="1:26"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6"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2835</v>
      </c>
      <c r="S262" s="593">
        <f>SUM(S253:S261)</f>
        <v>1</v>
      </c>
      <c r="T262" s="563">
        <f>SUM(T253:T261)</f>
        <v>362062</v>
      </c>
      <c r="U262" s="593">
        <f>SUM(U253:U261)</f>
        <v>1</v>
      </c>
      <c r="V262" s="522"/>
      <c r="W262" s="524"/>
      <c r="X262" s="512"/>
      <c r="Y262" s="570"/>
      <c r="Z262" s="570"/>
    </row>
    <row r="263" spans="1:26"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6"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6"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28</v>
      </c>
      <c r="S265" s="595">
        <f t="shared" ref="S265:S272" si="7">R265/$R$274</f>
        <v>0.63636363636363635</v>
      </c>
      <c r="T265" s="596">
        <v>3423</v>
      </c>
      <c r="U265" s="595">
        <f t="shared" ref="U265:U272" si="8">T265/$T$274</f>
        <v>0.46331889550622629</v>
      </c>
      <c r="V265" s="552"/>
      <c r="W265" s="552"/>
      <c r="X265" s="512"/>
    </row>
    <row r="266" spans="1:26"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2</v>
      </c>
      <c r="S266" s="593">
        <f t="shared" si="7"/>
        <v>4.5454545454545456E-2</v>
      </c>
      <c r="T266" s="563">
        <v>554</v>
      </c>
      <c r="U266" s="593">
        <f t="shared" si="8"/>
        <v>7.4986464537087169E-2</v>
      </c>
      <c r="V266" s="522"/>
      <c r="W266" s="524"/>
      <c r="X266" s="512"/>
    </row>
    <row r="267" spans="1:26"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2</v>
      </c>
      <c r="S267" s="593">
        <f t="shared" si="7"/>
        <v>4.5454545454545456E-2</v>
      </c>
      <c r="T267" s="563">
        <v>354</v>
      </c>
      <c r="U267" s="593">
        <f t="shared" si="8"/>
        <v>4.7915538711423927E-2</v>
      </c>
      <c r="V267" s="522"/>
      <c r="W267" s="524"/>
      <c r="X267" s="512"/>
    </row>
    <row r="268" spans="1:26"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3</v>
      </c>
      <c r="S268" s="593">
        <f t="shared" si="7"/>
        <v>6.8181818181818177E-2</v>
      </c>
      <c r="T268" s="563">
        <v>323</v>
      </c>
      <c r="U268" s="593">
        <f t="shared" si="8"/>
        <v>4.3719545208446127E-2</v>
      </c>
      <c r="V268" s="522"/>
      <c r="W268" s="524"/>
      <c r="X268" s="512"/>
    </row>
    <row r="269" spans="1:26"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0</v>
      </c>
      <c r="S269" s="593">
        <f t="shared" si="7"/>
        <v>0</v>
      </c>
      <c r="T269" s="563">
        <v>0</v>
      </c>
      <c r="U269" s="593">
        <f t="shared" si="8"/>
        <v>0</v>
      </c>
      <c r="V269" s="522"/>
      <c r="W269" s="524"/>
      <c r="X269" s="512"/>
    </row>
    <row r="270" spans="1:26"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3</v>
      </c>
      <c r="S270" s="593">
        <f t="shared" si="7"/>
        <v>6.8181818181818177E-2</v>
      </c>
      <c r="T270" s="563">
        <v>429</v>
      </c>
      <c r="U270" s="593">
        <f t="shared" si="8"/>
        <v>5.8067135896047645E-2</v>
      </c>
      <c r="V270" s="522"/>
      <c r="W270" s="524"/>
      <c r="X270" s="512"/>
    </row>
    <row r="271" spans="1:26"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6</v>
      </c>
      <c r="S271" s="593">
        <f t="shared" si="7"/>
        <v>0.13636363636363635</v>
      </c>
      <c r="T271" s="563">
        <v>2305</v>
      </c>
      <c r="U271" s="593">
        <f t="shared" si="8"/>
        <v>0.31199242014076883</v>
      </c>
      <c r="V271" s="522"/>
      <c r="W271" s="524"/>
      <c r="X271" s="512"/>
    </row>
    <row r="272" spans="1:26"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0</v>
      </c>
      <c r="S272" s="593">
        <f t="shared" si="7"/>
        <v>0</v>
      </c>
      <c r="T272" s="563">
        <v>0</v>
      </c>
      <c r="U272" s="593">
        <f t="shared" si="8"/>
        <v>0</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44</v>
      </c>
      <c r="S274" s="593">
        <f>SUM(S265:S273)</f>
        <v>0.99999999999999989</v>
      </c>
      <c r="T274" s="563">
        <f>SUM(T265:T273)</f>
        <v>7388</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21</v>
      </c>
      <c r="S277" s="593">
        <f>R277/R284</f>
        <v>0.47727272727272729</v>
      </c>
      <c r="T277" s="563">
        <v>2360</v>
      </c>
      <c r="U277" s="593">
        <f>T277/T284</f>
        <v>0.3194369247428262</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0</v>
      </c>
      <c r="S278" s="593">
        <f>R278/R284</f>
        <v>0</v>
      </c>
      <c r="T278" s="563">
        <v>0</v>
      </c>
      <c r="U278" s="593">
        <f>T278/T284</f>
        <v>0</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7</v>
      </c>
      <c r="S279" s="593">
        <f>R279/R284</f>
        <v>0.15909090909090909</v>
      </c>
      <c r="T279" s="563">
        <v>2363</v>
      </c>
      <c r="U279" s="593">
        <f>T279/T284</f>
        <v>0.31984298863021116</v>
      </c>
      <c r="V279" s="522"/>
      <c r="W279" s="524"/>
      <c r="X279" s="512"/>
    </row>
    <row r="280" spans="1:24" s="513" customFormat="1" x14ac:dyDescent="0.3">
      <c r="A280" s="521"/>
      <c r="B280" s="522" t="s">
        <v>413</v>
      </c>
      <c r="C280" s="522"/>
      <c r="D280" s="522"/>
      <c r="E280" s="522"/>
      <c r="F280" s="522"/>
      <c r="G280" s="522"/>
      <c r="H280" s="594"/>
      <c r="I280" s="594"/>
      <c r="J280" s="594"/>
      <c r="K280" s="594"/>
      <c r="L280" s="594"/>
      <c r="M280" s="594"/>
      <c r="N280" s="594"/>
      <c r="O280" s="594"/>
      <c r="P280" s="594"/>
      <c r="Q280" s="594"/>
      <c r="R280" s="562">
        <v>11</v>
      </c>
      <c r="S280" s="593">
        <f>R280/R284</f>
        <v>0.25</v>
      </c>
      <c r="T280" s="563">
        <v>1661</v>
      </c>
      <c r="U280" s="593">
        <f>T280/T284</f>
        <v>0.22482403898213318</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2</v>
      </c>
      <c r="S281" s="593">
        <f>R281/R284</f>
        <v>4.5454545454545456E-2</v>
      </c>
      <c r="T281" s="563">
        <v>381</v>
      </c>
      <c r="U281" s="593">
        <f>T281/T284</f>
        <v>5.157011369788847E-2</v>
      </c>
      <c r="V281" s="522"/>
      <c r="W281" s="524"/>
      <c r="X281" s="512"/>
    </row>
    <row r="282" spans="1:24" s="513" customFormat="1" x14ac:dyDescent="0.3">
      <c r="A282" s="521"/>
      <c r="B282" s="424" t="s">
        <v>440</v>
      </c>
      <c r="C282" s="522"/>
      <c r="D282" s="522"/>
      <c r="E282" s="522"/>
      <c r="F282" s="522"/>
      <c r="G282" s="522"/>
      <c r="H282" s="594"/>
      <c r="I282" s="594"/>
      <c r="J282" s="594"/>
      <c r="K282" s="594"/>
      <c r="L282" s="594"/>
      <c r="M282" s="594"/>
      <c r="N282" s="594"/>
      <c r="O282" s="594"/>
      <c r="P282" s="594"/>
      <c r="Q282" s="594"/>
      <c r="R282" s="562">
        <v>3</v>
      </c>
      <c r="S282" s="593">
        <f>R282/R284</f>
        <v>6.8181818181818177E-2</v>
      </c>
      <c r="T282" s="563">
        <v>623</v>
      </c>
      <c r="U282" s="593">
        <f>T282/T284</f>
        <v>8.432593394694099E-2</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44</v>
      </c>
      <c r="S284" s="593">
        <f>SUM(S277:S282)</f>
        <v>1</v>
      </c>
      <c r="T284" s="563">
        <f>SUM(T277:T282)</f>
        <v>7388</v>
      </c>
      <c r="U284" s="593">
        <f>SUM(U277:U283)</f>
        <v>1</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0</v>
      </c>
      <c r="S296" s="593">
        <f>SUM(S287:S295)</f>
        <v>0</v>
      </c>
      <c r="T296" s="563">
        <f>SUM(T287:T294)</f>
        <v>0</v>
      </c>
      <c r="U296" s="593">
        <f>SUM(U287:U295)</f>
        <v>0</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2879</v>
      </c>
      <c r="S298" s="593"/>
      <c r="T298" s="599">
        <f>+T296+T274+T262</f>
        <v>369450</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509"/>
      <c r="B300" s="510"/>
      <c r="C300" s="510"/>
      <c r="D300" s="510"/>
      <c r="E300" s="510"/>
      <c r="F300" s="510"/>
      <c r="G300" s="510"/>
      <c r="H300" s="600"/>
      <c r="I300" s="600"/>
      <c r="J300" s="600"/>
      <c r="K300" s="600"/>
      <c r="L300" s="600"/>
      <c r="M300" s="600"/>
      <c r="N300" s="600"/>
      <c r="O300" s="600"/>
      <c r="P300" s="600"/>
      <c r="Q300" s="600"/>
      <c r="R300" s="600"/>
      <c r="S300" s="600"/>
      <c r="T300" s="601"/>
      <c r="U300" s="600"/>
      <c r="V300" s="510"/>
      <c r="W300" s="510"/>
      <c r="X300" s="512"/>
    </row>
    <row r="301" spans="1:24" s="513" customFormat="1" x14ac:dyDescent="0.3">
      <c r="A301" s="509"/>
      <c r="B301" s="508" t="s">
        <v>93</v>
      </c>
      <c r="C301" s="510"/>
      <c r="D301" s="510"/>
      <c r="E301" s="510"/>
      <c r="F301" s="516" t="s">
        <v>99</v>
      </c>
      <c r="G301" s="510"/>
      <c r="H301" s="508" t="s">
        <v>101</v>
      </c>
      <c r="I301" s="510"/>
      <c r="J301" s="510"/>
      <c r="K301" s="510"/>
      <c r="L301" s="510"/>
      <c r="M301" s="510"/>
      <c r="N301" s="510"/>
      <c r="O301" s="510"/>
      <c r="P301" s="510"/>
      <c r="Q301" s="510"/>
      <c r="R301" s="510"/>
      <c r="S301" s="510"/>
      <c r="T301" s="510"/>
      <c r="U301" s="510"/>
      <c r="V301" s="510"/>
      <c r="W301" s="510"/>
      <c r="X301" s="512"/>
    </row>
    <row r="302" spans="1:24" s="513" customFormat="1" x14ac:dyDescent="0.3">
      <c r="A302" s="509"/>
      <c r="B302" s="508" t="s">
        <v>327</v>
      </c>
      <c r="C302" s="508"/>
      <c r="D302" s="508"/>
      <c r="E302" s="508"/>
      <c r="F302" s="602" t="s">
        <v>278</v>
      </c>
      <c r="G302" s="508"/>
      <c r="H302" s="402" t="s">
        <v>350</v>
      </c>
      <c r="I302" s="510"/>
      <c r="J302" s="510"/>
      <c r="K302" s="510"/>
      <c r="L302" s="510"/>
      <c r="M302" s="510"/>
      <c r="N302" s="510"/>
      <c r="O302" s="510"/>
      <c r="P302" s="510"/>
      <c r="Q302" s="510"/>
      <c r="R302" s="510"/>
      <c r="S302" s="510"/>
      <c r="T302" s="510"/>
      <c r="U302" s="510"/>
      <c r="V302" s="510"/>
      <c r="W302" s="510"/>
      <c r="X302" s="512"/>
    </row>
    <row r="303" spans="1:24" s="513" customFormat="1" x14ac:dyDescent="0.3">
      <c r="A303" s="509"/>
      <c r="B303" s="508" t="s">
        <v>328</v>
      </c>
      <c r="C303" s="508"/>
      <c r="D303" s="508"/>
      <c r="E303" s="508"/>
      <c r="F303" s="602" t="s">
        <v>152</v>
      </c>
      <c r="G303" s="508"/>
      <c r="H303" s="402" t="s">
        <v>351</v>
      </c>
      <c r="I303" s="510"/>
      <c r="J303" s="510"/>
      <c r="K303" s="510"/>
      <c r="L303" s="510"/>
      <c r="M303" s="510"/>
      <c r="N303" s="510"/>
      <c r="O303" s="510"/>
      <c r="P303" s="510"/>
      <c r="Q303" s="510"/>
      <c r="R303" s="510"/>
      <c r="S303" s="510"/>
      <c r="T303" s="510"/>
      <c r="U303" s="510"/>
      <c r="V303" s="510"/>
      <c r="W303" s="510"/>
      <c r="X303" s="512"/>
    </row>
    <row r="304" spans="1:24" s="513" customFormat="1" x14ac:dyDescent="0.3">
      <c r="A304" s="509"/>
      <c r="B304" s="508"/>
      <c r="C304" s="508"/>
      <c r="D304" s="508"/>
      <c r="E304" s="508"/>
      <c r="F304" s="602"/>
      <c r="G304" s="508"/>
      <c r="H304" s="402"/>
      <c r="I304" s="510"/>
      <c r="J304" s="510"/>
      <c r="K304" s="510"/>
      <c r="L304" s="510"/>
      <c r="M304" s="510"/>
      <c r="N304" s="510"/>
      <c r="O304" s="510"/>
      <c r="P304" s="510"/>
      <c r="Q304" s="510"/>
      <c r="R304" s="510"/>
      <c r="S304" s="510"/>
      <c r="T304" s="510"/>
      <c r="U304" s="510"/>
      <c r="V304" s="510"/>
      <c r="W304" s="510"/>
      <c r="X304" s="512"/>
    </row>
    <row r="305" spans="1:24" s="513" customFormat="1" ht="18" x14ac:dyDescent="0.35">
      <c r="A305" s="509"/>
      <c r="B305" s="647" t="s">
        <v>174</v>
      </c>
      <c r="C305" s="508"/>
      <c r="D305" s="508"/>
      <c r="E305" s="508"/>
      <c r="F305" s="602"/>
      <c r="G305" s="508"/>
      <c r="H305" s="402"/>
      <c r="I305" s="510"/>
      <c r="J305" s="510"/>
      <c r="K305" s="510"/>
      <c r="L305" s="552"/>
      <c r="M305" s="552"/>
      <c r="N305" s="552"/>
      <c r="O305" s="552"/>
      <c r="P305" s="648" t="s">
        <v>349</v>
      </c>
      <c r="Q305" s="552"/>
      <c r="R305" s="552"/>
      <c r="S305" s="552"/>
      <c r="T305" s="510"/>
      <c r="U305" s="510"/>
      <c r="V305" s="510"/>
      <c r="W305" s="510"/>
      <c r="X305" s="512"/>
    </row>
    <row r="306" spans="1:24" s="513" customFormat="1" x14ac:dyDescent="0.3">
      <c r="A306" s="509"/>
      <c r="B306" s="508"/>
      <c r="C306" s="508"/>
      <c r="D306" s="508"/>
      <c r="E306" s="508"/>
      <c r="F306" s="508"/>
      <c r="G306" s="508"/>
      <c r="H306" s="510"/>
      <c r="I306" s="510"/>
      <c r="J306" s="510"/>
      <c r="K306" s="510"/>
      <c r="L306" s="510"/>
      <c r="M306" s="510"/>
      <c r="N306" s="510"/>
      <c r="O306" s="510"/>
      <c r="P306" s="510"/>
      <c r="Q306" s="510"/>
      <c r="R306" s="510"/>
      <c r="S306" s="510"/>
      <c r="T306" s="510"/>
      <c r="U306" s="510"/>
      <c r="V306" s="510"/>
      <c r="W306" s="510"/>
      <c r="X306" s="512"/>
    </row>
    <row r="307" spans="1:24" s="513" customFormat="1" ht="18.600000000000001" thickBot="1" x14ac:dyDescent="0.4">
      <c r="A307" s="509"/>
      <c r="B307" s="603" t="str">
        <f>B202</f>
        <v>PM12 INVESTOR REPORT QUARTER ENDING JULY 2023</v>
      </c>
      <c r="C307" s="508"/>
      <c r="D307" s="508"/>
      <c r="E307" s="508"/>
      <c r="F307" s="508"/>
      <c r="G307" s="508"/>
      <c r="H307" s="510"/>
      <c r="I307" s="510"/>
      <c r="J307" s="510"/>
      <c r="K307" s="510"/>
      <c r="L307" s="510"/>
      <c r="M307" s="510"/>
      <c r="N307" s="510"/>
      <c r="O307" s="510"/>
      <c r="P307" s="510"/>
      <c r="Q307" s="510"/>
      <c r="R307" s="510"/>
      <c r="S307" s="510"/>
      <c r="T307" s="510"/>
      <c r="U307" s="510"/>
      <c r="V307" s="510"/>
      <c r="W307" s="510"/>
      <c r="X307" s="512"/>
    </row>
    <row r="308" spans="1:24" x14ac:dyDescent="0.3">
      <c r="A308" s="492"/>
      <c r="B308" s="492"/>
      <c r="C308" s="492"/>
      <c r="D308" s="492"/>
      <c r="E308" s="492"/>
      <c r="F308" s="492"/>
      <c r="G308" s="492"/>
      <c r="H308" s="492"/>
      <c r="I308" s="492"/>
      <c r="J308" s="492"/>
      <c r="K308" s="492"/>
      <c r="L308" s="492"/>
      <c r="M308" s="492"/>
      <c r="N308" s="492"/>
      <c r="O308" s="492"/>
      <c r="P308" s="492"/>
      <c r="Q308" s="492"/>
      <c r="R308" s="492"/>
      <c r="S308" s="492"/>
      <c r="T308" s="492"/>
      <c r="U308" s="492"/>
      <c r="V308" s="492"/>
      <c r="W308" s="492"/>
    </row>
    <row r="309" spans="1:24" x14ac:dyDescent="0.3">
      <c r="B309" s="406" t="s">
        <v>384</v>
      </c>
    </row>
    <row r="310" spans="1:24" x14ac:dyDescent="0.3">
      <c r="B310" s="623" t="s">
        <v>378</v>
      </c>
    </row>
    <row r="312" spans="1:24" x14ac:dyDescent="0.3">
      <c r="B312" s="649" t="s">
        <v>432</v>
      </c>
    </row>
    <row r="313" spans="1:24" x14ac:dyDescent="0.3">
      <c r="B313" s="406" t="s">
        <v>433</v>
      </c>
    </row>
    <row r="314" spans="1:24" x14ac:dyDescent="0.3">
      <c r="B314" s="677" t="s">
        <v>430</v>
      </c>
    </row>
    <row r="315" spans="1:24" x14ac:dyDescent="0.3">
      <c r="B315" s="406" t="s">
        <v>428</v>
      </c>
    </row>
    <row r="316" spans="1:24" x14ac:dyDescent="0.3">
      <c r="B316" s="406" t="s">
        <v>436</v>
      </c>
    </row>
    <row r="317" spans="1:24" x14ac:dyDescent="0.3">
      <c r="B317" s="406" t="s">
        <v>431</v>
      </c>
    </row>
    <row r="318" spans="1:24" x14ac:dyDescent="0.3">
      <c r="B318" s="677" t="s">
        <v>429</v>
      </c>
    </row>
    <row r="319" spans="1:24" x14ac:dyDescent="0.3">
      <c r="B319" s="677"/>
    </row>
    <row r="320" spans="1:24" x14ac:dyDescent="0.3">
      <c r="B320" s="678" t="s">
        <v>453</v>
      </c>
    </row>
    <row r="322" spans="2:2" x14ac:dyDescent="0.3">
      <c r="B322" s="649" t="s">
        <v>421</v>
      </c>
    </row>
    <row r="323" spans="2:2" x14ac:dyDescent="0.3">
      <c r="B323" s="406" t="s">
        <v>423</v>
      </c>
    </row>
    <row r="324" spans="2:2" x14ac:dyDescent="0.3">
      <c r="B324" s="676" t="s">
        <v>422</v>
      </c>
    </row>
    <row r="326" spans="2:2" x14ac:dyDescent="0.3">
      <c r="B326" s="617"/>
    </row>
  </sheetData>
  <hyperlinks>
    <hyperlink ref="I9" r:id="rId1" xr:uid="{96CE4090-1A28-419C-8D56-62D440BC62AD}"/>
    <hyperlink ref="P238" r:id="rId2" xr:uid="{3639E9A8-5E2E-4065-BD8B-0698AE8B471A}"/>
    <hyperlink ref="B310" r:id="rId3" xr:uid="{4BF787E0-2EB9-4CD3-B90C-05C471E39ED4}"/>
    <hyperlink ref="P305" r:id="rId4" xr:uid="{1775644B-EE46-4EE9-974D-7EA4037466C2}"/>
    <hyperlink ref="B324" r:id="rId5" display="https://investorreporting.paragonbankinggroup.co.uk/bondinvestor_viewer/resources/bondinvestor/pdf/investornews/2021/libor-mortgages-transition-july-19" xr:uid="{23101AB8-4724-472F-8240-3B56D108D16B}"/>
    <hyperlink ref="B318" r:id="rId6" display="https://protect-eu.mimecast.com/s/wcu_C4934SBRnRxHOTIMr?domain=londonstockexchange.com" xr:uid="{25B3921F-93EB-4C8E-AB34-B97ED2C6DBA1}"/>
    <hyperlink ref="B314" r:id="rId7" display="https://protect-eu.mimecast.com/s/GQAHC60N2crGn7VHp3gPx?domain=londonstockexchange.com" xr:uid="{C002D539-C003-454B-A78B-6D07CDB5F862}"/>
  </hyperlinks>
  <printOptions horizontalCentered="1" verticalCentered="1"/>
  <pageMargins left="0.19685039370078741" right="0.19685039370078741" top="0.27559055118110237" bottom="0.27559055118110237" header="0" footer="0"/>
  <pageSetup scale="37" orientation="landscape" r:id="rId8"/>
  <headerFooter alignWithMargins="0"/>
  <rowBreaks count="3" manualBreakCount="3">
    <brk id="64" max="23" man="1"/>
    <brk id="141" max="14" man="1"/>
    <brk id="202" max="14" man="1"/>
  </rowBreaks>
  <drawing r:id="rId9"/>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E69A7-9828-4684-9D27-22CF70AB054D}">
  <sheetPr>
    <tabColor rgb="FF89CB31"/>
  </sheetPr>
  <dimension ref="A1:AA327"/>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0.70365841336363666</v>
      </c>
      <c r="T16" s="516" t="s">
        <v>145</v>
      </c>
      <c r="U16" s="515">
        <v>0.29634158663636329</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45252</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169590.16316190001</v>
      </c>
      <c r="E32" s="529"/>
      <c r="F32" s="530">
        <f>F31*F38</f>
        <v>30164.93</v>
      </c>
      <c r="G32" s="530"/>
      <c r="H32" s="534">
        <f>H31*H38</f>
        <v>50968.33</v>
      </c>
      <c r="I32" s="534"/>
      <c r="J32" s="533">
        <f>J31*J38</f>
        <v>64697.547700000003</v>
      </c>
      <c r="K32" s="530"/>
      <c r="L32" s="530">
        <f>L31*L38</f>
        <v>12299.789999999999</v>
      </c>
      <c r="M32" s="530"/>
      <c r="N32" s="534">
        <f>N31*N38</f>
        <v>61990.941599999998</v>
      </c>
      <c r="O32" s="530"/>
      <c r="P32" s="530">
        <f>P31*P38</f>
        <v>8363.8572000000004</v>
      </c>
      <c r="Q32" s="530"/>
      <c r="R32" s="534">
        <f>R31*R38</f>
        <v>52151.109599999996</v>
      </c>
      <c r="S32" s="530"/>
      <c r="T32" s="530"/>
      <c r="U32" s="529"/>
      <c r="V32" s="530"/>
      <c r="W32" s="531"/>
      <c r="X32" s="512"/>
    </row>
    <row r="33" spans="1:25" s="513" customFormat="1" x14ac:dyDescent="0.3">
      <c r="A33" s="521"/>
      <c r="B33" s="527" t="s">
        <v>139</v>
      </c>
      <c r="C33" s="529"/>
      <c r="D33" s="619">
        <f>D34*D37</f>
        <v>160212.15135900001</v>
      </c>
      <c r="E33" s="532"/>
      <c r="F33" s="535">
        <f>F37*F31</f>
        <v>28496.907999999999</v>
      </c>
      <c r="G33" s="535"/>
      <c r="H33" s="537">
        <f>H31*H37</f>
        <v>48149.947999999997</v>
      </c>
      <c r="I33" s="537"/>
      <c r="J33" s="536">
        <f>J37*J31</f>
        <v>61119.897000000004</v>
      </c>
      <c r="K33" s="535"/>
      <c r="L33" s="535">
        <f>L37*L31</f>
        <v>11619.640000000001</v>
      </c>
      <c r="M33" s="535"/>
      <c r="N33" s="537">
        <f>N37*N31</f>
        <v>58562.9856</v>
      </c>
      <c r="O33" s="535"/>
      <c r="P33" s="535">
        <f>P37*P31</f>
        <v>7901.3552</v>
      </c>
      <c r="Q33" s="535"/>
      <c r="R33" s="537">
        <f>R37*R31</f>
        <v>49267.2736</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169590.16316190001</v>
      </c>
      <c r="E35" s="529"/>
      <c r="F35" s="530">
        <f>F34*F38</f>
        <v>30164.93</v>
      </c>
      <c r="G35" s="530"/>
      <c r="H35" s="530">
        <f>H34*H38</f>
        <v>35150.672844000001</v>
      </c>
      <c r="I35" s="530"/>
      <c r="J35" s="530">
        <f>J34*J38</f>
        <v>35161.764975400001</v>
      </c>
      <c r="K35" s="530"/>
      <c r="L35" s="530">
        <f>L34*L38</f>
        <v>12299.789999999999</v>
      </c>
      <c r="M35" s="530"/>
      <c r="N35" s="530">
        <f>N34*N38</f>
        <v>42752.594065199999</v>
      </c>
      <c r="O35" s="530"/>
      <c r="P35" s="530">
        <f>P34*P38</f>
        <v>8363.8572000000004</v>
      </c>
      <c r="Q35" s="530"/>
      <c r="R35" s="530">
        <f>R34*R38</f>
        <v>35966.061934799996</v>
      </c>
      <c r="S35" s="530"/>
      <c r="T35" s="530"/>
      <c r="U35" s="529"/>
      <c r="V35" s="530">
        <f>SUM(C35:R35)</f>
        <v>369449.83418130002</v>
      </c>
      <c r="W35" s="531"/>
      <c r="X35" s="512"/>
    </row>
    <row r="36" spans="1:25" s="513" customFormat="1" x14ac:dyDescent="0.3">
      <c r="A36" s="525"/>
      <c r="B36" s="527" t="s">
        <v>295</v>
      </c>
      <c r="C36" s="532"/>
      <c r="D36" s="535">
        <f>D34*D37</f>
        <v>160212.15135900001</v>
      </c>
      <c r="E36" s="532"/>
      <c r="F36" s="535">
        <f>F34*F37</f>
        <v>28496.907999999999</v>
      </c>
      <c r="G36" s="535"/>
      <c r="H36" s="535">
        <f>H34*H37</f>
        <v>33206.9555664</v>
      </c>
      <c r="I36" s="535"/>
      <c r="J36" s="535">
        <f>J34*J37</f>
        <v>33217.386594000003</v>
      </c>
      <c r="K36" s="535"/>
      <c r="L36" s="535">
        <f>L34*L37</f>
        <v>11619.640000000001</v>
      </c>
      <c r="M36" s="535"/>
      <c r="N36" s="535">
        <f>N34*N37</f>
        <v>40388.474283200005</v>
      </c>
      <c r="O36" s="535"/>
      <c r="P36" s="535">
        <f>P34*P37</f>
        <v>7901.3552</v>
      </c>
      <c r="Q36" s="535"/>
      <c r="R36" s="535">
        <f>R34*R37</f>
        <v>33977.221716799999</v>
      </c>
      <c r="S36" s="538"/>
      <c r="T36" s="538"/>
      <c r="U36" s="529"/>
      <c r="V36" s="535">
        <f>SUM(C36:R36)</f>
        <v>349020.09271940001</v>
      </c>
      <c r="W36" s="531"/>
      <c r="X36" s="512"/>
      <c r="Y36" s="621"/>
    </row>
    <row r="37" spans="1:25" x14ac:dyDescent="0.3">
      <c r="A37" s="420"/>
      <c r="B37" s="493" t="s">
        <v>135</v>
      </c>
      <c r="C37" s="494"/>
      <c r="D37" s="495">
        <v>0.19652700000000001</v>
      </c>
      <c r="E37" s="496"/>
      <c r="F37" s="495">
        <v>0.19653039999999999</v>
      </c>
      <c r="G37" s="495"/>
      <c r="H37" s="495">
        <v>0.19653039999999999</v>
      </c>
      <c r="I37" s="495"/>
      <c r="J37" s="495">
        <v>0.19652700000000001</v>
      </c>
      <c r="K37" s="495"/>
      <c r="L37" s="495">
        <v>0.46478560000000002</v>
      </c>
      <c r="M37" s="495"/>
      <c r="N37" s="495">
        <v>0.46478560000000002</v>
      </c>
      <c r="O37" s="495"/>
      <c r="P37" s="495">
        <v>0.46478560000000002</v>
      </c>
      <c r="Q37" s="495"/>
      <c r="R37" s="495">
        <v>0.46478560000000002</v>
      </c>
      <c r="S37" s="425"/>
      <c r="T37" s="425"/>
      <c r="U37" s="424"/>
      <c r="V37" s="424"/>
      <c r="W37" s="426"/>
      <c r="X37" s="405"/>
    </row>
    <row r="38" spans="1:25" x14ac:dyDescent="0.3">
      <c r="A38" s="420"/>
      <c r="B38" s="493" t="s">
        <v>136</v>
      </c>
      <c r="C38" s="494"/>
      <c r="D38" s="495">
        <v>0.20803070000000001</v>
      </c>
      <c r="E38" s="496"/>
      <c r="F38" s="495">
        <v>0.208034</v>
      </c>
      <c r="G38" s="495"/>
      <c r="H38" s="495">
        <v>0.208034</v>
      </c>
      <c r="I38" s="495"/>
      <c r="J38" s="495">
        <v>0.20803070000000001</v>
      </c>
      <c r="K38" s="495"/>
      <c r="L38" s="495">
        <v>0.49199159999999997</v>
      </c>
      <c r="M38" s="495"/>
      <c r="N38" s="495">
        <v>0.49199159999999997</v>
      </c>
      <c r="O38" s="495"/>
      <c r="P38" s="495">
        <v>0.49199159999999997</v>
      </c>
      <c r="Q38" s="495"/>
      <c r="R38" s="495">
        <v>0.49199159999999997</v>
      </c>
      <c r="S38" s="427"/>
      <c r="T38" s="428"/>
      <c r="U38" s="424"/>
      <c r="V38" s="427"/>
      <c r="W38" s="426"/>
      <c r="X38" s="405"/>
    </row>
    <row r="39" spans="1:25" s="513" customFormat="1" x14ac:dyDescent="0.3">
      <c r="A39" s="521"/>
      <c r="B39" s="522" t="s">
        <v>451</v>
      </c>
      <c r="C39" s="522"/>
      <c r="D39" s="528" t="s">
        <v>442</v>
      </c>
      <c r="E39" s="522"/>
      <c r="F39" s="528" t="s">
        <v>442</v>
      </c>
      <c r="G39" s="528"/>
      <c r="H39" s="528" t="s">
        <v>237</v>
      </c>
      <c r="I39" s="528"/>
      <c r="J39" s="528" t="s">
        <v>239</v>
      </c>
      <c r="K39" s="528"/>
      <c r="L39" s="528" t="s">
        <v>443</v>
      </c>
      <c r="M39" s="528"/>
      <c r="N39" s="528" t="s">
        <v>240</v>
      </c>
      <c r="O39" s="528"/>
      <c r="P39" s="528" t="s">
        <v>444</v>
      </c>
      <c r="Q39" s="528"/>
      <c r="R39" s="528" t="s">
        <v>241</v>
      </c>
      <c r="S39" s="539"/>
      <c r="T39" s="540"/>
      <c r="U39" s="522"/>
      <c r="V39" s="522"/>
      <c r="W39" s="524"/>
      <c r="X39" s="512"/>
    </row>
    <row r="40" spans="1:25" s="513" customFormat="1" x14ac:dyDescent="0.3">
      <c r="A40" s="521"/>
      <c r="B40" s="522" t="s">
        <v>12</v>
      </c>
      <c r="C40" s="522"/>
      <c r="D40" s="540">
        <v>5.5784100000000003E-2</v>
      </c>
      <c r="E40" s="522"/>
      <c r="F40" s="540">
        <v>5.5784100000000003E-2</v>
      </c>
      <c r="G40" s="539"/>
      <c r="H40" s="540">
        <v>4.0210000000000003E-2</v>
      </c>
      <c r="I40" s="540"/>
      <c r="J40" s="540">
        <v>5.8461800000000001E-2</v>
      </c>
      <c r="K40" s="539"/>
      <c r="L40" s="540">
        <v>5.8184100000000002E-2</v>
      </c>
      <c r="M40" s="539"/>
      <c r="N40" s="540">
        <v>4.2610000000000002E-2</v>
      </c>
      <c r="O40" s="539"/>
      <c r="P40" s="540">
        <v>6.2584100000000004E-2</v>
      </c>
      <c r="Q40" s="539"/>
      <c r="R40" s="540">
        <v>4.7010000000000003E-2</v>
      </c>
      <c r="S40" s="539"/>
      <c r="T40" s="540"/>
      <c r="U40" s="522"/>
      <c r="V40" s="528"/>
      <c r="W40" s="524"/>
      <c r="X40" s="512"/>
    </row>
    <row r="41" spans="1:25" s="513" customFormat="1" x14ac:dyDescent="0.3">
      <c r="A41" s="521"/>
      <c r="B41" s="522" t="s">
        <v>13</v>
      </c>
      <c r="C41" s="522"/>
      <c r="D41" s="540">
        <v>5.0763799999999998E-2</v>
      </c>
      <c r="E41" s="522"/>
      <c r="F41" s="540">
        <v>5.0763799999999998E-2</v>
      </c>
      <c r="G41" s="539"/>
      <c r="H41" s="540">
        <v>3.5630000000000002E-2</v>
      </c>
      <c r="I41" s="540"/>
      <c r="J41" s="540">
        <v>5.5407100000000001E-2</v>
      </c>
      <c r="K41" s="539"/>
      <c r="L41" s="540">
        <v>5.3163799999999997E-2</v>
      </c>
      <c r="M41" s="539"/>
      <c r="N41" s="540">
        <v>3.8030000000000001E-2</v>
      </c>
      <c r="O41" s="539"/>
      <c r="P41" s="540">
        <v>5.7563799999999998E-2</v>
      </c>
      <c r="Q41" s="539"/>
      <c r="R41" s="540">
        <v>4.2430000000000002E-2</v>
      </c>
      <c r="S41" s="539"/>
      <c r="T41" s="540"/>
      <c r="U41" s="522"/>
      <c r="V41" s="539" t="s">
        <v>199</v>
      </c>
      <c r="W41" s="524"/>
      <c r="X41" s="512"/>
    </row>
    <row r="42" spans="1:25" s="513" customFormat="1" x14ac:dyDescent="0.3">
      <c r="A42" s="521"/>
      <c r="B42" s="522" t="s">
        <v>449</v>
      </c>
      <c r="C42" s="522"/>
      <c r="D42" s="528" t="s">
        <v>442</v>
      </c>
      <c r="E42" s="522"/>
      <c r="F42" s="528" t="s">
        <v>442</v>
      </c>
      <c r="G42" s="528"/>
      <c r="H42" s="528" t="s">
        <v>445</v>
      </c>
      <c r="I42" s="528"/>
      <c r="J42" s="528" t="s">
        <v>446</v>
      </c>
      <c r="K42" s="528"/>
      <c r="L42" s="528" t="s">
        <v>443</v>
      </c>
      <c r="M42" s="528"/>
      <c r="N42" s="528" t="s">
        <v>448</v>
      </c>
      <c r="O42" s="528"/>
      <c r="P42" s="528" t="s">
        <v>444</v>
      </c>
      <c r="Q42" s="528"/>
      <c r="R42" s="528" t="s">
        <v>447</v>
      </c>
      <c r="S42" s="539"/>
      <c r="T42" s="540"/>
      <c r="U42" s="522"/>
      <c r="V42" s="522"/>
      <c r="W42" s="524"/>
      <c r="X42" s="512"/>
    </row>
    <row r="43" spans="1:25" s="513" customFormat="1" x14ac:dyDescent="0.3">
      <c r="A43" s="521"/>
      <c r="B43" s="522" t="s">
        <v>297</v>
      </c>
      <c r="C43" s="541"/>
      <c r="D43" s="540">
        <f>+D40</f>
        <v>5.5784100000000003E-2</v>
      </c>
      <c r="E43" s="540"/>
      <c r="F43" s="540">
        <f>+F40</f>
        <v>5.5784100000000003E-2</v>
      </c>
      <c r="G43" s="540"/>
      <c r="H43" s="540">
        <v>5.5706100000000001E-2</v>
      </c>
      <c r="I43" s="540"/>
      <c r="J43" s="540">
        <v>5.5948100000000001E-2</v>
      </c>
      <c r="K43" s="540"/>
      <c r="L43" s="540">
        <f>+L40</f>
        <v>5.8184100000000002E-2</v>
      </c>
      <c r="M43" s="540"/>
      <c r="N43" s="540">
        <v>5.8386100000000003E-2</v>
      </c>
      <c r="O43" s="540"/>
      <c r="P43" s="540">
        <f>+P40</f>
        <v>6.2584100000000004E-2</v>
      </c>
      <c r="Q43" s="539"/>
      <c r="R43" s="540">
        <v>6.3056100000000004E-2</v>
      </c>
      <c r="S43" s="528"/>
      <c r="T43" s="528"/>
      <c r="U43" s="522"/>
      <c r="V43" s="539">
        <f>SUMPRODUCT(D43:R43,D35:R35)/V35</f>
        <v>5.7035165533987575E-2</v>
      </c>
      <c r="W43" s="524"/>
      <c r="X43" s="512"/>
    </row>
    <row r="44" spans="1:25" s="513" customFormat="1" x14ac:dyDescent="0.3">
      <c r="A44" s="521"/>
      <c r="B44" s="522" t="s">
        <v>298</v>
      </c>
      <c r="C44" s="541"/>
      <c r="D44" s="540">
        <f>+D41</f>
        <v>5.0763799999999998E-2</v>
      </c>
      <c r="E44" s="540"/>
      <c r="F44" s="540">
        <f>+F41</f>
        <v>5.0763799999999998E-2</v>
      </c>
      <c r="G44" s="540"/>
      <c r="H44" s="540">
        <v>5.0685800000000003E-2</v>
      </c>
      <c r="I44" s="540"/>
      <c r="J44" s="540">
        <v>5.0927800000000002E-2</v>
      </c>
      <c r="K44" s="540"/>
      <c r="L44" s="540">
        <f>+L41</f>
        <v>5.3163799999999997E-2</v>
      </c>
      <c r="M44" s="540"/>
      <c r="N44" s="540">
        <v>5.3365799999999998E-2</v>
      </c>
      <c r="O44" s="540"/>
      <c r="P44" s="540">
        <f>+P41</f>
        <v>5.7563799999999998E-2</v>
      </c>
      <c r="Q44" s="539"/>
      <c r="R44" s="540">
        <v>5.8035799999999998E-2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450</v>
      </c>
      <c r="C47" s="522"/>
      <c r="D47" s="528" t="s">
        <v>442</v>
      </c>
      <c r="E47" s="522"/>
      <c r="F47" s="528" t="s">
        <v>442</v>
      </c>
      <c r="G47" s="528"/>
      <c r="H47" s="528" t="s">
        <v>237</v>
      </c>
      <c r="I47" s="528"/>
      <c r="J47" s="528" t="s">
        <v>239</v>
      </c>
      <c r="K47" s="528"/>
      <c r="L47" s="528" t="s">
        <v>443</v>
      </c>
      <c r="M47" s="528"/>
      <c r="N47" s="528" t="s">
        <v>240</v>
      </c>
      <c r="O47" s="528"/>
      <c r="P47" s="528" t="s">
        <v>444</v>
      </c>
      <c r="Q47" s="528"/>
      <c r="R47" s="528" t="s">
        <v>241</v>
      </c>
      <c r="S47" s="542"/>
      <c r="T47" s="542"/>
      <c r="U47" s="542"/>
      <c r="V47" s="542"/>
      <c r="W47" s="524"/>
      <c r="X47" s="512"/>
    </row>
    <row r="48" spans="1:25" s="513" customFormat="1" x14ac:dyDescent="0.3">
      <c r="A48" s="521"/>
      <c r="B48" s="522" t="s">
        <v>452</v>
      </c>
      <c r="C48" s="522"/>
      <c r="D48" s="528" t="s">
        <v>442</v>
      </c>
      <c r="E48" s="522"/>
      <c r="F48" s="528" t="s">
        <v>442</v>
      </c>
      <c r="G48" s="528"/>
      <c r="H48" s="528" t="s">
        <v>445</v>
      </c>
      <c r="I48" s="528"/>
      <c r="J48" s="528" t="s">
        <v>446</v>
      </c>
      <c r="K48" s="528"/>
      <c r="L48" s="528" t="s">
        <v>443</v>
      </c>
      <c r="M48" s="528"/>
      <c r="N48" s="528" t="s">
        <v>448</v>
      </c>
      <c r="O48" s="528"/>
      <c r="P48" s="528" t="s">
        <v>444</v>
      </c>
      <c r="Q48" s="528"/>
      <c r="R48" s="528" t="s">
        <v>447</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40"/>
      <c r="E50" s="540"/>
      <c r="F50" s="540"/>
      <c r="G50" s="540"/>
      <c r="H50" s="540"/>
      <c r="I50" s="540"/>
      <c r="J50" s="540"/>
      <c r="K50" s="540"/>
      <c r="L50" s="540"/>
      <c r="M50" s="540"/>
      <c r="N50" s="540"/>
      <c r="O50" s="540"/>
      <c r="P50" s="540"/>
      <c r="Q50" s="540"/>
      <c r="R50" s="540"/>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0.36799059096486425</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45245</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45061</v>
      </c>
      <c r="U57" s="550"/>
      <c r="V57" s="549">
        <v>45152</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45153</v>
      </c>
      <c r="U58" s="550"/>
      <c r="V58" s="549">
        <v>45244</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45231</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459</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369450</v>
      </c>
      <c r="O68" s="562"/>
      <c r="P68" s="562">
        <v>20430</v>
      </c>
      <c r="Q68" s="562"/>
      <c r="R68" s="562">
        <v>0</v>
      </c>
      <c r="S68" s="562"/>
      <c r="T68" s="562">
        <v>0</v>
      </c>
      <c r="U68" s="562"/>
      <c r="V68" s="563">
        <f>+N68-P68+R68-T68</f>
        <v>349020</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369450</v>
      </c>
      <c r="O71" s="562"/>
      <c r="P71" s="562">
        <f>SUM(P68:P70)</f>
        <v>20430</v>
      </c>
      <c r="Q71" s="562"/>
      <c r="R71" s="562">
        <f>SUM(R68:R70)</f>
        <v>0</v>
      </c>
      <c r="S71" s="562"/>
      <c r="T71" s="562">
        <f>SUM(T68:T70)</f>
        <v>0</v>
      </c>
      <c r="U71" s="562"/>
      <c r="V71" s="562">
        <f>SUM(V68:V70)</f>
        <v>349020</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369450</v>
      </c>
      <c r="O84" s="562"/>
      <c r="P84" s="562"/>
      <c r="Q84" s="562"/>
      <c r="R84" s="562"/>
      <c r="S84" s="562"/>
      <c r="T84" s="562"/>
      <c r="U84" s="562"/>
      <c r="V84" s="562">
        <f>SUM(V71:V83)</f>
        <v>349020</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45230</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20430-159</f>
        <v>20271</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6556+2970-2418-1079</f>
        <v>6029</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49+165</f>
        <v>214</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474</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0</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20271</v>
      </c>
      <c r="U96" s="522"/>
      <c r="V96" s="562">
        <f>SUM(V88:V95)</f>
        <v>6717</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20271</v>
      </c>
      <c r="U100" s="522"/>
      <c r="V100" s="562">
        <f>V96+V98+V97+V99</f>
        <v>6717</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-142-58-6</f>
        <v>-206</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v>-3375</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-424</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-629</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-180</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-572</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-132</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-13</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159</v>
      </c>
      <c r="U114" s="522"/>
      <c r="V114" s="563">
        <v>-159</v>
      </c>
      <c r="W114" s="422"/>
      <c r="X114" s="405"/>
    </row>
    <row r="115" spans="1:24" x14ac:dyDescent="0.3">
      <c r="A115" s="521">
        <f t="shared" si="0"/>
        <v>10</v>
      </c>
      <c r="B115" s="522" t="s">
        <v>460</v>
      </c>
      <c r="C115" s="522"/>
      <c r="D115" s="522"/>
      <c r="E115" s="522"/>
      <c r="F115" s="522"/>
      <c r="G115" s="522"/>
      <c r="H115" s="522"/>
      <c r="I115" s="522"/>
      <c r="J115" s="522"/>
      <c r="K115" s="522"/>
      <c r="L115" s="522"/>
      <c r="M115" s="522"/>
      <c r="N115" s="522"/>
      <c r="O115" s="522"/>
      <c r="P115" s="522"/>
      <c r="Q115" s="522"/>
      <c r="R115" s="522"/>
      <c r="S115" s="522"/>
      <c r="T115" s="522"/>
      <c r="U115" s="522"/>
      <c r="V115" s="563">
        <v>-1025</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0</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0</v>
      </c>
      <c r="W119" s="615"/>
      <c r="X119" s="679"/>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0</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0</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0</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0</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-9378</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-1668</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-1944</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-1944</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-680</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-2364</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-463</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-1989</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-20430</v>
      </c>
      <c r="U137" s="562"/>
      <c r="V137" s="562">
        <f>SUM(V102:V134)</f>
        <v>-6717</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OCTOBER 2023</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463</v>
      </c>
      <c r="C152" s="522"/>
      <c r="D152" s="522"/>
      <c r="E152" s="522"/>
      <c r="F152" s="522"/>
      <c r="G152" s="522"/>
      <c r="H152" s="522"/>
      <c r="I152" s="522"/>
      <c r="J152" s="522"/>
      <c r="K152" s="522"/>
      <c r="L152" s="522"/>
      <c r="M152" s="522"/>
      <c r="N152" s="522"/>
      <c r="O152" s="522"/>
      <c r="P152" s="522"/>
      <c r="Q152" s="522"/>
      <c r="R152" s="522"/>
      <c r="S152" s="522"/>
      <c r="T152" s="522"/>
      <c r="U152" s="522"/>
      <c r="V152" s="563">
        <f>-V115</f>
        <v>1025</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461</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21529</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159</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159</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-159</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349020</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349020</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+'July 23'!S188</f>
        <v>57078</v>
      </c>
      <c r="T186" s="563">
        <f>+'July 23'!T188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1.713345617267702</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2.0499999999999998</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3.3498145859085291</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7.65</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2.7002840909090908</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6.9</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OCTOBER 2023</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45230</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7.0069186002180955E-2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5.7035165533987575E-2</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1.303402046819338E-2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1.8181079983759642E-2</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5.9</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5.5298416565164432E-2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8.3699999999999997E-2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5</v>
      </c>
      <c r="T221" s="577">
        <v>2082</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42</v>
      </c>
      <c r="T222" s="579">
        <f>+T274</f>
        <v>7542</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+R296</f>
        <v>0</v>
      </c>
      <c r="T223" s="579">
        <f>+T296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159</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'July 23'!T228+'Oct 23'!T227</f>
        <v>9557</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6</v>
      </c>
      <c r="T234" s="579">
        <v>1120</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0.28000000000000003</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2608</v>
      </c>
      <c r="S241" s="588">
        <f t="shared" ref="S241:S248" si="2">R241/$R$250</f>
        <v>0.95636230289695634</v>
      </c>
      <c r="T241" s="589">
        <f t="shared" ref="T241:T248" si="3">+T253+T265+T287</f>
        <v>329513</v>
      </c>
      <c r="U241" s="588">
        <f t="shared" ref="U241:U248" si="4">T241/$T$250</f>
        <v>0.94410922010199994</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30</v>
      </c>
      <c r="S242" s="593">
        <f t="shared" si="2"/>
        <v>1.1001100110011002E-2</v>
      </c>
      <c r="T242" s="563">
        <f t="shared" si="3"/>
        <v>3996</v>
      </c>
      <c r="U242" s="593">
        <f t="shared" si="4"/>
        <v>1.1449200618875709E-2</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38</v>
      </c>
      <c r="S243" s="593">
        <f t="shared" si="2"/>
        <v>1.3934726806013934E-2</v>
      </c>
      <c r="T243" s="563">
        <f t="shared" si="3"/>
        <v>7601</v>
      </c>
      <c r="U243" s="593">
        <f t="shared" si="4"/>
        <v>2.1778121597616183E-2</v>
      </c>
      <c r="V243" s="582"/>
      <c r="W243" s="583"/>
      <c r="X243" s="682"/>
      <c r="Y243" s="680"/>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34</v>
      </c>
      <c r="S244" s="593">
        <f t="shared" si="2"/>
        <v>1.2467913458012467E-2</v>
      </c>
      <c r="T244" s="563">
        <f t="shared" si="3"/>
        <v>3743</v>
      </c>
      <c r="U244" s="593">
        <f t="shared" si="4"/>
        <v>1.0724313792905851E-2</v>
      </c>
      <c r="V244" s="582"/>
      <c r="W244" s="583"/>
      <c r="X244" s="68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5</v>
      </c>
      <c r="S245" s="593">
        <f t="shared" si="2"/>
        <v>1.8335166850018336E-3</v>
      </c>
      <c r="T245" s="563">
        <f t="shared" si="3"/>
        <v>1058</v>
      </c>
      <c r="U245" s="593">
        <f t="shared" si="4"/>
        <v>3.0313449086012264E-3</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4</v>
      </c>
      <c r="S246" s="593">
        <f t="shared" si="2"/>
        <v>1.4668133480014668E-3</v>
      </c>
      <c r="T246" s="563">
        <f t="shared" si="3"/>
        <v>488</v>
      </c>
      <c r="U246" s="593">
        <f t="shared" si="4"/>
        <v>1.3982006761790156E-3</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7</v>
      </c>
      <c r="S247" s="593">
        <f t="shared" si="2"/>
        <v>2.5669233590025669E-3</v>
      </c>
      <c r="T247" s="563">
        <f t="shared" si="3"/>
        <v>2546</v>
      </c>
      <c r="U247" s="593">
        <f t="shared" si="4"/>
        <v>7.2947109048192077E-3</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1</v>
      </c>
      <c r="S248" s="593">
        <f t="shared" si="2"/>
        <v>3.667033370003667E-4</v>
      </c>
      <c r="T248" s="563">
        <f t="shared" si="3"/>
        <v>75</v>
      </c>
      <c r="U248" s="593">
        <f t="shared" si="4"/>
        <v>2.1488739900292248E-4</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2727</v>
      </c>
      <c r="S250" s="593">
        <f>SUM(S241:S249)</f>
        <v>1</v>
      </c>
      <c r="T250" s="563">
        <f>SUM(T241:T249)</f>
        <v>349020</v>
      </c>
      <c r="U250" s="593">
        <f>SUM(U241:U249)</f>
        <v>1</v>
      </c>
      <c r="V250" s="522"/>
      <c r="W250" s="683"/>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2587</v>
      </c>
      <c r="S253" s="595">
        <f t="shared" ref="S253:S260" si="5">R253/$R$262</f>
        <v>0.9635009310986965</v>
      </c>
      <c r="T253" s="596">
        <v>327045</v>
      </c>
      <c r="U253" s="595">
        <f t="shared" ref="U253:U260" si="6">T253/$T$262</f>
        <v>0.95773373394479289</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27</v>
      </c>
      <c r="S254" s="593">
        <f t="shared" si="5"/>
        <v>1.0055865921787709E-2</v>
      </c>
      <c r="T254" s="563">
        <v>3577</v>
      </c>
      <c r="U254" s="593">
        <f t="shared" si="6"/>
        <v>1.0475052565611841E-2</v>
      </c>
      <c r="V254" s="582"/>
      <c r="W254" s="583"/>
      <c r="X254" s="681"/>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38</v>
      </c>
      <c r="S255" s="593">
        <f t="shared" si="5"/>
        <v>1.415270018621974E-2</v>
      </c>
      <c r="T255" s="563">
        <v>7601</v>
      </c>
      <c r="U255" s="593">
        <f t="shared" si="6"/>
        <v>2.2259120646132401E-2</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30</v>
      </c>
      <c r="S256" s="593">
        <f t="shared" si="5"/>
        <v>1.11731843575419E-2</v>
      </c>
      <c r="T256" s="563">
        <v>2777</v>
      </c>
      <c r="U256" s="593">
        <f t="shared" si="6"/>
        <v>8.1322954919497009E-3</v>
      </c>
      <c r="V256" s="582"/>
      <c r="W256" s="583"/>
      <c r="X256" s="512"/>
      <c r="Y256" s="570"/>
    </row>
    <row r="257" spans="1:26"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1</v>
      </c>
      <c r="S257" s="593">
        <f t="shared" si="5"/>
        <v>3.7243947858472997E-4</v>
      </c>
      <c r="T257" s="563">
        <v>308</v>
      </c>
      <c r="U257" s="593">
        <f t="shared" si="6"/>
        <v>9.0196147335992358E-4</v>
      </c>
      <c r="V257" s="582"/>
      <c r="W257" s="583"/>
      <c r="X257" s="512"/>
    </row>
    <row r="258" spans="1:26"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2</v>
      </c>
      <c r="S258" s="593">
        <f t="shared" si="5"/>
        <v>7.4487895716945994E-4</v>
      </c>
      <c r="T258" s="563">
        <v>170</v>
      </c>
      <c r="U258" s="593">
        <f t="shared" si="6"/>
        <v>4.9783587815320463E-4</v>
      </c>
      <c r="V258" s="582"/>
      <c r="W258" s="583"/>
      <c r="X258" s="512"/>
      <c r="Y258" s="570"/>
    </row>
    <row r="259" spans="1:26"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0</v>
      </c>
      <c r="S259" s="593">
        <f t="shared" si="5"/>
        <v>0</v>
      </c>
      <c r="T259" s="563">
        <v>0</v>
      </c>
      <c r="U259" s="593">
        <f t="shared" si="6"/>
        <v>0</v>
      </c>
      <c r="V259" s="582"/>
      <c r="W259" s="583"/>
      <c r="X259" s="512"/>
    </row>
    <row r="260" spans="1:26"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0</v>
      </c>
      <c r="S260" s="593">
        <f t="shared" si="5"/>
        <v>0</v>
      </c>
      <c r="T260" s="563">
        <v>0</v>
      </c>
      <c r="U260" s="593">
        <f t="shared" si="6"/>
        <v>0</v>
      </c>
      <c r="V260" s="582"/>
      <c r="W260" s="583"/>
      <c r="X260" s="512"/>
      <c r="Y260" s="570"/>
    </row>
    <row r="261" spans="1:26"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6"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2685</v>
      </c>
      <c r="S262" s="593">
        <f>SUM(S253:S261)</f>
        <v>1.0000000000000002</v>
      </c>
      <c r="T262" s="563">
        <f>SUM(T253:T261)</f>
        <v>341478</v>
      </c>
      <c r="U262" s="593">
        <f>SUM(U253:U261)</f>
        <v>1</v>
      </c>
      <c r="V262" s="522"/>
      <c r="W262" s="524"/>
      <c r="X262" s="512"/>
      <c r="Y262" s="570"/>
      <c r="Z262" s="570"/>
    </row>
    <row r="263" spans="1:26"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6"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6"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21</v>
      </c>
      <c r="S265" s="595">
        <f t="shared" ref="S265:S272" si="7">R265/$R$274</f>
        <v>0.5</v>
      </c>
      <c r="T265" s="596">
        <v>2468</v>
      </c>
      <c r="U265" s="595">
        <f t="shared" ref="U265:U272" si="8">T265/$T$274</f>
        <v>0.32723415539644657</v>
      </c>
      <c r="V265" s="552"/>
      <c r="W265" s="552"/>
      <c r="X265" s="512"/>
    </row>
    <row r="266" spans="1:26"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3</v>
      </c>
      <c r="S266" s="593">
        <f t="shared" si="7"/>
        <v>7.1428571428571425E-2</v>
      </c>
      <c r="T266" s="563">
        <v>419</v>
      </c>
      <c r="U266" s="593">
        <f t="shared" si="8"/>
        <v>5.5555555555555552E-2</v>
      </c>
      <c r="V266" s="522"/>
      <c r="W266" s="524"/>
      <c r="X266" s="512"/>
    </row>
    <row r="267" spans="1:26"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0</v>
      </c>
      <c r="S267" s="593">
        <f t="shared" si="7"/>
        <v>0</v>
      </c>
      <c r="T267" s="563">
        <v>0</v>
      </c>
      <c r="U267" s="593">
        <f t="shared" si="8"/>
        <v>0</v>
      </c>
      <c r="V267" s="522"/>
      <c r="W267" s="524"/>
      <c r="X267" s="512"/>
    </row>
    <row r="268" spans="1:26"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4</v>
      </c>
      <c r="S268" s="593">
        <f t="shared" si="7"/>
        <v>9.5238095238095233E-2</v>
      </c>
      <c r="T268" s="563">
        <v>966</v>
      </c>
      <c r="U268" s="593">
        <f t="shared" si="8"/>
        <v>0.12808273667462211</v>
      </c>
      <c r="V268" s="522"/>
      <c r="W268" s="524"/>
      <c r="X268" s="512"/>
    </row>
    <row r="269" spans="1:26"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4</v>
      </c>
      <c r="S269" s="593">
        <f t="shared" si="7"/>
        <v>9.5238095238095233E-2</v>
      </c>
      <c r="T269" s="563">
        <v>750</v>
      </c>
      <c r="U269" s="593">
        <f t="shared" si="8"/>
        <v>9.9443118536197292E-2</v>
      </c>
      <c r="V269" s="522"/>
      <c r="W269" s="524"/>
      <c r="X269" s="512"/>
    </row>
    <row r="270" spans="1:26"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2</v>
      </c>
      <c r="S270" s="593">
        <f t="shared" si="7"/>
        <v>4.7619047619047616E-2</v>
      </c>
      <c r="T270" s="563">
        <v>318</v>
      </c>
      <c r="U270" s="593">
        <f t="shared" si="8"/>
        <v>4.2163882259347654E-2</v>
      </c>
      <c r="V270" s="522"/>
      <c r="W270" s="524"/>
      <c r="X270" s="512"/>
    </row>
    <row r="271" spans="1:26"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7</v>
      </c>
      <c r="S271" s="593">
        <f t="shared" si="7"/>
        <v>0.16666666666666666</v>
      </c>
      <c r="T271" s="563">
        <v>2546</v>
      </c>
      <c r="U271" s="593">
        <f t="shared" si="8"/>
        <v>0.33757623972421108</v>
      </c>
      <c r="V271" s="522"/>
      <c r="W271" s="524"/>
      <c r="X271" s="512"/>
    </row>
    <row r="272" spans="1:26"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1</v>
      </c>
      <c r="S272" s="593">
        <f t="shared" si="7"/>
        <v>2.3809523809523808E-2</v>
      </c>
      <c r="T272" s="563">
        <v>75</v>
      </c>
      <c r="U272" s="593">
        <f t="shared" si="8"/>
        <v>9.9443118536197295E-3</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42</v>
      </c>
      <c r="S274" s="593">
        <f>SUM(S265:S273)</f>
        <v>1</v>
      </c>
      <c r="T274" s="563">
        <f>SUM(T265:T273)</f>
        <v>7542</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19</v>
      </c>
      <c r="S277" s="593">
        <f>R277/R284</f>
        <v>0.45238095238095238</v>
      </c>
      <c r="T277" s="563">
        <v>2876</v>
      </c>
      <c r="U277" s="593">
        <f>T277/T284</f>
        <v>0.38133121188013791</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3</v>
      </c>
      <c r="S278" s="593">
        <f>R278/R284</f>
        <v>7.1428571428571425E-2</v>
      </c>
      <c r="T278" s="563">
        <v>623</v>
      </c>
      <c r="U278" s="593">
        <f>T278/T284</f>
        <v>8.2604083797401223E-2</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4</v>
      </c>
      <c r="S279" s="593">
        <f>R279/R284</f>
        <v>9.5238095238095233E-2</v>
      </c>
      <c r="T279" s="563">
        <v>2153</v>
      </c>
      <c r="U279" s="593">
        <f>T279/T284</f>
        <v>0.28546804561124373</v>
      </c>
      <c r="V279" s="522"/>
      <c r="W279" s="524"/>
      <c r="X279" s="512"/>
    </row>
    <row r="280" spans="1:24" s="513" customFormat="1" x14ac:dyDescent="0.3">
      <c r="A280" s="521"/>
      <c r="B280" s="522" t="s">
        <v>413</v>
      </c>
      <c r="C280" s="522"/>
      <c r="D280" s="522"/>
      <c r="E280" s="522"/>
      <c r="F280" s="522"/>
      <c r="G280" s="522"/>
      <c r="H280" s="594"/>
      <c r="I280" s="594"/>
      <c r="J280" s="594"/>
      <c r="K280" s="594"/>
      <c r="L280" s="594"/>
      <c r="M280" s="594"/>
      <c r="N280" s="594"/>
      <c r="O280" s="594"/>
      <c r="P280" s="594"/>
      <c r="Q280" s="594"/>
      <c r="R280" s="562">
        <v>9</v>
      </c>
      <c r="S280" s="593">
        <f>R280/R284</f>
        <v>0.21428571428571427</v>
      </c>
      <c r="T280" s="563">
        <v>1187</v>
      </c>
      <c r="U280" s="593">
        <f>T280/T284</f>
        <v>0.15738530893662159</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3</v>
      </c>
      <c r="S281" s="593">
        <f>R281/R284</f>
        <v>7.1428571428571425E-2</v>
      </c>
      <c r="T281" s="563">
        <v>261</v>
      </c>
      <c r="U281" s="593">
        <f>T281/T284</f>
        <v>3.4606205250596656E-2</v>
      </c>
      <c r="V281" s="522"/>
      <c r="W281" s="524"/>
      <c r="X281" s="512"/>
    </row>
    <row r="282" spans="1:24" s="513" customFormat="1" x14ac:dyDescent="0.3">
      <c r="A282" s="521"/>
      <c r="B282" s="424" t="s">
        <v>440</v>
      </c>
      <c r="C282" s="522"/>
      <c r="D282" s="522"/>
      <c r="E282" s="522"/>
      <c r="F282" s="522"/>
      <c r="G282" s="522"/>
      <c r="H282" s="594"/>
      <c r="I282" s="594"/>
      <c r="J282" s="594"/>
      <c r="K282" s="594"/>
      <c r="L282" s="594"/>
      <c r="M282" s="594"/>
      <c r="N282" s="594"/>
      <c r="O282" s="594"/>
      <c r="P282" s="594"/>
      <c r="Q282" s="594"/>
      <c r="R282" s="562">
        <v>4</v>
      </c>
      <c r="S282" s="593">
        <f>R282/R284</f>
        <v>9.5238095238095233E-2</v>
      </c>
      <c r="T282" s="563">
        <v>442</v>
      </c>
      <c r="U282" s="593">
        <f>T282/T284</f>
        <v>5.8605144523998939E-2</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42</v>
      </c>
      <c r="S284" s="593">
        <f>SUM(S277:S282)</f>
        <v>1</v>
      </c>
      <c r="T284" s="563">
        <f>SUM(T277:T282)</f>
        <v>7542</v>
      </c>
      <c r="U284" s="593">
        <f>SUM(U277:U283)</f>
        <v>1</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0</v>
      </c>
      <c r="S296" s="593">
        <f>SUM(S287:S295)</f>
        <v>0</v>
      </c>
      <c r="T296" s="563">
        <f>SUM(T287:T294)</f>
        <v>0</v>
      </c>
      <c r="U296" s="593">
        <f>SUM(U287:U295)</f>
        <v>0</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2727</v>
      </c>
      <c r="S298" s="593"/>
      <c r="T298" s="599">
        <f>+T296+T274+T262</f>
        <v>349020</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509"/>
      <c r="B300" s="510"/>
      <c r="C300" s="510"/>
      <c r="D300" s="510"/>
      <c r="E300" s="510"/>
      <c r="F300" s="510"/>
      <c r="G300" s="510"/>
      <c r="H300" s="600"/>
      <c r="I300" s="600"/>
      <c r="J300" s="600"/>
      <c r="K300" s="600"/>
      <c r="L300" s="600"/>
      <c r="M300" s="600"/>
      <c r="N300" s="600"/>
      <c r="O300" s="600"/>
      <c r="P300" s="600"/>
      <c r="Q300" s="600"/>
      <c r="R300" s="600"/>
      <c r="S300" s="600"/>
      <c r="T300" s="601"/>
      <c r="U300" s="600"/>
      <c r="V300" s="510"/>
      <c r="W300" s="510"/>
      <c r="X300" s="512"/>
    </row>
    <row r="301" spans="1:24" s="513" customFormat="1" x14ac:dyDescent="0.3">
      <c r="A301" s="509"/>
      <c r="B301" s="508" t="s">
        <v>93</v>
      </c>
      <c r="C301" s="510"/>
      <c r="D301" s="510"/>
      <c r="E301" s="510"/>
      <c r="F301" s="516" t="s">
        <v>99</v>
      </c>
      <c r="G301" s="510"/>
      <c r="H301" s="508" t="s">
        <v>101</v>
      </c>
      <c r="I301" s="510"/>
      <c r="J301" s="510"/>
      <c r="K301" s="510"/>
      <c r="L301" s="510"/>
      <c r="M301" s="510"/>
      <c r="N301" s="510"/>
      <c r="O301" s="510"/>
      <c r="P301" s="510"/>
      <c r="Q301" s="510"/>
      <c r="R301" s="510"/>
      <c r="S301" s="510"/>
      <c r="T301" s="510"/>
      <c r="U301" s="510"/>
      <c r="V301" s="510"/>
      <c r="W301" s="510"/>
      <c r="X301" s="512"/>
    </row>
    <row r="302" spans="1:24" s="513" customFormat="1" x14ac:dyDescent="0.3">
      <c r="A302" s="509"/>
      <c r="B302" s="508" t="s">
        <v>327</v>
      </c>
      <c r="C302" s="508"/>
      <c r="D302" s="508"/>
      <c r="E302" s="508"/>
      <c r="F302" s="602" t="s">
        <v>278</v>
      </c>
      <c r="G302" s="508"/>
      <c r="H302" s="402" t="s">
        <v>350</v>
      </c>
      <c r="I302" s="510"/>
      <c r="J302" s="510"/>
      <c r="K302" s="510"/>
      <c r="L302" s="510"/>
      <c r="M302" s="510"/>
      <c r="N302" s="510"/>
      <c r="O302" s="510"/>
      <c r="P302" s="510"/>
      <c r="Q302" s="510"/>
      <c r="R302" s="510"/>
      <c r="S302" s="510"/>
      <c r="T302" s="510"/>
      <c r="U302" s="510"/>
      <c r="V302" s="510"/>
      <c r="W302" s="510"/>
      <c r="X302" s="512"/>
    </row>
    <row r="303" spans="1:24" s="513" customFormat="1" x14ac:dyDescent="0.3">
      <c r="A303" s="509"/>
      <c r="B303" s="508" t="s">
        <v>328</v>
      </c>
      <c r="C303" s="508"/>
      <c r="D303" s="508"/>
      <c r="E303" s="508"/>
      <c r="F303" s="602" t="s">
        <v>152</v>
      </c>
      <c r="G303" s="508"/>
      <c r="H303" s="402" t="s">
        <v>351</v>
      </c>
      <c r="I303" s="510"/>
      <c r="J303" s="510"/>
      <c r="K303" s="510"/>
      <c r="L303" s="510"/>
      <c r="M303" s="510"/>
      <c r="N303" s="510"/>
      <c r="O303" s="510"/>
      <c r="P303" s="510"/>
      <c r="Q303" s="510"/>
      <c r="R303" s="510"/>
      <c r="S303" s="510"/>
      <c r="T303" s="510"/>
      <c r="U303" s="510"/>
      <c r="V303" s="510"/>
      <c r="W303" s="510"/>
      <c r="X303" s="512"/>
    </row>
    <row r="304" spans="1:24" s="513" customFormat="1" x14ac:dyDescent="0.3">
      <c r="A304" s="509"/>
      <c r="B304" s="508"/>
      <c r="C304" s="508"/>
      <c r="D304" s="508"/>
      <c r="E304" s="508"/>
      <c r="F304" s="602"/>
      <c r="G304" s="508"/>
      <c r="H304" s="402"/>
      <c r="I304" s="510"/>
      <c r="J304" s="510"/>
      <c r="K304" s="510"/>
      <c r="L304" s="510"/>
      <c r="M304" s="510"/>
      <c r="N304" s="510"/>
      <c r="O304" s="510"/>
      <c r="P304" s="510"/>
      <c r="Q304" s="510"/>
      <c r="R304" s="510"/>
      <c r="S304" s="510"/>
      <c r="T304" s="510"/>
      <c r="U304" s="510"/>
      <c r="V304" s="510"/>
      <c r="W304" s="510"/>
      <c r="X304" s="512"/>
    </row>
    <row r="305" spans="1:24" s="513" customFormat="1" ht="18" x14ac:dyDescent="0.35">
      <c r="A305" s="509"/>
      <c r="B305" s="647" t="s">
        <v>174</v>
      </c>
      <c r="C305" s="508"/>
      <c r="D305" s="508"/>
      <c r="E305" s="508"/>
      <c r="F305" s="602"/>
      <c r="G305" s="508"/>
      <c r="H305" s="402"/>
      <c r="I305" s="510"/>
      <c r="J305" s="510"/>
      <c r="K305" s="510"/>
      <c r="L305" s="552"/>
      <c r="M305" s="552"/>
      <c r="N305" s="552"/>
      <c r="O305" s="552"/>
      <c r="P305" s="648" t="s">
        <v>349</v>
      </c>
      <c r="Q305" s="552"/>
      <c r="R305" s="552"/>
      <c r="S305" s="552"/>
      <c r="T305" s="510"/>
      <c r="U305" s="510"/>
      <c r="V305" s="510"/>
      <c r="W305" s="510"/>
      <c r="X305" s="512"/>
    </row>
    <row r="306" spans="1:24" s="513" customFormat="1" x14ac:dyDescent="0.3">
      <c r="A306" s="509"/>
      <c r="B306" s="508"/>
      <c r="C306" s="508"/>
      <c r="D306" s="508"/>
      <c r="E306" s="508"/>
      <c r="F306" s="508"/>
      <c r="G306" s="508"/>
      <c r="H306" s="510"/>
      <c r="I306" s="510"/>
      <c r="J306" s="510"/>
      <c r="K306" s="510"/>
      <c r="L306" s="510"/>
      <c r="M306" s="510"/>
      <c r="N306" s="510"/>
      <c r="O306" s="510"/>
      <c r="P306" s="510"/>
      <c r="Q306" s="510"/>
      <c r="R306" s="510"/>
      <c r="S306" s="510"/>
      <c r="T306" s="510"/>
      <c r="U306" s="510"/>
      <c r="V306" s="510"/>
      <c r="W306" s="510"/>
      <c r="X306" s="512"/>
    </row>
    <row r="307" spans="1:24" s="513" customFormat="1" ht="18.600000000000001" thickBot="1" x14ac:dyDescent="0.4">
      <c r="A307" s="509"/>
      <c r="B307" s="603" t="str">
        <f>B202</f>
        <v>PM12 INVESTOR REPORT QUARTER ENDING OCTOBER 2023</v>
      </c>
      <c r="C307" s="508"/>
      <c r="D307" s="508"/>
      <c r="E307" s="508"/>
      <c r="F307" s="508"/>
      <c r="G307" s="508"/>
      <c r="H307" s="510"/>
      <c r="I307" s="510"/>
      <c r="J307" s="510"/>
      <c r="K307" s="510"/>
      <c r="L307" s="510"/>
      <c r="M307" s="510"/>
      <c r="N307" s="510"/>
      <c r="O307" s="510"/>
      <c r="P307" s="510"/>
      <c r="Q307" s="510"/>
      <c r="R307" s="510"/>
      <c r="S307" s="510"/>
      <c r="T307" s="510"/>
      <c r="U307" s="510"/>
      <c r="V307" s="510"/>
      <c r="W307" s="510"/>
      <c r="X307" s="512"/>
    </row>
    <row r="308" spans="1:24" x14ac:dyDescent="0.3">
      <c r="A308" s="492"/>
      <c r="B308" s="492"/>
      <c r="C308" s="492"/>
      <c r="D308" s="492"/>
      <c r="E308" s="492"/>
      <c r="F308" s="492"/>
      <c r="G308" s="492"/>
      <c r="H308" s="492"/>
      <c r="I308" s="492"/>
      <c r="J308" s="492"/>
      <c r="K308" s="492"/>
      <c r="L308" s="492"/>
      <c r="M308" s="492"/>
      <c r="N308" s="492"/>
      <c r="O308" s="492"/>
      <c r="P308" s="492"/>
      <c r="Q308" s="492"/>
      <c r="R308" s="492"/>
      <c r="S308" s="492"/>
      <c r="T308" s="492"/>
      <c r="U308" s="492"/>
      <c r="V308" s="492"/>
      <c r="W308" s="492"/>
    </row>
    <row r="309" spans="1:24" x14ac:dyDescent="0.3">
      <c r="B309" s="406" t="s">
        <v>384</v>
      </c>
    </row>
    <row r="310" spans="1:24" x14ac:dyDescent="0.3">
      <c r="B310" s="623" t="s">
        <v>378</v>
      </c>
    </row>
    <row r="312" spans="1:24" x14ac:dyDescent="0.3">
      <c r="B312" s="649" t="s">
        <v>432</v>
      </c>
    </row>
    <row r="313" spans="1:24" x14ac:dyDescent="0.3">
      <c r="B313" s="406" t="s">
        <v>433</v>
      </c>
    </row>
    <row r="314" spans="1:24" x14ac:dyDescent="0.3">
      <c r="B314" s="677" t="s">
        <v>430</v>
      </c>
    </row>
    <row r="315" spans="1:24" x14ac:dyDescent="0.3">
      <c r="B315" s="406" t="s">
        <v>428</v>
      </c>
    </row>
    <row r="316" spans="1:24" x14ac:dyDescent="0.3">
      <c r="B316" s="406" t="s">
        <v>436</v>
      </c>
    </row>
    <row r="317" spans="1:24" x14ac:dyDescent="0.3">
      <c r="B317" s="406" t="s">
        <v>431</v>
      </c>
    </row>
    <row r="318" spans="1:24" x14ac:dyDescent="0.3">
      <c r="B318" s="677" t="s">
        <v>429</v>
      </c>
    </row>
    <row r="319" spans="1:24" x14ac:dyDescent="0.3">
      <c r="B319" s="677"/>
    </row>
    <row r="320" spans="1:24" x14ac:dyDescent="0.3">
      <c r="B320" s="678" t="s">
        <v>453</v>
      </c>
    </row>
    <row r="322" spans="2:2" x14ac:dyDescent="0.3">
      <c r="B322" s="649" t="s">
        <v>421</v>
      </c>
    </row>
    <row r="323" spans="2:2" x14ac:dyDescent="0.3">
      <c r="B323" s="406" t="s">
        <v>423</v>
      </c>
    </row>
    <row r="324" spans="2:2" x14ac:dyDescent="0.3">
      <c r="B324" s="676" t="s">
        <v>422</v>
      </c>
    </row>
    <row r="325" spans="2:2" x14ac:dyDescent="0.3">
      <c r="B325" s="676"/>
    </row>
    <row r="326" spans="2:2" x14ac:dyDescent="0.3">
      <c r="B326" s="406" t="s">
        <v>462</v>
      </c>
    </row>
    <row r="327" spans="2:2" x14ac:dyDescent="0.3">
      <c r="B327" s="406" t="s">
        <v>464</v>
      </c>
    </row>
  </sheetData>
  <hyperlinks>
    <hyperlink ref="I9" r:id="rId1" xr:uid="{1B0E69AC-38B5-4883-A0DC-A9FF26E39E20}"/>
    <hyperlink ref="P238" r:id="rId2" xr:uid="{9D163EE1-C0F7-4970-AE52-309FDDCEF295}"/>
    <hyperlink ref="B310" r:id="rId3" xr:uid="{E7120A7E-A362-4BD4-9C0C-07B14F3FF718}"/>
    <hyperlink ref="P305" r:id="rId4" xr:uid="{8723F56B-CBB4-4CC8-AF00-C597F21D2E1A}"/>
    <hyperlink ref="B324" r:id="rId5" display="https://investorreporting.paragonbankinggroup.co.uk/bondinvestor_viewer/resources/bondinvestor/pdf/investornews/2021/libor-mortgages-transition-july-19" xr:uid="{053BB181-6740-495A-8FA3-FD2313BBC4CA}"/>
    <hyperlink ref="B318" r:id="rId6" display="https://protect-eu.mimecast.com/s/wcu_C4934SBRnRxHOTIMr?domain=londonstockexchange.com" xr:uid="{5F9A5B6A-CC30-460A-A60E-C29C0FDDD82A}"/>
    <hyperlink ref="B314" r:id="rId7" display="https://protect-eu.mimecast.com/s/GQAHC60N2crGn7VHp3gPx?domain=londonstockexchange.com" xr:uid="{0FEB4905-3FD3-4770-B7C9-906DCE3239A1}"/>
  </hyperlinks>
  <printOptions horizontalCentered="1" verticalCentered="1"/>
  <pageMargins left="0.19685039370078741" right="0.19685039370078741" top="0.27559055118110237" bottom="0.27559055118110237" header="0" footer="0"/>
  <pageSetup scale="37" orientation="landscape" r:id="rId8"/>
  <headerFooter alignWithMargins="0"/>
  <rowBreaks count="3" manualBreakCount="3">
    <brk id="64" max="23" man="1"/>
    <brk id="141" max="14" man="1"/>
    <brk id="202" max="14" man="1"/>
  </rowBreaks>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89CB31"/>
  </sheetPr>
  <dimension ref="A1:Y279"/>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0.60329999999999995</v>
      </c>
      <c r="T16" s="17" t="s">
        <v>145</v>
      </c>
      <c r="U16" s="137">
        <v>0.3967</v>
      </c>
      <c r="V16" s="16"/>
      <c r="W16" s="15"/>
      <c r="X16" s="5"/>
    </row>
    <row r="17" spans="1:25"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5" ht="15.6" x14ac:dyDescent="0.3">
      <c r="A18" s="6"/>
      <c r="B18" s="14" t="s">
        <v>5</v>
      </c>
      <c r="C18" s="15"/>
      <c r="D18" s="15"/>
      <c r="E18" s="15"/>
      <c r="F18" s="15"/>
      <c r="G18" s="15"/>
      <c r="H18" s="15"/>
      <c r="I18" s="15"/>
      <c r="J18" s="15"/>
      <c r="K18" s="15"/>
      <c r="L18" s="15"/>
      <c r="M18" s="15"/>
      <c r="N18" s="15"/>
      <c r="O18" s="15"/>
      <c r="P18" s="15"/>
      <c r="Q18" s="15"/>
      <c r="R18" s="15"/>
      <c r="S18" s="15"/>
      <c r="T18" s="15"/>
      <c r="U18" s="15"/>
      <c r="V18" s="19">
        <v>39590</v>
      </c>
      <c r="W18" s="15"/>
      <c r="X18" s="5"/>
      <c r="Y18" s="170"/>
    </row>
    <row r="19" spans="1:25"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5"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5"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5"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5"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5"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5"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5"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5"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5"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5"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5"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5"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5" ht="15.6" x14ac:dyDescent="0.3">
      <c r="A32" s="24"/>
      <c r="B32" s="25" t="s">
        <v>137</v>
      </c>
      <c r="C32" s="32"/>
      <c r="D32" s="146">
        <f>D31*D38</f>
        <v>1326892.8</v>
      </c>
      <c r="E32" s="32"/>
      <c r="F32" s="31">
        <f>F31*F38</f>
        <v>128266.333</v>
      </c>
      <c r="G32" s="31"/>
      <c r="H32" s="124">
        <f>H31*H38</f>
        <v>216725.87300000002</v>
      </c>
      <c r="I32" s="124"/>
      <c r="J32" s="146">
        <f>J31*J38</f>
        <v>275109.10720000003</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1225024.05</v>
      </c>
      <c r="E33" s="36"/>
      <c r="F33" s="35">
        <f>F37*F31</f>
        <v>118419.035</v>
      </c>
      <c r="G33" s="35"/>
      <c r="H33" s="125">
        <f>H31*H37</f>
        <v>200087.33500000002</v>
      </c>
      <c r="I33" s="125"/>
      <c r="J33" s="151">
        <f>J37*J31</f>
        <v>253988.31969999999</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721137.04515839997</v>
      </c>
      <c r="E35" s="32"/>
      <c r="F35" s="31">
        <f>F34*F38</f>
        <v>128266.333</v>
      </c>
      <c r="G35" s="31"/>
      <c r="H35" s="31">
        <f>H34*H38</f>
        <v>149466.54635640001</v>
      </c>
      <c r="I35" s="31"/>
      <c r="J35" s="31">
        <f>J34*J38</f>
        <v>149516.0498944</v>
      </c>
      <c r="K35" s="31"/>
      <c r="L35" s="31">
        <f>+L34</f>
        <v>25000</v>
      </c>
      <c r="M35" s="31"/>
      <c r="N35" s="31">
        <f>+N34</f>
        <v>86897</v>
      </c>
      <c r="O35" s="31"/>
      <c r="P35" s="31">
        <f>+P34</f>
        <v>17000</v>
      </c>
      <c r="Q35" s="31"/>
      <c r="R35" s="31">
        <f>+R34</f>
        <v>73103</v>
      </c>
      <c r="S35" s="31"/>
      <c r="T35" s="31"/>
      <c r="U35" s="164"/>
      <c r="V35" s="154">
        <f>SUM(C35:R35)</f>
        <v>1350385.9744092</v>
      </c>
      <c r="W35" s="34"/>
      <c r="X35" s="5"/>
    </row>
    <row r="36" spans="1:24" ht="15.6" x14ac:dyDescent="0.3">
      <c r="A36" s="28"/>
      <c r="B36" s="29" t="s">
        <v>295</v>
      </c>
      <c r="C36" s="126"/>
      <c r="D36" s="35">
        <f>D34*D37</f>
        <v>665773.62064590002</v>
      </c>
      <c r="E36" s="36"/>
      <c r="F36" s="35">
        <f>F34*F37</f>
        <v>118419.035</v>
      </c>
      <c r="G36" s="35"/>
      <c r="H36" s="35">
        <f>H34*H37</f>
        <v>137991.659778</v>
      </c>
      <c r="I36" s="35"/>
      <c r="J36" s="35">
        <f>J34*J37</f>
        <v>138037.34331940001</v>
      </c>
      <c r="K36" s="35"/>
      <c r="L36" s="35">
        <f>+L34</f>
        <v>25000</v>
      </c>
      <c r="M36" s="35"/>
      <c r="N36" s="35">
        <f>+N34</f>
        <v>86897</v>
      </c>
      <c r="O36" s="35"/>
      <c r="P36" s="35">
        <f>+P34</f>
        <v>17000</v>
      </c>
      <c r="Q36" s="35"/>
      <c r="R36" s="35">
        <f>+R34</f>
        <v>73103</v>
      </c>
      <c r="S36" s="128"/>
      <c r="T36" s="128"/>
      <c r="U36" s="164"/>
      <c r="V36" s="155">
        <f>SUM(C36:R36)-1</f>
        <v>1262220.6587433</v>
      </c>
      <c r="W36" s="34"/>
      <c r="X36" s="5"/>
    </row>
    <row r="37" spans="1:24" ht="15.6" x14ac:dyDescent="0.3">
      <c r="A37" s="24"/>
      <c r="B37" s="122" t="s">
        <v>135</v>
      </c>
      <c r="C37" s="25"/>
      <c r="D37" s="168">
        <v>0.81668269999999998</v>
      </c>
      <c r="E37" s="169"/>
      <c r="F37" s="168">
        <v>0.81668300000000005</v>
      </c>
      <c r="G37" s="168"/>
      <c r="H37" s="168">
        <v>0.81668300000000005</v>
      </c>
      <c r="I37" s="168"/>
      <c r="J37" s="168">
        <v>0.81668269999999998</v>
      </c>
      <c r="K37" s="168"/>
      <c r="L37" s="168">
        <v>1</v>
      </c>
      <c r="M37" s="168"/>
      <c r="N37" s="168">
        <v>1</v>
      </c>
      <c r="O37" s="168"/>
      <c r="P37" s="168">
        <v>1</v>
      </c>
      <c r="Q37" s="168"/>
      <c r="R37" s="168">
        <v>1</v>
      </c>
      <c r="S37" s="30"/>
      <c r="T37" s="30"/>
      <c r="U37" s="163"/>
      <c r="V37" s="163"/>
      <c r="W37" s="25"/>
      <c r="X37" s="5"/>
    </row>
    <row r="38" spans="1:24" ht="15.6" x14ac:dyDescent="0.3">
      <c r="A38" s="24"/>
      <c r="B38" s="122" t="s">
        <v>136</v>
      </c>
      <c r="C38" s="25"/>
      <c r="D38" s="168">
        <v>0.88459520000000003</v>
      </c>
      <c r="E38" s="169"/>
      <c r="F38" s="168">
        <v>0.88459540000000003</v>
      </c>
      <c r="G38" s="168"/>
      <c r="H38" s="168">
        <v>0.88459540000000003</v>
      </c>
      <c r="I38" s="168"/>
      <c r="J38" s="168">
        <v>0.88459520000000003</v>
      </c>
      <c r="K38" s="168"/>
      <c r="L38" s="168">
        <v>1</v>
      </c>
      <c r="M38" s="168"/>
      <c r="N38" s="168">
        <v>1</v>
      </c>
      <c r="O38" s="168"/>
      <c r="P38" s="168">
        <v>1</v>
      </c>
      <c r="Q38" s="168"/>
      <c r="R38" s="168">
        <v>1</v>
      </c>
      <c r="S38" s="39"/>
      <c r="T38" s="38"/>
      <c r="U38" s="163"/>
      <c r="V38" s="39"/>
      <c r="W38" s="25"/>
      <c r="X38" s="5"/>
    </row>
    <row r="39" spans="1:24" ht="15.6" x14ac:dyDescent="0.3">
      <c r="A39" s="24"/>
      <c r="B39" s="25" t="s">
        <v>11</v>
      </c>
      <c r="C39" s="25"/>
      <c r="D39" s="30" t="s">
        <v>276</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2.7059400000000001E-2</v>
      </c>
      <c r="E40" s="25"/>
      <c r="F40" s="38">
        <v>5.77125E-2</v>
      </c>
      <c r="G40" s="39"/>
      <c r="H40" s="38">
        <v>4.4600000000000001E-2</v>
      </c>
      <c r="I40" s="38"/>
      <c r="J40" s="38">
        <v>3.175E-2</v>
      </c>
      <c r="K40" s="39"/>
      <c r="L40" s="38">
        <v>5.89125E-2</v>
      </c>
      <c r="M40" s="39"/>
      <c r="N40" s="38">
        <v>4.58E-2</v>
      </c>
      <c r="O40" s="39"/>
      <c r="P40" s="38">
        <v>6.11125E-2</v>
      </c>
      <c r="Q40" s="39"/>
      <c r="R40" s="38">
        <v>4.8000000000000001E-2</v>
      </c>
      <c r="S40" s="39"/>
      <c r="T40" s="38"/>
      <c r="U40" s="163"/>
      <c r="V40" s="30"/>
      <c r="W40" s="25"/>
      <c r="X40" s="5"/>
    </row>
    <row r="41" spans="1:24" ht="15.6" x14ac:dyDescent="0.3">
      <c r="A41" s="24"/>
      <c r="B41" s="25" t="s">
        <v>13</v>
      </c>
      <c r="C41" s="25"/>
      <c r="D41" s="38">
        <v>4.2262500000000001E-2</v>
      </c>
      <c r="E41" s="25"/>
      <c r="F41" s="38">
        <v>6.4625000000000002E-2</v>
      </c>
      <c r="G41" s="39"/>
      <c r="H41" s="38">
        <v>4.6949999999999999E-2</v>
      </c>
      <c r="I41" s="38"/>
      <c r="J41" s="38">
        <v>4.9787499999999998E-2</v>
      </c>
      <c r="K41" s="39"/>
      <c r="L41" s="38">
        <v>6.5824999999999995E-2</v>
      </c>
      <c r="M41" s="39"/>
      <c r="N41" s="38">
        <v>4.8149999999999998E-2</v>
      </c>
      <c r="O41" s="39"/>
      <c r="P41" s="38">
        <v>6.8025000000000002E-2</v>
      </c>
      <c r="Q41" s="39"/>
      <c r="R41" s="38">
        <v>5.0349999999999999E-2</v>
      </c>
      <c r="S41" s="39"/>
      <c r="T41" s="38"/>
      <c r="U41" s="163"/>
      <c r="V41" s="39" t="s">
        <v>199</v>
      </c>
      <c r="W41" s="25"/>
      <c r="X41" s="5"/>
    </row>
    <row r="42" spans="1:24" ht="15.6" x14ac:dyDescent="0.3">
      <c r="A42" s="24"/>
      <c r="B42" s="25" t="s">
        <v>296</v>
      </c>
      <c r="C42" s="25"/>
      <c r="D42" s="30" t="s">
        <v>268</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5.6604000000000002E-2</v>
      </c>
      <c r="E43" s="38"/>
      <c r="F43" s="38">
        <f>+F40</f>
        <v>5.77125E-2</v>
      </c>
      <c r="G43" s="38"/>
      <c r="H43" s="38">
        <v>5.7673500000000003E-2</v>
      </c>
      <c r="I43" s="38"/>
      <c r="J43" s="38">
        <v>5.7794499999999999E-2</v>
      </c>
      <c r="K43" s="38"/>
      <c r="L43" s="38">
        <f>+L40</f>
        <v>5.89125E-2</v>
      </c>
      <c r="M43" s="38"/>
      <c r="N43" s="38">
        <v>5.9013500000000003E-2</v>
      </c>
      <c r="O43" s="38"/>
      <c r="P43" s="38">
        <f>+P40</f>
        <v>6.11125E-2</v>
      </c>
      <c r="Q43" s="39"/>
      <c r="R43" s="38">
        <v>6.13485E-2</v>
      </c>
      <c r="S43" s="30"/>
      <c r="T43" s="30"/>
      <c r="U43" s="163"/>
      <c r="V43" s="39">
        <f>SUMPRODUCT(D43:R43,D35:R35)/V35</f>
        <v>5.7470869980910534E-2</v>
      </c>
      <c r="W43" s="25"/>
      <c r="X43" s="5"/>
    </row>
    <row r="44" spans="1:24" ht="15.6" x14ac:dyDescent="0.3">
      <c r="A44" s="24"/>
      <c r="B44" s="25" t="s">
        <v>298</v>
      </c>
      <c r="C44" s="110"/>
      <c r="D44" s="38">
        <v>6.3516500000000004E-2</v>
      </c>
      <c r="E44" s="38"/>
      <c r="F44" s="38">
        <f>+F41</f>
        <v>6.4625000000000002E-2</v>
      </c>
      <c r="G44" s="38"/>
      <c r="H44" s="38">
        <v>6.4586000000000005E-2</v>
      </c>
      <c r="I44" s="38"/>
      <c r="J44" s="38">
        <v>6.4707000000000001E-2</v>
      </c>
      <c r="K44" s="38"/>
      <c r="L44" s="38">
        <f>+L41</f>
        <v>6.5824999999999995E-2</v>
      </c>
      <c r="M44" s="38"/>
      <c r="N44" s="38">
        <v>6.5925999999999998E-2</v>
      </c>
      <c r="O44" s="38"/>
      <c r="P44" s="38">
        <f>+P41</f>
        <v>6.8025000000000002E-2</v>
      </c>
      <c r="Q44" s="39"/>
      <c r="R44" s="38">
        <v>6.8261000000000002E-2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0.19052619641767579</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39583</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92</v>
      </c>
      <c r="S57" s="25"/>
      <c r="T57" s="45">
        <v>39401</v>
      </c>
      <c r="U57" s="46"/>
      <c r="V57" s="45">
        <v>39492</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90</v>
      </c>
      <c r="S58" s="25"/>
      <c r="T58" s="45">
        <v>39493</v>
      </c>
      <c r="U58" s="46"/>
      <c r="V58" s="45">
        <v>39582</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39569</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284</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f>1350386-1</f>
        <v>1350385</v>
      </c>
      <c r="O69" s="34"/>
      <c r="P69" s="34">
        <f>88164+3669+1172</f>
        <v>93005</v>
      </c>
      <c r="Q69" s="34"/>
      <c r="R69" s="34">
        <f>3669+1172</f>
        <v>4841</v>
      </c>
      <c r="S69" s="34"/>
      <c r="T69" s="34">
        <v>0</v>
      </c>
      <c r="U69" s="34"/>
      <c r="V69" s="53">
        <f>+N69-P69+R69-T69</f>
        <v>1262221</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1350385</v>
      </c>
      <c r="O72" s="34"/>
      <c r="P72" s="34">
        <f>SUM(P69:P71)</f>
        <v>93005</v>
      </c>
      <c r="Q72" s="34"/>
      <c r="R72" s="34">
        <f>SUM(R69:R71)</f>
        <v>4841</v>
      </c>
      <c r="S72" s="34"/>
      <c r="T72" s="34">
        <f>SUM(T69:T71)</f>
        <v>0</v>
      </c>
      <c r="U72" s="34"/>
      <c r="V72" s="54">
        <f>SUM(V69:V71)</f>
        <v>1262221</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1350385</v>
      </c>
      <c r="O85" s="34"/>
      <c r="P85" s="34"/>
      <c r="Q85" s="34"/>
      <c r="R85" s="34"/>
      <c r="S85" s="34"/>
      <c r="T85" s="54"/>
      <c r="U85" s="34"/>
      <c r="V85" s="54">
        <f>SUM(V72:V84)</f>
        <v>1262221</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+T196</f>
        <v>39568</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93005-51</f>
        <v>92954</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12814+8001-1534-1055</f>
        <v>18226</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290+310</f>
        <v>600</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954</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f>12+1415</f>
        <v>1427</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3510</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92954</v>
      </c>
      <c r="U97" s="25"/>
      <c r="V97" s="54">
        <f>SUM(V89:V96)</f>
        <v>24717</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-195</v>
      </c>
      <c r="U98" s="25"/>
      <c r="V98" s="54">
        <v>195</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282</v>
      </c>
      <c r="C100" s="25"/>
      <c r="D100" s="25"/>
      <c r="E100" s="25"/>
      <c r="F100" s="25"/>
      <c r="G100" s="25"/>
      <c r="H100" s="25"/>
      <c r="I100" s="25"/>
      <c r="J100" s="25"/>
      <c r="K100" s="25"/>
      <c r="L100" s="25"/>
      <c r="M100" s="25"/>
      <c r="N100" s="25"/>
      <c r="O100" s="25"/>
      <c r="P100" s="25"/>
      <c r="Q100" s="25"/>
      <c r="R100" s="25"/>
      <c r="S100" s="25"/>
      <c r="T100" s="34"/>
      <c r="U100" s="25"/>
      <c r="V100" s="53">
        <v>-45</v>
      </c>
      <c r="W100" s="25"/>
      <c r="X100" s="5"/>
    </row>
    <row r="101" spans="1:25"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92759</v>
      </c>
      <c r="U101" s="25"/>
      <c r="V101" s="54">
        <f>V97+V99+V98+V100</f>
        <v>24867</v>
      </c>
      <c r="W101" s="25"/>
      <c r="X101" s="5"/>
    </row>
    <row r="102" spans="1:25"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5"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5" ht="15.6" x14ac:dyDescent="0.3">
      <c r="A104" s="24">
        <f>+A103+1</f>
        <v>2</v>
      </c>
      <c r="B104" s="25" t="s">
        <v>259</v>
      </c>
      <c r="C104" s="25"/>
      <c r="D104" s="25"/>
      <c r="E104" s="25"/>
      <c r="F104" s="25"/>
      <c r="G104" s="25"/>
      <c r="H104" s="25"/>
      <c r="I104" s="25"/>
      <c r="J104" s="25"/>
      <c r="K104" s="25"/>
      <c r="L104" s="25"/>
      <c r="M104" s="25"/>
      <c r="N104" s="25"/>
      <c r="O104" s="25"/>
      <c r="P104" s="25"/>
      <c r="Q104" s="25"/>
      <c r="R104" s="25"/>
      <c r="S104" s="25"/>
      <c r="T104" s="25"/>
      <c r="U104" s="25"/>
      <c r="V104" s="53">
        <v>-2</v>
      </c>
      <c r="W104" s="25"/>
      <c r="X104" s="5"/>
    </row>
    <row r="105" spans="1:25" ht="15.6" x14ac:dyDescent="0.3">
      <c r="A105" s="24">
        <f>+A104+1</f>
        <v>3</v>
      </c>
      <c r="B105" s="25" t="s">
        <v>210</v>
      </c>
      <c r="C105" s="25"/>
      <c r="D105" s="25"/>
      <c r="E105" s="25"/>
      <c r="F105" s="25"/>
      <c r="G105" s="25"/>
      <c r="H105" s="25"/>
      <c r="I105" s="25"/>
      <c r="J105" s="25"/>
      <c r="K105" s="25"/>
      <c r="L105" s="25"/>
      <c r="M105" s="25"/>
      <c r="N105" s="25"/>
      <c r="O105" s="25"/>
      <c r="P105" s="25"/>
      <c r="Q105" s="25"/>
      <c r="R105" s="25"/>
      <c r="S105" s="25"/>
      <c r="T105" s="25"/>
      <c r="U105" s="25"/>
      <c r="V105" s="53">
        <f>-500-45-16</f>
        <v>-561</v>
      </c>
      <c r="W105" s="25"/>
      <c r="X105" s="5"/>
    </row>
    <row r="106" spans="1:25" ht="15.6" x14ac:dyDescent="0.3">
      <c r="A106" s="24" t="s">
        <v>132</v>
      </c>
      <c r="B106" s="25" t="s">
        <v>121</v>
      </c>
      <c r="C106" s="25"/>
      <c r="D106" s="25"/>
      <c r="E106" s="25"/>
      <c r="F106" s="25"/>
      <c r="G106" s="25"/>
      <c r="H106" s="25"/>
      <c r="I106" s="25"/>
      <c r="J106" s="25"/>
      <c r="K106" s="25"/>
      <c r="L106" s="25"/>
      <c r="M106" s="25"/>
      <c r="N106" s="25"/>
      <c r="O106" s="25"/>
      <c r="P106" s="25"/>
      <c r="Q106" s="25"/>
      <c r="R106" s="25"/>
      <c r="S106" s="25"/>
      <c r="T106" s="25"/>
      <c r="U106" s="25"/>
      <c r="V106" s="53">
        <v>0</v>
      </c>
      <c r="W106" s="25"/>
      <c r="X106" s="5"/>
    </row>
    <row r="107" spans="1:25" ht="15.6" x14ac:dyDescent="0.3">
      <c r="A107" s="24" t="s">
        <v>133</v>
      </c>
      <c r="B107" s="25" t="s">
        <v>256</v>
      </c>
      <c r="C107" s="25"/>
      <c r="D107" s="25"/>
      <c r="E107" s="25"/>
      <c r="F107" s="25"/>
      <c r="G107" s="25"/>
      <c r="H107" s="25"/>
      <c r="I107" s="25"/>
      <c r="J107" s="25"/>
      <c r="K107" s="25"/>
      <c r="L107" s="25"/>
      <c r="M107" s="25"/>
      <c r="N107" s="25"/>
      <c r="O107" s="25"/>
      <c r="P107" s="25"/>
      <c r="Q107" s="25"/>
      <c r="R107" s="25"/>
      <c r="S107" s="25"/>
      <c r="T107" s="25"/>
      <c r="U107" s="25"/>
      <c r="V107" s="53">
        <f>-16146+1825</f>
        <v>-14321</v>
      </c>
      <c r="W107" s="25"/>
      <c r="X107" s="171"/>
      <c r="Y107" s="109"/>
    </row>
    <row r="108" spans="1:25" ht="15.6" x14ac:dyDescent="0.3">
      <c r="A108" s="24" t="s">
        <v>155</v>
      </c>
      <c r="B108" s="25" t="s">
        <v>190</v>
      </c>
      <c r="C108" s="25"/>
      <c r="D108" s="25"/>
      <c r="E108" s="25"/>
      <c r="F108" s="25"/>
      <c r="G108" s="25"/>
      <c r="H108" s="25"/>
      <c r="I108" s="25"/>
      <c r="J108" s="25"/>
      <c r="K108" s="25"/>
      <c r="L108" s="25"/>
      <c r="M108" s="25"/>
      <c r="N108" s="25"/>
      <c r="O108" s="25"/>
      <c r="P108" s="25"/>
      <c r="Q108" s="25"/>
      <c r="R108" s="25"/>
      <c r="S108" s="25"/>
      <c r="T108" s="25"/>
      <c r="U108" s="25"/>
      <c r="V108" s="53">
        <v>-1825</v>
      </c>
      <c r="W108" s="25"/>
      <c r="X108" s="5"/>
      <c r="Y108" s="109"/>
    </row>
    <row r="109" spans="1:25" ht="15.6" x14ac:dyDescent="0.3">
      <c r="A109" s="24" t="s">
        <v>211</v>
      </c>
      <c r="B109" s="25" t="s">
        <v>191</v>
      </c>
      <c r="C109" s="25"/>
      <c r="D109" s="25"/>
      <c r="E109" s="25"/>
      <c r="F109" s="25"/>
      <c r="G109" s="25"/>
      <c r="H109" s="25"/>
      <c r="I109" s="25"/>
      <c r="J109" s="25"/>
      <c r="K109" s="25"/>
      <c r="L109" s="25"/>
      <c r="M109" s="25"/>
      <c r="N109" s="25"/>
      <c r="O109" s="25"/>
      <c r="P109" s="25"/>
      <c r="Q109" s="25"/>
      <c r="R109" s="25"/>
      <c r="S109" s="25"/>
      <c r="T109" s="25"/>
      <c r="U109" s="25"/>
      <c r="V109" s="53">
        <v>-1264</v>
      </c>
      <c r="W109" s="25"/>
      <c r="X109" s="5"/>
      <c r="Y109" s="109"/>
    </row>
    <row r="110" spans="1:25" ht="15.6" x14ac:dyDescent="0.3">
      <c r="A110" s="24" t="s">
        <v>212</v>
      </c>
      <c r="B110" s="25" t="s">
        <v>192</v>
      </c>
      <c r="C110" s="25"/>
      <c r="D110" s="25"/>
      <c r="E110" s="25"/>
      <c r="F110" s="25"/>
      <c r="G110" s="25"/>
      <c r="H110" s="25"/>
      <c r="I110" s="25"/>
      <c r="J110" s="25"/>
      <c r="K110" s="25"/>
      <c r="L110" s="25"/>
      <c r="M110" s="25"/>
      <c r="N110" s="25"/>
      <c r="O110" s="25"/>
      <c r="P110" s="25"/>
      <c r="Q110" s="25"/>
      <c r="R110" s="25"/>
      <c r="S110" s="25"/>
      <c r="T110" s="25"/>
      <c r="U110" s="25"/>
      <c r="V110" s="53">
        <v>-363</v>
      </c>
      <c r="W110" s="25"/>
      <c r="X110" s="5"/>
      <c r="Y110" s="109"/>
    </row>
    <row r="111" spans="1:25" ht="15.6" x14ac:dyDescent="0.3">
      <c r="A111" s="24" t="s">
        <v>213</v>
      </c>
      <c r="B111" s="25" t="s">
        <v>202</v>
      </c>
      <c r="C111" s="25"/>
      <c r="D111" s="25"/>
      <c r="E111" s="25"/>
      <c r="F111" s="25"/>
      <c r="G111" s="25"/>
      <c r="H111" s="25"/>
      <c r="I111" s="25"/>
      <c r="J111" s="25"/>
      <c r="K111" s="25"/>
      <c r="L111" s="25"/>
      <c r="M111" s="25"/>
      <c r="N111" s="25"/>
      <c r="O111" s="25"/>
      <c r="P111" s="25"/>
      <c r="Q111" s="25"/>
      <c r="R111" s="25"/>
      <c r="S111" s="25"/>
      <c r="T111" s="25"/>
      <c r="U111" s="25"/>
      <c r="V111" s="53">
        <v>-1106</v>
      </c>
      <c r="W111" s="25"/>
      <c r="X111" s="5"/>
      <c r="Y111" s="109"/>
    </row>
    <row r="112" spans="1:25" ht="15.6" x14ac:dyDescent="0.3">
      <c r="A112" s="24" t="s">
        <v>258</v>
      </c>
      <c r="B112" s="25" t="s">
        <v>257</v>
      </c>
      <c r="C112" s="25"/>
      <c r="D112" s="25"/>
      <c r="E112" s="25"/>
      <c r="F112" s="25"/>
      <c r="G112" s="25"/>
      <c r="H112" s="25"/>
      <c r="I112" s="25"/>
      <c r="J112" s="25"/>
      <c r="K112" s="25"/>
      <c r="L112" s="25"/>
      <c r="M112" s="25"/>
      <c r="N112" s="25"/>
      <c r="O112" s="25"/>
      <c r="P112" s="25"/>
      <c r="Q112" s="25"/>
      <c r="R112" s="25"/>
      <c r="S112" s="25"/>
      <c r="T112" s="25"/>
      <c r="U112" s="25"/>
      <c r="V112" s="53">
        <v>-256</v>
      </c>
      <c r="W112" s="25"/>
      <c r="X112" s="5"/>
      <c r="Y112" s="109"/>
    </row>
    <row r="113" spans="1:24" ht="15.6" x14ac:dyDescent="0.3">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-10</v>
      </c>
      <c r="W113" s="25"/>
      <c r="X113" s="5"/>
    </row>
    <row r="114" spans="1:24" ht="15.6" x14ac:dyDescent="0.3">
      <c r="A114" s="24">
        <f t="shared" ref="A114:A119" si="0">+A113+1</f>
        <v>8</v>
      </c>
      <c r="B114" s="25" t="s">
        <v>46</v>
      </c>
      <c r="C114" s="25"/>
      <c r="D114" s="25"/>
      <c r="E114" s="25"/>
      <c r="F114" s="25"/>
      <c r="G114" s="25"/>
      <c r="H114" s="25"/>
      <c r="I114" s="25"/>
      <c r="J114" s="25"/>
      <c r="K114" s="25"/>
      <c r="L114" s="25"/>
      <c r="M114" s="25"/>
      <c r="N114" s="25"/>
      <c r="O114" s="25"/>
      <c r="P114" s="25"/>
      <c r="Q114" s="25"/>
      <c r="R114" s="25"/>
      <c r="S114" s="25"/>
      <c r="T114" s="34">
        <f>-V114</f>
        <v>51</v>
      </c>
      <c r="U114" s="25"/>
      <c r="V114" s="53">
        <v>-51</v>
      </c>
      <c r="W114" s="25"/>
      <c r="X114" s="5"/>
    </row>
    <row r="115" spans="1:24" ht="15.6" x14ac:dyDescent="0.3">
      <c r="A115" s="24">
        <f t="shared" si="0"/>
        <v>9</v>
      </c>
      <c r="B115" s="25" t="s">
        <v>130</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10</v>
      </c>
      <c r="B116" s="25" t="s">
        <v>36</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11</v>
      </c>
      <c r="B117" s="25" t="s">
        <v>37</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6" x14ac:dyDescent="0.3">
      <c r="A118" s="24">
        <f t="shared" si="0"/>
        <v>12</v>
      </c>
      <c r="B118" s="25" t="s">
        <v>154</v>
      </c>
      <c r="C118" s="25"/>
      <c r="D118" s="25"/>
      <c r="E118" s="25"/>
      <c r="F118" s="25"/>
      <c r="G118" s="25"/>
      <c r="H118" s="25"/>
      <c r="I118" s="25"/>
      <c r="J118" s="25"/>
      <c r="K118" s="25"/>
      <c r="L118" s="25"/>
      <c r="M118" s="25"/>
      <c r="N118" s="25"/>
      <c r="O118" s="25"/>
      <c r="P118" s="25"/>
      <c r="Q118" s="25"/>
      <c r="R118" s="25"/>
      <c r="S118" s="25"/>
      <c r="T118" s="25"/>
      <c r="U118" s="25"/>
      <c r="V118" s="53">
        <v>-500</v>
      </c>
      <c r="W118" s="25"/>
      <c r="X118" s="5"/>
    </row>
    <row r="119" spans="1:24" ht="15.6" x14ac:dyDescent="0.3">
      <c r="A119" s="24">
        <f t="shared" si="0"/>
        <v>13</v>
      </c>
      <c r="B119" s="25" t="s">
        <v>131</v>
      </c>
      <c r="C119" s="25"/>
      <c r="D119" s="25"/>
      <c r="E119" s="25"/>
      <c r="F119" s="25"/>
      <c r="G119" s="25"/>
      <c r="H119" s="25"/>
      <c r="I119" s="25"/>
      <c r="J119" s="25"/>
      <c r="K119" s="25"/>
      <c r="L119" s="25"/>
      <c r="M119" s="25"/>
      <c r="N119" s="25"/>
      <c r="O119" s="25"/>
      <c r="P119" s="25"/>
      <c r="Q119" s="25"/>
      <c r="R119" s="25"/>
      <c r="S119" s="25"/>
      <c r="T119" s="25"/>
      <c r="U119" s="25"/>
      <c r="V119" s="53">
        <f>-V101-SUM(V103:V118)</f>
        <v>-4608</v>
      </c>
      <c r="W119" s="25"/>
      <c r="X119" s="5"/>
    </row>
    <row r="120" spans="1:24" ht="15.6" x14ac:dyDescent="0.3">
      <c r="A120" s="24"/>
      <c r="B120" s="118" t="s">
        <v>38</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6" x14ac:dyDescent="0.3">
      <c r="A121" s="24"/>
      <c r="B121" s="25" t="s">
        <v>179</v>
      </c>
      <c r="C121" s="25"/>
      <c r="D121" s="25"/>
      <c r="E121" s="25"/>
      <c r="F121" s="25"/>
      <c r="G121" s="25"/>
      <c r="H121" s="25"/>
      <c r="I121" s="25"/>
      <c r="J121" s="25"/>
      <c r="K121" s="25"/>
      <c r="L121" s="25"/>
      <c r="M121" s="25"/>
      <c r="N121" s="25"/>
      <c r="O121" s="25"/>
      <c r="P121" s="25"/>
      <c r="Q121" s="25"/>
      <c r="R121" s="25"/>
      <c r="S121" s="25"/>
      <c r="T121" s="34">
        <f>-T180</f>
        <v>-251</v>
      </c>
      <c r="U121" s="34"/>
      <c r="V121" s="53"/>
      <c r="W121" s="25"/>
      <c r="X121" s="5"/>
    </row>
    <row r="122" spans="1:24" ht="15.6" x14ac:dyDescent="0.3">
      <c r="A122" s="24"/>
      <c r="B122" s="25" t="s">
        <v>180</v>
      </c>
      <c r="C122" s="25"/>
      <c r="D122" s="25"/>
      <c r="E122" s="25"/>
      <c r="F122" s="25"/>
      <c r="G122" s="25"/>
      <c r="H122" s="25"/>
      <c r="I122" s="25"/>
      <c r="J122" s="25"/>
      <c r="K122" s="25"/>
      <c r="L122" s="25"/>
      <c r="M122" s="25"/>
      <c r="N122" s="25"/>
      <c r="O122" s="25"/>
      <c r="P122" s="25"/>
      <c r="Q122" s="25"/>
      <c r="R122" s="25"/>
      <c r="S122" s="25"/>
      <c r="T122" s="34">
        <v>-33</v>
      </c>
      <c r="U122" s="34"/>
      <c r="V122" s="53"/>
      <c r="W122" s="25"/>
      <c r="X122" s="5"/>
    </row>
    <row r="123" spans="1:24" ht="15.6" x14ac:dyDescent="0.3">
      <c r="A123" s="24"/>
      <c r="B123" s="25" t="s">
        <v>39</v>
      </c>
      <c r="C123" s="25"/>
      <c r="D123" s="25"/>
      <c r="E123" s="25"/>
      <c r="F123" s="25"/>
      <c r="G123" s="25"/>
      <c r="H123" s="25"/>
      <c r="I123" s="25"/>
      <c r="J123" s="25"/>
      <c r="K123" s="25"/>
      <c r="L123" s="25"/>
      <c r="M123" s="25"/>
      <c r="N123" s="25"/>
      <c r="O123" s="25"/>
      <c r="P123" s="25"/>
      <c r="Q123" s="25"/>
      <c r="R123" s="25"/>
      <c r="S123" s="25"/>
      <c r="T123" s="34">
        <f>-S180</f>
        <v>-4362</v>
      </c>
      <c r="U123" s="34"/>
      <c r="V123" s="53"/>
      <c r="W123" s="25"/>
      <c r="X123" s="5"/>
    </row>
    <row r="124" spans="1:24" ht="15.6" x14ac:dyDescent="0.3">
      <c r="A124" s="24"/>
      <c r="B124" s="25" t="s">
        <v>203</v>
      </c>
      <c r="C124" s="25"/>
      <c r="D124" s="25"/>
      <c r="E124" s="25"/>
      <c r="F124" s="25"/>
      <c r="G124" s="25"/>
      <c r="H124" s="25"/>
      <c r="I124" s="25"/>
      <c r="J124" s="25"/>
      <c r="K124" s="25"/>
      <c r="L124" s="25"/>
      <c r="M124" s="25"/>
      <c r="N124" s="25"/>
      <c r="O124" s="25"/>
      <c r="P124" s="25"/>
      <c r="Q124" s="25"/>
      <c r="R124" s="25"/>
      <c r="S124" s="25"/>
      <c r="T124" s="34">
        <v>-55363</v>
      </c>
      <c r="U124" s="34"/>
      <c r="V124" s="53"/>
      <c r="W124" s="25"/>
      <c r="X124" s="5"/>
    </row>
    <row r="125" spans="1:24" ht="15.6" x14ac:dyDescent="0.3">
      <c r="A125" s="24"/>
      <c r="B125" s="25" t="s">
        <v>201</v>
      </c>
      <c r="C125" s="25"/>
      <c r="D125" s="25"/>
      <c r="E125" s="25"/>
      <c r="F125" s="25"/>
      <c r="G125" s="25"/>
      <c r="H125" s="25"/>
      <c r="I125" s="25"/>
      <c r="J125" s="25"/>
      <c r="K125" s="25"/>
      <c r="L125" s="25"/>
      <c r="M125" s="25"/>
      <c r="N125" s="25"/>
      <c r="O125" s="25"/>
      <c r="P125" s="25"/>
      <c r="Q125" s="25"/>
      <c r="R125" s="25"/>
      <c r="S125" s="25"/>
      <c r="T125" s="34">
        <v>-9847</v>
      </c>
      <c r="U125" s="34"/>
      <c r="V125" s="53"/>
      <c r="W125" s="25"/>
      <c r="X125" s="5"/>
    </row>
    <row r="126" spans="1:24" ht="15.6" x14ac:dyDescent="0.3">
      <c r="A126" s="24"/>
      <c r="B126" s="25" t="s">
        <v>200</v>
      </c>
      <c r="C126" s="25"/>
      <c r="D126" s="25"/>
      <c r="E126" s="25"/>
      <c r="F126" s="25"/>
      <c r="G126" s="25"/>
      <c r="H126" s="25"/>
      <c r="I126" s="25"/>
      <c r="J126" s="25"/>
      <c r="K126" s="25"/>
      <c r="L126" s="25"/>
      <c r="M126" s="25"/>
      <c r="N126" s="25"/>
      <c r="O126" s="25"/>
      <c r="P126" s="25"/>
      <c r="Q126" s="25"/>
      <c r="R126" s="25"/>
      <c r="S126" s="25"/>
      <c r="T126" s="34">
        <v>-11475</v>
      </c>
      <c r="U126" s="34"/>
      <c r="V126" s="53"/>
      <c r="W126" s="25"/>
      <c r="X126" s="5"/>
    </row>
    <row r="127" spans="1:24" ht="15.6" x14ac:dyDescent="0.3">
      <c r="A127" s="24"/>
      <c r="B127" s="25" t="s">
        <v>260</v>
      </c>
      <c r="C127" s="25"/>
      <c r="D127" s="25"/>
      <c r="E127" s="25"/>
      <c r="F127" s="25"/>
      <c r="G127" s="25"/>
      <c r="H127" s="25"/>
      <c r="I127" s="25"/>
      <c r="J127" s="25"/>
      <c r="K127" s="25"/>
      <c r="L127" s="25"/>
      <c r="M127" s="25"/>
      <c r="N127" s="25"/>
      <c r="O127" s="25"/>
      <c r="P127" s="25"/>
      <c r="Q127" s="25"/>
      <c r="R127" s="25"/>
      <c r="S127" s="25"/>
      <c r="T127" s="34">
        <v>-11479</v>
      </c>
      <c r="U127" s="34"/>
      <c r="V127" s="53"/>
      <c r="W127" s="25"/>
      <c r="X127" s="5"/>
    </row>
    <row r="128" spans="1:24" ht="15.6" x14ac:dyDescent="0.3">
      <c r="A128" s="24"/>
      <c r="B128" s="25" t="s">
        <v>195</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261</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193</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40</v>
      </c>
      <c r="C132" s="25"/>
      <c r="D132" s="25"/>
      <c r="E132" s="25"/>
      <c r="F132" s="25"/>
      <c r="G132" s="25"/>
      <c r="H132" s="25"/>
      <c r="I132" s="25"/>
      <c r="J132" s="25"/>
      <c r="K132" s="25"/>
      <c r="L132" s="25"/>
      <c r="M132" s="25"/>
      <c r="N132" s="25"/>
      <c r="O132" s="25"/>
      <c r="P132" s="25"/>
      <c r="Q132" s="25"/>
      <c r="R132" s="25"/>
      <c r="S132" s="25"/>
      <c r="T132" s="34">
        <f>SUM(T121:T131)</f>
        <v>-92810</v>
      </c>
      <c r="U132" s="34"/>
      <c r="V132" s="34">
        <f>SUM(V102:V129)</f>
        <v>-24867</v>
      </c>
      <c r="W132" s="25"/>
      <c r="X132" s="5"/>
    </row>
    <row r="133" spans="1:24" ht="15.6" x14ac:dyDescent="0.3">
      <c r="A133" s="24"/>
      <c r="B133" s="25" t="s">
        <v>41</v>
      </c>
      <c r="C133" s="25"/>
      <c r="D133" s="25"/>
      <c r="E133" s="25"/>
      <c r="F133" s="25"/>
      <c r="G133" s="25"/>
      <c r="H133" s="25"/>
      <c r="I133" s="25"/>
      <c r="J133" s="25"/>
      <c r="K133" s="25"/>
      <c r="L133" s="25"/>
      <c r="M133" s="25"/>
      <c r="N133" s="25"/>
      <c r="O133" s="25"/>
      <c r="P133" s="25"/>
      <c r="Q133" s="25"/>
      <c r="R133" s="25"/>
      <c r="S133" s="25"/>
      <c r="T133" s="34">
        <f>T101+T132+T114</f>
        <v>0</v>
      </c>
      <c r="U133" s="34"/>
      <c r="V133" s="34">
        <f>V101+V132</f>
        <v>0</v>
      </c>
      <c r="W133" s="25"/>
      <c r="X133" s="5"/>
    </row>
    <row r="134" spans="1:24" ht="15.6" x14ac:dyDescent="0.3">
      <c r="A134" s="24"/>
      <c r="B134" s="25"/>
      <c r="C134" s="25"/>
      <c r="D134" s="25"/>
      <c r="E134" s="25"/>
      <c r="F134" s="25"/>
      <c r="G134" s="25"/>
      <c r="H134" s="25"/>
      <c r="I134" s="25"/>
      <c r="J134" s="25"/>
      <c r="K134" s="25"/>
      <c r="L134" s="25"/>
      <c r="M134" s="25"/>
      <c r="N134" s="25"/>
      <c r="O134" s="25"/>
      <c r="P134" s="25"/>
      <c r="Q134" s="25"/>
      <c r="R134" s="25"/>
      <c r="S134" s="25"/>
      <c r="T134" s="34"/>
      <c r="U134" s="34"/>
      <c r="V134" s="34"/>
      <c r="W134" s="25"/>
      <c r="X134" s="5"/>
    </row>
    <row r="135" spans="1:24" ht="15.6" x14ac:dyDescent="0.3">
      <c r="A135" s="6"/>
      <c r="B135" s="8"/>
      <c r="C135" s="8"/>
      <c r="D135" s="8"/>
      <c r="E135" s="8"/>
      <c r="F135" s="8"/>
      <c r="G135" s="8"/>
      <c r="H135" s="8"/>
      <c r="I135" s="8"/>
      <c r="J135" s="8"/>
      <c r="K135" s="8"/>
      <c r="L135" s="8"/>
      <c r="M135" s="8"/>
      <c r="N135" s="8"/>
      <c r="O135" s="8"/>
      <c r="P135" s="8"/>
      <c r="Q135" s="8"/>
      <c r="R135" s="8"/>
      <c r="S135" s="8"/>
      <c r="T135" s="8"/>
      <c r="U135" s="8"/>
      <c r="V135" s="52"/>
      <c r="W135" s="8"/>
      <c r="X135" s="5"/>
    </row>
    <row r="136" spans="1:24" ht="18" thickBot="1" x14ac:dyDescent="0.35">
      <c r="A136" s="101"/>
      <c r="B136" s="102" t="str">
        <f>B64</f>
        <v>PM12 INVESTOR REPORT QUARTER ENDING APRIL 2008</v>
      </c>
      <c r="C136" s="103"/>
      <c r="D136" s="103"/>
      <c r="E136" s="103"/>
      <c r="F136" s="103"/>
      <c r="G136" s="103"/>
      <c r="H136" s="103"/>
      <c r="I136" s="103"/>
      <c r="J136" s="103"/>
      <c r="K136" s="103"/>
      <c r="L136" s="103"/>
      <c r="M136" s="103"/>
      <c r="N136" s="103"/>
      <c r="O136" s="103"/>
      <c r="P136" s="103"/>
      <c r="Q136" s="103"/>
      <c r="R136" s="103"/>
      <c r="S136" s="103"/>
      <c r="T136" s="103"/>
      <c r="U136" s="103"/>
      <c r="V136" s="106"/>
      <c r="W136" s="105"/>
      <c r="X136" s="5"/>
    </row>
    <row r="137" spans="1:24" ht="15.6" x14ac:dyDescent="0.3">
      <c r="A137" s="2"/>
      <c r="B137" s="60" t="s">
        <v>42</v>
      </c>
      <c r="C137" s="4"/>
      <c r="D137" s="4"/>
      <c r="E137" s="4"/>
      <c r="F137" s="4"/>
      <c r="G137" s="4"/>
      <c r="H137" s="4"/>
      <c r="I137" s="4"/>
      <c r="J137" s="4"/>
      <c r="K137" s="4"/>
      <c r="L137" s="4"/>
      <c r="M137" s="4"/>
      <c r="N137" s="4"/>
      <c r="O137" s="4"/>
      <c r="P137" s="4"/>
      <c r="Q137" s="4"/>
      <c r="R137" s="4"/>
      <c r="S137" s="4"/>
      <c r="T137" s="4"/>
      <c r="U137" s="4"/>
      <c r="V137" s="50"/>
      <c r="W137" s="4"/>
      <c r="X137" s="5"/>
    </row>
    <row r="138" spans="1:24" ht="15.6" x14ac:dyDescent="0.3">
      <c r="A138" s="6"/>
      <c r="B138" s="21"/>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6"/>
      <c r="B139" s="119" t="s">
        <v>43</v>
      </c>
      <c r="C139" s="8"/>
      <c r="D139" s="8"/>
      <c r="E139" s="8"/>
      <c r="F139" s="8"/>
      <c r="G139" s="8"/>
      <c r="H139" s="8"/>
      <c r="I139" s="8"/>
      <c r="J139" s="8"/>
      <c r="K139" s="8"/>
      <c r="L139" s="8"/>
      <c r="M139" s="8"/>
      <c r="N139" s="8"/>
      <c r="O139" s="8"/>
      <c r="P139" s="8"/>
      <c r="Q139" s="8"/>
      <c r="R139" s="8"/>
      <c r="S139" s="8"/>
      <c r="T139" s="8"/>
      <c r="U139" s="8"/>
      <c r="V139" s="52"/>
      <c r="W139" s="8"/>
      <c r="X139" s="5"/>
    </row>
    <row r="140" spans="1:24" ht="15.6" x14ac:dyDescent="0.3">
      <c r="A140" s="24"/>
      <c r="B140" s="25" t="s">
        <v>44</v>
      </c>
      <c r="C140" s="25"/>
      <c r="D140" s="25"/>
      <c r="E140" s="25"/>
      <c r="F140" s="25"/>
      <c r="G140" s="25"/>
      <c r="H140" s="25"/>
      <c r="I140" s="25"/>
      <c r="J140" s="25"/>
      <c r="K140" s="25"/>
      <c r="L140" s="25"/>
      <c r="M140" s="25"/>
      <c r="N140" s="25"/>
      <c r="O140" s="25"/>
      <c r="P140" s="25"/>
      <c r="Q140" s="25"/>
      <c r="R140" s="25"/>
      <c r="S140" s="25"/>
      <c r="T140" s="25"/>
      <c r="U140" s="25"/>
      <c r="V140" s="53">
        <f>+V34*0.019</f>
        <v>28503.895</v>
      </c>
      <c r="W140" s="25"/>
      <c r="X140" s="5"/>
    </row>
    <row r="141" spans="1:24" ht="15.6" x14ac:dyDescent="0.3">
      <c r="A141" s="24"/>
      <c r="B141" s="25" t="s">
        <v>45</v>
      </c>
      <c r="C141" s="25"/>
      <c r="D141" s="25"/>
      <c r="E141" s="25"/>
      <c r="F141" s="25"/>
      <c r="G141" s="25"/>
      <c r="H141" s="25"/>
      <c r="I141" s="25"/>
      <c r="J141" s="25"/>
      <c r="K141" s="25"/>
      <c r="L141" s="25"/>
      <c r="M141" s="25"/>
      <c r="N141" s="25"/>
      <c r="O141" s="25"/>
      <c r="P141" s="25"/>
      <c r="Q141" s="25"/>
      <c r="R141" s="25"/>
      <c r="S141" s="25"/>
      <c r="T141" s="25"/>
      <c r="U141" s="25"/>
      <c r="V141" s="53">
        <v>28504</v>
      </c>
      <c r="W141" s="25"/>
      <c r="X141" s="5"/>
    </row>
    <row r="142" spans="1:24" ht="15.6" x14ac:dyDescent="0.3">
      <c r="A142" s="24"/>
      <c r="B142" s="25" t="s">
        <v>141</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128</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129</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181</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46</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134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230</v>
      </c>
      <c r="C148" s="25"/>
      <c r="D148" s="25"/>
      <c r="E148" s="25"/>
      <c r="F148" s="25"/>
      <c r="G148" s="25"/>
      <c r="H148" s="25"/>
      <c r="I148" s="25"/>
      <c r="J148" s="25"/>
      <c r="K148" s="25"/>
      <c r="L148" s="25"/>
      <c r="M148" s="25"/>
      <c r="N148" s="25"/>
      <c r="O148" s="25"/>
      <c r="P148" s="25"/>
      <c r="Q148" s="25"/>
      <c r="R148" s="25"/>
      <c r="S148" s="25"/>
      <c r="T148" s="25"/>
      <c r="U148" s="25"/>
      <c r="V148" s="53">
        <v>0</v>
      </c>
      <c r="W148" s="25"/>
      <c r="X148" s="5"/>
      <c r="Y148" s="109"/>
    </row>
    <row r="149" spans="1:25" ht="15.6" x14ac:dyDescent="0.3">
      <c r="A149" s="24"/>
      <c r="B149" s="25" t="s">
        <v>47</v>
      </c>
      <c r="C149" s="25"/>
      <c r="D149" s="25"/>
      <c r="E149" s="25"/>
      <c r="F149" s="25"/>
      <c r="G149" s="25"/>
      <c r="H149" s="25"/>
      <c r="I149" s="25"/>
      <c r="J149" s="25"/>
      <c r="K149" s="25"/>
      <c r="L149" s="25"/>
      <c r="M149" s="25"/>
      <c r="N149" s="25"/>
      <c r="O149" s="25"/>
      <c r="P149" s="25"/>
      <c r="Q149" s="25"/>
      <c r="R149" s="25"/>
      <c r="S149" s="25"/>
      <c r="T149" s="25"/>
      <c r="U149" s="25"/>
      <c r="V149" s="53">
        <f>SUM(V141:V148)</f>
        <v>28504</v>
      </c>
      <c r="W149" s="25"/>
      <c r="X149" s="5"/>
    </row>
    <row r="150" spans="1:25" ht="15.6" x14ac:dyDescent="0.3">
      <c r="A150" s="24"/>
      <c r="B150" s="25"/>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138" t="s">
        <v>269</v>
      </c>
      <c r="C151" s="25"/>
      <c r="D151" s="25"/>
      <c r="E151" s="25"/>
      <c r="F151" s="25"/>
      <c r="G151" s="25"/>
      <c r="H151" s="25"/>
      <c r="I151" s="25"/>
      <c r="J151" s="25"/>
      <c r="K151" s="25"/>
      <c r="L151" s="25"/>
      <c r="M151" s="25"/>
      <c r="N151" s="25"/>
      <c r="O151" s="25"/>
      <c r="P151" s="25"/>
      <c r="Q151" s="25"/>
      <c r="R151" s="25"/>
      <c r="S151" s="25"/>
      <c r="T151" s="25"/>
      <c r="U151" s="25"/>
      <c r="V151" s="53"/>
      <c r="W151" s="25"/>
      <c r="X151" s="5"/>
    </row>
    <row r="152" spans="1:25" ht="15.6" x14ac:dyDescent="0.3">
      <c r="A152" s="24"/>
      <c r="B152" s="25" t="s">
        <v>160</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178</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t="s">
        <v>270</v>
      </c>
      <c r="C154" s="25"/>
      <c r="D154" s="25"/>
      <c r="E154" s="25"/>
      <c r="F154" s="25"/>
      <c r="G154" s="25"/>
      <c r="H154" s="25"/>
      <c r="I154" s="25"/>
      <c r="J154" s="25"/>
      <c r="K154" s="25"/>
      <c r="L154" s="25"/>
      <c r="M154" s="25"/>
      <c r="N154" s="25"/>
      <c r="O154" s="25"/>
      <c r="P154" s="25"/>
      <c r="Q154" s="25"/>
      <c r="R154" s="25"/>
      <c r="S154" s="25"/>
      <c r="T154" s="25"/>
      <c r="U154" s="25"/>
      <c r="V154" s="53">
        <v>0</v>
      </c>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53"/>
      <c r="W155" s="25"/>
      <c r="X155" s="5"/>
    </row>
    <row r="156" spans="1:25" ht="15.6" x14ac:dyDescent="0.3">
      <c r="A156" s="24"/>
      <c r="B156" s="25"/>
      <c r="C156" s="25"/>
      <c r="D156" s="25"/>
      <c r="E156" s="25"/>
      <c r="F156" s="25"/>
      <c r="G156" s="25"/>
      <c r="H156" s="25"/>
      <c r="I156" s="25"/>
      <c r="J156" s="25"/>
      <c r="K156" s="25"/>
      <c r="L156" s="25"/>
      <c r="M156" s="25"/>
      <c r="N156" s="25"/>
      <c r="O156" s="25"/>
      <c r="P156" s="25"/>
      <c r="Q156" s="25"/>
      <c r="R156" s="25"/>
      <c r="S156" s="25"/>
      <c r="T156" s="25"/>
      <c r="U156" s="25"/>
      <c r="V156" s="61"/>
      <c r="W156" s="25"/>
      <c r="X156" s="5"/>
    </row>
    <row r="157" spans="1:25" ht="15.6" x14ac:dyDescent="0.3">
      <c r="A157" s="6"/>
      <c r="B157" s="119" t="s">
        <v>24</v>
      </c>
      <c r="C157" s="8"/>
      <c r="D157" s="8"/>
      <c r="E157" s="8"/>
      <c r="F157" s="8"/>
      <c r="G157" s="8"/>
      <c r="H157" s="8"/>
      <c r="I157" s="8"/>
      <c r="J157" s="8"/>
      <c r="K157" s="8"/>
      <c r="L157" s="8"/>
      <c r="M157" s="8"/>
      <c r="N157" s="8"/>
      <c r="O157" s="8"/>
      <c r="P157" s="8"/>
      <c r="Q157" s="8"/>
      <c r="R157" s="8"/>
      <c r="S157" s="8"/>
      <c r="T157" s="8"/>
      <c r="U157" s="8"/>
      <c r="V157" s="52"/>
      <c r="W157" s="8"/>
      <c r="X157" s="5"/>
    </row>
    <row r="158" spans="1:25" ht="15.6" x14ac:dyDescent="0.3">
      <c r="A158" s="24"/>
      <c r="B158" s="25" t="s">
        <v>48</v>
      </c>
      <c r="C158" s="25"/>
      <c r="D158" s="25"/>
      <c r="E158" s="25"/>
      <c r="F158" s="25"/>
      <c r="G158" s="25"/>
      <c r="H158" s="25"/>
      <c r="I158" s="25"/>
      <c r="J158" s="25"/>
      <c r="K158" s="25"/>
      <c r="L158" s="25"/>
      <c r="M158" s="25"/>
      <c r="N158" s="25"/>
      <c r="O158" s="25"/>
      <c r="P158" s="25"/>
      <c r="Q158" s="25"/>
      <c r="R158" s="25"/>
      <c r="S158" s="25"/>
      <c r="T158" s="25"/>
      <c r="U158" s="25"/>
      <c r="V158" s="59" t="s">
        <v>123</v>
      </c>
      <c r="W158" s="25"/>
      <c r="X158" s="5"/>
    </row>
    <row r="159" spans="1:25" ht="15.6" x14ac:dyDescent="0.3">
      <c r="A159" s="24"/>
      <c r="B159" s="25" t="s">
        <v>49</v>
      </c>
      <c r="C159" s="163"/>
      <c r="D159" s="163"/>
      <c r="E159" s="163"/>
      <c r="F159" s="163"/>
      <c r="G159" s="163"/>
      <c r="H159" s="163"/>
      <c r="I159" s="163"/>
      <c r="J159" s="163"/>
      <c r="K159" s="163"/>
      <c r="L159" s="163"/>
      <c r="M159" s="163"/>
      <c r="N159" s="163"/>
      <c r="O159" s="163"/>
      <c r="P159" s="163"/>
      <c r="Q159" s="163"/>
      <c r="R159" s="163"/>
      <c r="S159" s="163"/>
      <c r="T159" s="163"/>
      <c r="U159" s="163"/>
      <c r="V159" s="59" t="s">
        <v>123</v>
      </c>
      <c r="W159" s="25"/>
      <c r="X159" s="5"/>
    </row>
    <row r="160" spans="1:25" ht="15.6" x14ac:dyDescent="0.3">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t="s">
        <v>51</v>
      </c>
      <c r="C161" s="25"/>
      <c r="D161" s="25"/>
      <c r="E161" s="25"/>
      <c r="F161" s="25"/>
      <c r="G161" s="25"/>
      <c r="H161" s="25"/>
      <c r="I161" s="25"/>
      <c r="J161" s="25"/>
      <c r="K161" s="25"/>
      <c r="L161" s="25"/>
      <c r="M161" s="25"/>
      <c r="N161" s="25"/>
      <c r="O161" s="25"/>
      <c r="P161" s="25"/>
      <c r="Q161" s="25"/>
      <c r="R161" s="25"/>
      <c r="S161" s="25"/>
      <c r="T161" s="25"/>
      <c r="U161" s="25"/>
      <c r="V161" s="59" t="s">
        <v>123</v>
      </c>
      <c r="W161" s="25"/>
      <c r="X161" s="5"/>
    </row>
    <row r="162" spans="1:24" ht="15.6" x14ac:dyDescent="0.3">
      <c r="A162" s="24"/>
      <c r="B162" s="25"/>
      <c r="C162" s="25"/>
      <c r="D162" s="25"/>
      <c r="E162" s="25"/>
      <c r="F162" s="25"/>
      <c r="G162" s="25"/>
      <c r="H162" s="25"/>
      <c r="I162" s="25"/>
      <c r="J162" s="25"/>
      <c r="K162" s="25"/>
      <c r="L162" s="25"/>
      <c r="M162" s="25"/>
      <c r="N162" s="25"/>
      <c r="O162" s="25"/>
      <c r="P162" s="25"/>
      <c r="Q162" s="25"/>
      <c r="R162" s="25"/>
      <c r="S162" s="25"/>
      <c r="T162" s="25"/>
      <c r="U162" s="25"/>
      <c r="V162" s="61"/>
      <c r="W162" s="25"/>
      <c r="X162" s="5"/>
    </row>
    <row r="163" spans="1:24" ht="15.6" x14ac:dyDescent="0.3">
      <c r="A163" s="6"/>
      <c r="B163" s="119" t="s">
        <v>52</v>
      </c>
      <c r="C163" s="8"/>
      <c r="D163" s="8"/>
      <c r="E163" s="8"/>
      <c r="F163" s="8"/>
      <c r="G163" s="8"/>
      <c r="H163" s="8"/>
      <c r="I163" s="8"/>
      <c r="J163" s="8"/>
      <c r="K163" s="8"/>
      <c r="L163" s="8"/>
      <c r="M163" s="8"/>
      <c r="N163" s="8"/>
      <c r="O163" s="8"/>
      <c r="P163" s="8"/>
      <c r="Q163" s="8"/>
      <c r="R163" s="8"/>
      <c r="S163" s="8"/>
      <c r="T163" s="8"/>
      <c r="U163" s="8"/>
      <c r="V163" s="63"/>
      <c r="W163" s="8"/>
      <c r="X163" s="5"/>
    </row>
    <row r="164" spans="1:24" ht="15.6" x14ac:dyDescent="0.3">
      <c r="A164" s="24"/>
      <c r="B164" s="25" t="s">
        <v>53</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4" ht="15.6" x14ac:dyDescent="0.3">
      <c r="A165" s="24"/>
      <c r="B165" s="25" t="s">
        <v>54</v>
      </c>
      <c r="C165" s="25"/>
      <c r="D165" s="25"/>
      <c r="E165" s="25"/>
      <c r="F165" s="25"/>
      <c r="G165" s="25"/>
      <c r="H165" s="25"/>
      <c r="I165" s="25"/>
      <c r="J165" s="25"/>
      <c r="K165" s="25"/>
      <c r="L165" s="25"/>
      <c r="M165" s="25"/>
      <c r="N165" s="25"/>
      <c r="O165" s="25"/>
      <c r="P165" s="25"/>
      <c r="Q165" s="25"/>
      <c r="R165" s="25"/>
      <c r="S165" s="25"/>
      <c r="T165" s="25"/>
      <c r="U165" s="25"/>
      <c r="V165" s="53">
        <f>-V114</f>
        <v>51</v>
      </c>
      <c r="W165" s="25"/>
      <c r="X165" s="5"/>
    </row>
    <row r="166" spans="1:24" ht="15.6" x14ac:dyDescent="0.3">
      <c r="A166" s="24"/>
      <c r="B166" s="25" t="s">
        <v>55</v>
      </c>
      <c r="C166" s="25"/>
      <c r="D166" s="25"/>
      <c r="E166" s="25"/>
      <c r="F166" s="25"/>
      <c r="G166" s="25"/>
      <c r="H166" s="25"/>
      <c r="I166" s="25"/>
      <c r="J166" s="25"/>
      <c r="K166" s="25"/>
      <c r="L166" s="25"/>
      <c r="M166" s="25"/>
      <c r="N166" s="25"/>
      <c r="O166" s="25"/>
      <c r="P166" s="25"/>
      <c r="Q166" s="25"/>
      <c r="R166" s="25"/>
      <c r="S166" s="25"/>
      <c r="T166" s="25"/>
      <c r="U166" s="25"/>
      <c r="V166" s="53">
        <f>V165+V164</f>
        <v>51</v>
      </c>
      <c r="W166" s="25"/>
      <c r="X166" s="5"/>
    </row>
    <row r="167" spans="1:24" ht="15.6" x14ac:dyDescent="0.3">
      <c r="A167" s="24"/>
      <c r="B167" s="25" t="s">
        <v>310</v>
      </c>
      <c r="C167" s="25"/>
      <c r="D167" s="25"/>
      <c r="E167" s="25"/>
      <c r="F167" s="25"/>
      <c r="G167" s="25"/>
      <c r="H167" s="25"/>
      <c r="I167" s="25"/>
      <c r="J167" s="25"/>
      <c r="K167" s="25"/>
      <c r="L167" s="25"/>
      <c r="M167" s="25"/>
      <c r="N167" s="25"/>
      <c r="O167" s="25"/>
      <c r="P167" s="25"/>
      <c r="Q167" s="25"/>
      <c r="R167" s="25"/>
      <c r="S167" s="25"/>
      <c r="T167" s="25"/>
      <c r="U167" s="25"/>
      <c r="V167" s="53">
        <f>V114</f>
        <v>-51</v>
      </c>
      <c r="W167" s="25"/>
      <c r="X167" s="5"/>
    </row>
    <row r="168" spans="1:24" ht="15.6" x14ac:dyDescent="0.3">
      <c r="A168" s="24"/>
      <c r="B168" s="25" t="s">
        <v>56</v>
      </c>
      <c r="C168" s="25"/>
      <c r="D168" s="25"/>
      <c r="E168" s="25"/>
      <c r="F168" s="25"/>
      <c r="G168" s="25"/>
      <c r="H168" s="25"/>
      <c r="I168" s="25"/>
      <c r="J168" s="25"/>
      <c r="K168" s="25"/>
      <c r="L168" s="25"/>
      <c r="M168" s="25"/>
      <c r="N168" s="25"/>
      <c r="O168" s="25"/>
      <c r="P168" s="25"/>
      <c r="Q168" s="25"/>
      <c r="R168" s="25"/>
      <c r="S168" s="25"/>
      <c r="T168" s="25"/>
      <c r="U168" s="25"/>
      <c r="V168" s="53">
        <f>V166+V167</f>
        <v>0</v>
      </c>
      <c r="W168" s="25"/>
      <c r="X168" s="5"/>
    </row>
    <row r="169" spans="1:24" ht="16.2" thickBot="1" x14ac:dyDescent="0.35">
      <c r="A169" s="24"/>
      <c r="B169" s="25"/>
      <c r="C169" s="25"/>
      <c r="D169" s="25"/>
      <c r="E169" s="25"/>
      <c r="F169" s="25"/>
      <c r="G169" s="25"/>
      <c r="H169" s="25"/>
      <c r="I169" s="25"/>
      <c r="J169" s="25"/>
      <c r="K169" s="25"/>
      <c r="L169" s="25"/>
      <c r="M169" s="25"/>
      <c r="N169" s="25"/>
      <c r="O169" s="25"/>
      <c r="P169" s="25"/>
      <c r="Q169" s="25"/>
      <c r="R169" s="25"/>
      <c r="S169" s="25"/>
      <c r="T169" s="25"/>
      <c r="U169" s="25"/>
      <c r="V169" s="61"/>
      <c r="W169" s="25"/>
      <c r="X169" s="5"/>
    </row>
    <row r="170" spans="1:24" ht="15.6" x14ac:dyDescent="0.3">
      <c r="A170" s="2"/>
      <c r="B170" s="4"/>
      <c r="C170" s="4"/>
      <c r="D170" s="4"/>
      <c r="E170" s="4"/>
      <c r="F170" s="4"/>
      <c r="G170" s="4"/>
      <c r="H170" s="4"/>
      <c r="I170" s="4"/>
      <c r="J170" s="4"/>
      <c r="K170" s="4"/>
      <c r="L170" s="4"/>
      <c r="M170" s="4"/>
      <c r="N170" s="4"/>
      <c r="O170" s="4"/>
      <c r="P170" s="4"/>
      <c r="Q170" s="4"/>
      <c r="R170" s="4"/>
      <c r="S170" s="4"/>
      <c r="T170" s="4"/>
      <c r="U170" s="4"/>
      <c r="V170" s="50"/>
      <c r="W170" s="4"/>
      <c r="X170" s="5"/>
    </row>
    <row r="171" spans="1:24" ht="15.6" x14ac:dyDescent="0.3">
      <c r="A171" s="6"/>
      <c r="B171" s="119" t="s">
        <v>57</v>
      </c>
      <c r="C171" s="8"/>
      <c r="D171" s="8"/>
      <c r="E171" s="8"/>
      <c r="F171" s="8"/>
      <c r="G171" s="8"/>
      <c r="H171" s="8"/>
      <c r="I171" s="8"/>
      <c r="J171" s="8"/>
      <c r="K171" s="8"/>
      <c r="L171" s="8"/>
      <c r="M171" s="8"/>
      <c r="N171" s="8"/>
      <c r="O171" s="8"/>
      <c r="P171" s="8"/>
      <c r="Q171" s="8"/>
      <c r="R171" s="8"/>
      <c r="S171" s="8"/>
      <c r="T171" s="8"/>
      <c r="U171" s="8"/>
      <c r="V171" s="52"/>
      <c r="W171" s="8"/>
      <c r="X171" s="5"/>
    </row>
    <row r="172" spans="1:24" ht="15.6" x14ac:dyDescent="0.3">
      <c r="A172" s="6"/>
      <c r="B172" s="21"/>
      <c r="C172" s="8"/>
      <c r="D172" s="8"/>
      <c r="E172" s="8"/>
      <c r="F172" s="8"/>
      <c r="G172" s="8"/>
      <c r="H172" s="8"/>
      <c r="I172" s="8"/>
      <c r="J172" s="8"/>
      <c r="K172" s="8"/>
      <c r="L172" s="8"/>
      <c r="M172" s="8"/>
      <c r="N172" s="8"/>
      <c r="O172" s="8"/>
      <c r="P172" s="8"/>
      <c r="Q172" s="8"/>
      <c r="R172" s="8"/>
      <c r="S172" s="8"/>
      <c r="T172" s="8"/>
      <c r="U172" s="8"/>
      <c r="V172" s="52"/>
      <c r="W172" s="8"/>
      <c r="X172" s="5"/>
    </row>
    <row r="173" spans="1:24" ht="15.6" x14ac:dyDescent="0.3">
      <c r="A173" s="24"/>
      <c r="B173" s="25" t="s">
        <v>58</v>
      </c>
      <c r="C173" s="25"/>
      <c r="D173" s="25"/>
      <c r="E173" s="25"/>
      <c r="F173" s="25"/>
      <c r="G173" s="25"/>
      <c r="H173" s="25"/>
      <c r="I173" s="25"/>
      <c r="J173" s="25"/>
      <c r="K173" s="25"/>
      <c r="L173" s="25"/>
      <c r="M173" s="25"/>
      <c r="N173" s="25"/>
      <c r="O173" s="25"/>
      <c r="P173" s="25"/>
      <c r="Q173" s="25"/>
      <c r="R173" s="25"/>
      <c r="S173" s="25"/>
      <c r="T173" s="25"/>
      <c r="U173" s="25"/>
      <c r="V173" s="53">
        <f>V72</f>
        <v>1262221</v>
      </c>
      <c r="W173" s="25"/>
      <c r="X173" s="5"/>
    </row>
    <row r="174" spans="1:24" ht="15.6" x14ac:dyDescent="0.3">
      <c r="A174" s="24"/>
      <c r="B174" s="25" t="s">
        <v>59</v>
      </c>
      <c r="C174" s="25"/>
      <c r="D174" s="25"/>
      <c r="E174" s="25"/>
      <c r="F174" s="25"/>
      <c r="G174" s="25"/>
      <c r="H174" s="25"/>
      <c r="I174" s="25"/>
      <c r="J174" s="25"/>
      <c r="K174" s="25"/>
      <c r="L174" s="25"/>
      <c r="M174" s="25"/>
      <c r="N174" s="25"/>
      <c r="O174" s="25"/>
      <c r="P174" s="25"/>
      <c r="Q174" s="25"/>
      <c r="R174" s="25"/>
      <c r="S174" s="25"/>
      <c r="T174" s="25"/>
      <c r="U174" s="25"/>
      <c r="V174" s="53">
        <f>V85</f>
        <v>1262221</v>
      </c>
      <c r="W174" s="25"/>
      <c r="X174" s="5"/>
    </row>
    <row r="175" spans="1:24" ht="16.2" thickBot="1" x14ac:dyDescent="0.35">
      <c r="A175" s="24"/>
      <c r="B175" s="25"/>
      <c r="C175" s="25"/>
      <c r="D175" s="25"/>
      <c r="E175" s="25"/>
      <c r="F175" s="25"/>
      <c r="G175" s="25"/>
      <c r="H175" s="25"/>
      <c r="I175" s="25"/>
      <c r="J175" s="25"/>
      <c r="K175" s="25"/>
      <c r="L175" s="25"/>
      <c r="M175" s="25"/>
      <c r="N175" s="25"/>
      <c r="O175" s="25"/>
      <c r="P175" s="25"/>
      <c r="Q175" s="25"/>
      <c r="R175" s="25"/>
      <c r="S175" s="25"/>
      <c r="T175" s="25"/>
      <c r="U175" s="25"/>
      <c r="V175" s="61"/>
      <c r="W175" s="25"/>
      <c r="X175" s="5"/>
    </row>
    <row r="176" spans="1:24" ht="15.6" x14ac:dyDescent="0.3">
      <c r="A176" s="2"/>
      <c r="B176" s="4"/>
      <c r="C176" s="4"/>
      <c r="D176" s="4"/>
      <c r="E176" s="4"/>
      <c r="F176" s="4"/>
      <c r="G176" s="4"/>
      <c r="H176" s="4"/>
      <c r="I176" s="4"/>
      <c r="J176" s="4"/>
      <c r="K176" s="4"/>
      <c r="L176" s="4"/>
      <c r="M176" s="4"/>
      <c r="N176" s="4"/>
      <c r="O176" s="4"/>
      <c r="P176" s="4"/>
      <c r="Q176" s="4"/>
      <c r="R176" s="4"/>
      <c r="S176" s="4"/>
      <c r="T176" s="4"/>
      <c r="U176" s="4"/>
      <c r="V176" s="50"/>
      <c r="W176" s="4"/>
      <c r="X176" s="5"/>
    </row>
    <row r="177" spans="1:24" ht="15.6" x14ac:dyDescent="0.3">
      <c r="A177" s="6"/>
      <c r="B177" s="119" t="s">
        <v>60</v>
      </c>
      <c r="C177" s="117"/>
      <c r="D177" s="117"/>
      <c r="E177" s="117"/>
      <c r="F177" s="117"/>
      <c r="G177" s="117"/>
      <c r="H177" s="120"/>
      <c r="I177" s="120"/>
      <c r="J177" s="120"/>
      <c r="K177" s="120"/>
      <c r="L177" s="120"/>
      <c r="M177" s="120"/>
      <c r="N177" s="120"/>
      <c r="O177" s="120"/>
      <c r="P177" s="120"/>
      <c r="Q177" s="120"/>
      <c r="R177" s="120"/>
      <c r="S177" s="120" t="s">
        <v>103</v>
      </c>
      <c r="T177" s="120" t="s">
        <v>182</v>
      </c>
      <c r="U177" s="111"/>
      <c r="V177" s="121" t="s">
        <v>119</v>
      </c>
      <c r="W177" s="10"/>
      <c r="X177" s="5"/>
    </row>
    <row r="178" spans="1:24" ht="15.6" x14ac:dyDescent="0.3">
      <c r="A178" s="24"/>
      <c r="B178" s="25" t="s">
        <v>61</v>
      </c>
      <c r="C178" s="25"/>
      <c r="D178" s="25"/>
      <c r="E178" s="25"/>
      <c r="F178" s="25"/>
      <c r="G178" s="25"/>
      <c r="H178" s="25"/>
      <c r="I178" s="25"/>
      <c r="J178" s="25"/>
      <c r="K178" s="25"/>
      <c r="L178" s="25"/>
      <c r="M178" s="25"/>
      <c r="N178" s="25"/>
      <c r="O178" s="25"/>
      <c r="P178" s="25"/>
      <c r="Q178" s="25"/>
      <c r="R178" s="25"/>
      <c r="S178" s="53">
        <f>+V34*0.16</f>
        <v>240032.80000000002</v>
      </c>
      <c r="T178" s="40"/>
      <c r="U178" s="25"/>
      <c r="V178" s="53"/>
      <c r="W178" s="25"/>
      <c r="X178" s="5"/>
    </row>
    <row r="179" spans="1:24" ht="15.6" x14ac:dyDescent="0.3">
      <c r="A179" s="24"/>
      <c r="B179" s="25" t="s">
        <v>62</v>
      </c>
      <c r="C179" s="25"/>
      <c r="D179" s="25"/>
      <c r="E179" s="25"/>
      <c r="F179" s="25"/>
      <c r="G179" s="25"/>
      <c r="H179" s="25"/>
      <c r="I179" s="25"/>
      <c r="J179" s="25"/>
      <c r="K179" s="25"/>
      <c r="L179" s="25"/>
      <c r="M179" s="25"/>
      <c r="N179" s="25"/>
      <c r="O179" s="25"/>
      <c r="P179" s="25"/>
      <c r="Q179" s="25"/>
      <c r="R179" s="25"/>
      <c r="S179" s="53">
        <f>+'Jan 08'!S181</f>
        <v>31904</v>
      </c>
      <c r="T179" s="53">
        <f>+'Jan 08'!T181</f>
        <v>5458</v>
      </c>
      <c r="U179" s="25"/>
      <c r="V179" s="53">
        <f>S179+T179</f>
        <v>37362</v>
      </c>
      <c r="W179" s="25"/>
      <c r="X179" s="5"/>
    </row>
    <row r="180" spans="1:24" ht="15.6" x14ac:dyDescent="0.3">
      <c r="A180" s="24"/>
      <c r="B180" s="25" t="s">
        <v>63</v>
      </c>
      <c r="C180" s="25"/>
      <c r="D180" s="25"/>
      <c r="E180" s="25"/>
      <c r="F180" s="25"/>
      <c r="G180" s="25"/>
      <c r="H180" s="25"/>
      <c r="I180" s="25"/>
      <c r="J180" s="25"/>
      <c r="K180" s="25"/>
      <c r="L180" s="25"/>
      <c r="M180" s="25"/>
      <c r="N180" s="25"/>
      <c r="O180" s="25"/>
      <c r="P180" s="25"/>
      <c r="Q180" s="25"/>
      <c r="R180" s="25"/>
      <c r="S180" s="34">
        <f>3418+944</f>
        <v>4362</v>
      </c>
      <c r="T180" s="34">
        <v>251</v>
      </c>
      <c r="U180" s="25"/>
      <c r="V180" s="53">
        <f>S180+T180</f>
        <v>4613</v>
      </c>
      <c r="W180" s="25"/>
      <c r="X180" s="5"/>
    </row>
    <row r="181" spans="1:24" ht="15.6" x14ac:dyDescent="0.3">
      <c r="A181" s="24"/>
      <c r="B181" s="25" t="s">
        <v>64</v>
      </c>
      <c r="C181" s="25"/>
      <c r="D181" s="25"/>
      <c r="E181" s="25"/>
      <c r="F181" s="25"/>
      <c r="G181" s="25"/>
      <c r="H181" s="25"/>
      <c r="I181" s="25"/>
      <c r="J181" s="25"/>
      <c r="K181" s="25"/>
      <c r="L181" s="25"/>
      <c r="M181" s="25"/>
      <c r="N181" s="25"/>
      <c r="O181" s="25"/>
      <c r="P181" s="25"/>
      <c r="Q181" s="25"/>
      <c r="R181" s="25"/>
      <c r="S181" s="53">
        <f>S179+S180</f>
        <v>36266</v>
      </c>
      <c r="T181" s="53">
        <f>T180+T179</f>
        <v>5709</v>
      </c>
      <c r="U181" s="25"/>
      <c r="V181" s="53">
        <f>S181+T181</f>
        <v>41975</v>
      </c>
      <c r="W181" s="25"/>
      <c r="X181" s="5"/>
    </row>
    <row r="182" spans="1:24" ht="15.6" x14ac:dyDescent="0.3">
      <c r="A182" s="24"/>
      <c r="B182" s="25" t="s">
        <v>65</v>
      </c>
      <c r="C182" s="25"/>
      <c r="D182" s="25"/>
      <c r="E182" s="25"/>
      <c r="F182" s="25"/>
      <c r="G182" s="25"/>
      <c r="H182" s="25"/>
      <c r="I182" s="25"/>
      <c r="J182" s="25"/>
      <c r="K182" s="25"/>
      <c r="L182" s="25"/>
      <c r="M182" s="25"/>
      <c r="N182" s="25"/>
      <c r="O182" s="25"/>
      <c r="P182" s="25"/>
      <c r="Q182" s="25"/>
      <c r="R182" s="25"/>
      <c r="S182" s="53">
        <f>S178-S181-T181</f>
        <v>198057.80000000002</v>
      </c>
      <c r="T182" s="40"/>
      <c r="U182" s="25"/>
      <c r="V182" s="53"/>
      <c r="W182" s="25"/>
      <c r="X182" s="5"/>
    </row>
    <row r="183" spans="1:24" ht="16.2" thickBot="1" x14ac:dyDescent="0.35">
      <c r="A183" s="24"/>
      <c r="B183" s="25"/>
      <c r="C183" s="25"/>
      <c r="D183" s="25"/>
      <c r="E183" s="25"/>
      <c r="F183" s="25"/>
      <c r="G183" s="25"/>
      <c r="H183" s="25"/>
      <c r="I183" s="25"/>
      <c r="J183" s="25"/>
      <c r="K183" s="25"/>
      <c r="L183" s="25"/>
      <c r="M183" s="25"/>
      <c r="N183" s="25"/>
      <c r="O183" s="25"/>
      <c r="P183" s="25"/>
      <c r="Q183" s="25"/>
      <c r="R183" s="25"/>
      <c r="S183" s="25"/>
      <c r="T183" s="25"/>
      <c r="U183" s="25"/>
      <c r="V183" s="61"/>
      <c r="W183" s="25"/>
      <c r="X183" s="5"/>
    </row>
    <row r="184" spans="1:24" ht="15.6" x14ac:dyDescent="0.3">
      <c r="A184" s="2"/>
      <c r="B184" s="4"/>
      <c r="C184" s="4"/>
      <c r="D184" s="4"/>
      <c r="E184" s="4"/>
      <c r="F184" s="4"/>
      <c r="G184" s="4"/>
      <c r="H184" s="4"/>
      <c r="I184" s="4"/>
      <c r="J184" s="4"/>
      <c r="K184" s="4"/>
      <c r="L184" s="4"/>
      <c r="M184" s="4"/>
      <c r="N184" s="4"/>
      <c r="O184" s="4"/>
      <c r="P184" s="4"/>
      <c r="Q184" s="4"/>
      <c r="R184" s="4"/>
      <c r="S184" s="4"/>
      <c r="T184" s="4"/>
      <c r="U184" s="4"/>
      <c r="V184" s="50"/>
      <c r="W184" s="4"/>
      <c r="X184" s="5"/>
    </row>
    <row r="185" spans="1:24" ht="15.6" x14ac:dyDescent="0.3">
      <c r="A185" s="6"/>
      <c r="B185" s="119" t="s">
        <v>66</v>
      </c>
      <c r="C185" s="8"/>
      <c r="D185" s="8"/>
      <c r="E185" s="8"/>
      <c r="F185" s="8"/>
      <c r="G185" s="8"/>
      <c r="H185" s="8"/>
      <c r="I185" s="8"/>
      <c r="J185" s="8"/>
      <c r="K185" s="8"/>
      <c r="L185" s="8"/>
      <c r="M185" s="8"/>
      <c r="N185" s="8"/>
      <c r="O185" s="8"/>
      <c r="P185" s="8"/>
      <c r="Q185" s="8"/>
      <c r="R185" s="8"/>
      <c r="S185" s="8"/>
      <c r="T185" s="8"/>
      <c r="U185" s="8"/>
      <c r="V185" s="65"/>
      <c r="W185" s="8"/>
      <c r="X185" s="5"/>
    </row>
    <row r="186" spans="1:24" ht="15.6" x14ac:dyDescent="0.3">
      <c r="A186" s="24"/>
      <c r="B186" s="25" t="s">
        <v>67</v>
      </c>
      <c r="C186" s="25"/>
      <c r="D186" s="25"/>
      <c r="E186" s="25"/>
      <c r="F186" s="25"/>
      <c r="G186" s="25"/>
      <c r="H186" s="25"/>
      <c r="I186" s="25"/>
      <c r="J186" s="25"/>
      <c r="K186" s="25"/>
      <c r="L186" s="25"/>
      <c r="M186" s="25"/>
      <c r="N186" s="25"/>
      <c r="O186" s="25"/>
      <c r="P186" s="25"/>
      <c r="Q186" s="25"/>
      <c r="R186" s="25"/>
      <c r="S186" s="25"/>
      <c r="T186" s="25"/>
      <c r="U186" s="25"/>
      <c r="V186" s="59">
        <f>(V101+V103+V104+V105+V106)/-(V107+V108)</f>
        <v>1.505264461786201</v>
      </c>
      <c r="W186" s="25" t="s">
        <v>120</v>
      </c>
      <c r="X186" s="5"/>
    </row>
    <row r="187" spans="1:24" ht="15.6" x14ac:dyDescent="0.3">
      <c r="A187" s="24"/>
      <c r="B187" s="25" t="s">
        <v>68</v>
      </c>
      <c r="C187" s="25"/>
      <c r="D187" s="25"/>
      <c r="E187" s="25"/>
      <c r="F187" s="25"/>
      <c r="G187" s="25"/>
      <c r="H187" s="25"/>
      <c r="I187" s="25"/>
      <c r="J187" s="25"/>
      <c r="K187" s="25"/>
      <c r="L187" s="25"/>
      <c r="M187" s="25"/>
      <c r="N187" s="25"/>
      <c r="O187" s="25"/>
      <c r="P187" s="25"/>
      <c r="Q187" s="25"/>
      <c r="R187" s="25"/>
      <c r="S187" s="25"/>
      <c r="T187" s="25"/>
      <c r="U187" s="25"/>
      <c r="V187" s="66">
        <v>1.4</v>
      </c>
      <c r="W187" s="25" t="s">
        <v>120</v>
      </c>
      <c r="X187" s="5"/>
    </row>
    <row r="188" spans="1:24" ht="15.6" x14ac:dyDescent="0.3">
      <c r="A188" s="24"/>
      <c r="B188" s="25" t="s">
        <v>69</v>
      </c>
      <c r="C188" s="25"/>
      <c r="D188" s="25"/>
      <c r="E188" s="25"/>
      <c r="F188" s="25"/>
      <c r="G188" s="25"/>
      <c r="H188" s="25"/>
      <c r="I188" s="25"/>
      <c r="J188" s="25"/>
      <c r="K188" s="25"/>
      <c r="L188" s="25"/>
      <c r="M188" s="25"/>
      <c r="N188" s="25"/>
      <c r="O188" s="25"/>
      <c r="P188" s="25"/>
      <c r="Q188" s="25"/>
      <c r="R188" s="25"/>
      <c r="S188" s="25"/>
      <c r="T188" s="25"/>
      <c r="U188" s="25"/>
      <c r="V188" s="59">
        <f>(V101+V103+V104+V105+V106+V107+V108)/-(V109+V110)</f>
        <v>5.0141364474492933</v>
      </c>
      <c r="W188" s="25" t="s">
        <v>120</v>
      </c>
      <c r="X188" s="5"/>
    </row>
    <row r="189" spans="1:24" ht="15.6" x14ac:dyDescent="0.3">
      <c r="A189" s="24"/>
      <c r="B189" s="25" t="s">
        <v>70</v>
      </c>
      <c r="C189" s="25"/>
      <c r="D189" s="25"/>
      <c r="E189" s="25"/>
      <c r="F189" s="25"/>
      <c r="G189" s="25"/>
      <c r="H189" s="25"/>
      <c r="I189" s="25"/>
      <c r="J189" s="25"/>
      <c r="K189" s="25"/>
      <c r="L189" s="25"/>
      <c r="M189" s="25"/>
      <c r="N189" s="25"/>
      <c r="O189" s="25"/>
      <c r="P189" s="25"/>
      <c r="Q189" s="25"/>
      <c r="R189" s="25"/>
      <c r="S189" s="25"/>
      <c r="T189" s="25"/>
      <c r="U189" s="25"/>
      <c r="V189" s="66">
        <v>4.22</v>
      </c>
      <c r="W189" s="25" t="s">
        <v>120</v>
      </c>
      <c r="X189" s="5"/>
    </row>
    <row r="190" spans="1:24" ht="15.6" x14ac:dyDescent="0.3">
      <c r="A190" s="24"/>
      <c r="B190" s="25" t="s">
        <v>204</v>
      </c>
      <c r="C190" s="25"/>
      <c r="D190" s="25"/>
      <c r="E190" s="25"/>
      <c r="F190" s="25"/>
      <c r="G190" s="25"/>
      <c r="H190" s="25"/>
      <c r="I190" s="25"/>
      <c r="J190" s="25"/>
      <c r="K190" s="25"/>
      <c r="L190" s="25"/>
      <c r="M190" s="25"/>
      <c r="N190" s="25"/>
      <c r="O190" s="25"/>
      <c r="P190" s="25"/>
      <c r="Q190" s="25"/>
      <c r="R190" s="25"/>
      <c r="S190" s="25"/>
      <c r="T190" s="25"/>
      <c r="U190" s="25"/>
      <c r="V190" s="59">
        <f>(V101+V103+V104+V105+V106+V107+V108+V109+V110)/-(V111+V112)</f>
        <v>4.7951541850220263</v>
      </c>
      <c r="W190" s="25" t="s">
        <v>120</v>
      </c>
      <c r="X190" s="5"/>
    </row>
    <row r="191" spans="1:24" ht="15.6" x14ac:dyDescent="0.3">
      <c r="A191" s="24"/>
      <c r="B191" s="25" t="s">
        <v>205</v>
      </c>
      <c r="C191" s="25"/>
      <c r="D191" s="25"/>
      <c r="E191" s="25"/>
      <c r="F191" s="25"/>
      <c r="G191" s="25"/>
      <c r="H191" s="25"/>
      <c r="I191" s="25"/>
      <c r="J191" s="25"/>
      <c r="K191" s="25"/>
      <c r="L191" s="25"/>
      <c r="M191" s="25"/>
      <c r="N191" s="25"/>
      <c r="O191" s="25"/>
      <c r="P191" s="25"/>
      <c r="Q191" s="25"/>
      <c r="R191" s="25"/>
      <c r="S191" s="25"/>
      <c r="T191" s="25"/>
      <c r="U191" s="25"/>
      <c r="V191" s="66">
        <v>3.85</v>
      </c>
      <c r="W191" s="25" t="s">
        <v>120</v>
      </c>
      <c r="X191" s="5"/>
    </row>
    <row r="192" spans="1:24"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25"/>
      <c r="W192" s="25"/>
      <c r="X192" s="5"/>
    </row>
    <row r="193" spans="1:24" ht="15.6" x14ac:dyDescent="0.3">
      <c r="A193" s="24"/>
      <c r="B193" s="25"/>
      <c r="C193" s="25"/>
      <c r="D193" s="25"/>
      <c r="E193" s="25"/>
      <c r="F193" s="25"/>
      <c r="G193" s="25"/>
      <c r="H193" s="25"/>
      <c r="I193" s="25"/>
      <c r="J193" s="25"/>
      <c r="K193" s="25"/>
      <c r="L193" s="25"/>
      <c r="M193" s="25"/>
      <c r="N193" s="25"/>
      <c r="O193" s="25"/>
      <c r="P193" s="25"/>
      <c r="Q193" s="25"/>
      <c r="R193" s="25"/>
      <c r="S193" s="25"/>
      <c r="T193" s="25"/>
      <c r="U193" s="25"/>
      <c r="V193" s="25"/>
      <c r="W193" s="25"/>
      <c r="X193" s="5"/>
    </row>
    <row r="194" spans="1:24" ht="15.6" x14ac:dyDescent="0.3">
      <c r="A194" s="6"/>
      <c r="B194" s="8"/>
      <c r="C194" s="8"/>
      <c r="D194" s="8"/>
      <c r="E194" s="8"/>
      <c r="F194" s="8"/>
      <c r="G194" s="8"/>
      <c r="H194" s="8"/>
      <c r="I194" s="8"/>
      <c r="J194" s="8"/>
      <c r="K194" s="8"/>
      <c r="L194" s="8"/>
      <c r="M194" s="8"/>
      <c r="N194" s="8"/>
      <c r="O194" s="8"/>
      <c r="P194" s="8"/>
      <c r="Q194" s="8"/>
      <c r="R194" s="8"/>
      <c r="S194" s="8"/>
      <c r="T194" s="8"/>
      <c r="U194" s="8"/>
      <c r="V194" s="8"/>
      <c r="W194" s="8"/>
      <c r="X194" s="5"/>
    </row>
    <row r="195" spans="1:24" ht="18" thickBot="1" x14ac:dyDescent="0.35">
      <c r="A195" s="101"/>
      <c r="B195" s="102" t="str">
        <f>B136</f>
        <v>PM12 INVESTOR REPORT QUARTER ENDING APRIL 2008</v>
      </c>
      <c r="C195" s="165"/>
      <c r="D195" s="165"/>
      <c r="E195" s="165"/>
      <c r="F195" s="165"/>
      <c r="G195" s="165"/>
      <c r="H195" s="165"/>
      <c r="I195" s="165"/>
      <c r="J195" s="165"/>
      <c r="K195" s="165"/>
      <c r="L195" s="165"/>
      <c r="M195" s="165"/>
      <c r="N195" s="165"/>
      <c r="O195" s="165"/>
      <c r="P195" s="165"/>
      <c r="Q195" s="165"/>
      <c r="R195" s="165"/>
      <c r="S195" s="165"/>
      <c r="T195" s="165"/>
      <c r="U195" s="165"/>
      <c r="V195" s="165"/>
      <c r="W195" s="166"/>
      <c r="X195" s="5"/>
    </row>
    <row r="196" spans="1:24" ht="15.6" x14ac:dyDescent="0.3">
      <c r="A196" s="67"/>
      <c r="B196" s="60" t="s">
        <v>71</v>
      </c>
      <c r="C196" s="68"/>
      <c r="D196" s="68"/>
      <c r="E196" s="68"/>
      <c r="F196" s="68"/>
      <c r="G196" s="69"/>
      <c r="H196" s="69"/>
      <c r="I196" s="69"/>
      <c r="J196" s="69"/>
      <c r="K196" s="69"/>
      <c r="L196" s="69"/>
      <c r="M196" s="69"/>
      <c r="N196" s="69"/>
      <c r="O196" s="69"/>
      <c r="P196" s="69"/>
      <c r="Q196" s="69"/>
      <c r="R196" s="69"/>
      <c r="S196" s="69"/>
      <c r="T196" s="70">
        <v>39568</v>
      </c>
      <c r="U196" s="4"/>
      <c r="V196" s="4"/>
      <c r="W196" s="4"/>
      <c r="X196" s="5"/>
    </row>
    <row r="197" spans="1:24" ht="15.6" x14ac:dyDescent="0.3">
      <c r="A197" s="71"/>
      <c r="B197" s="72"/>
      <c r="C197" s="73"/>
      <c r="D197" s="73"/>
      <c r="E197" s="73"/>
      <c r="F197" s="73"/>
      <c r="G197" s="74"/>
      <c r="H197" s="74"/>
      <c r="I197" s="74"/>
      <c r="J197" s="74"/>
      <c r="K197" s="74"/>
      <c r="L197" s="74"/>
      <c r="M197" s="74"/>
      <c r="N197" s="74"/>
      <c r="O197" s="74"/>
      <c r="P197" s="74"/>
      <c r="Q197" s="74"/>
      <c r="R197" s="74"/>
      <c r="S197" s="74"/>
      <c r="T197" s="74"/>
      <c r="U197" s="8"/>
      <c r="V197" s="8"/>
      <c r="W197" s="8"/>
      <c r="X197" s="5"/>
    </row>
    <row r="198" spans="1:24" ht="15.6" x14ac:dyDescent="0.3">
      <c r="A198" s="75"/>
      <c r="B198" s="76" t="s">
        <v>72</v>
      </c>
      <c r="C198" s="77"/>
      <c r="D198" s="77"/>
      <c r="E198" s="77"/>
      <c r="F198" s="77"/>
      <c r="G198" s="64"/>
      <c r="H198" s="64"/>
      <c r="I198" s="64"/>
      <c r="J198" s="64"/>
      <c r="K198" s="64"/>
      <c r="L198" s="64"/>
      <c r="M198" s="64"/>
      <c r="N198" s="64"/>
      <c r="O198" s="64"/>
      <c r="P198" s="64"/>
      <c r="Q198" s="64"/>
      <c r="R198" s="64"/>
      <c r="S198" s="64"/>
      <c r="T198" s="78">
        <v>5.2060000000000002E-2</v>
      </c>
      <c r="U198" s="25"/>
      <c r="V198" s="25"/>
      <c r="W198" s="25"/>
      <c r="X198" s="5"/>
    </row>
    <row r="199" spans="1:24" ht="15.6" x14ac:dyDescent="0.3">
      <c r="A199" s="75"/>
      <c r="B199" s="76" t="s">
        <v>156</v>
      </c>
      <c r="C199" s="77"/>
      <c r="D199" s="77"/>
      <c r="E199" s="77"/>
      <c r="F199" s="77"/>
      <c r="G199" s="64"/>
      <c r="H199" s="64"/>
      <c r="I199" s="64"/>
      <c r="J199" s="64"/>
      <c r="K199" s="64"/>
      <c r="L199" s="64"/>
      <c r="M199" s="64"/>
      <c r="N199" s="64"/>
      <c r="O199" s="64"/>
      <c r="P199" s="64"/>
      <c r="Q199" s="64"/>
      <c r="R199" s="64"/>
      <c r="S199" s="64"/>
      <c r="T199" s="39">
        <f>'Oct 06'!T197</f>
        <v>4.8538814772447772E-2</v>
      </c>
      <c r="U199" s="25"/>
      <c r="V199" s="25"/>
      <c r="W199" s="25"/>
      <c r="X199" s="5"/>
    </row>
    <row r="200" spans="1:24" ht="15.6" x14ac:dyDescent="0.3">
      <c r="A200" s="75"/>
      <c r="B200" s="76" t="s">
        <v>73</v>
      </c>
      <c r="C200" s="77"/>
      <c r="D200" s="77"/>
      <c r="E200" s="77"/>
      <c r="F200" s="77"/>
      <c r="G200" s="64"/>
      <c r="H200" s="64"/>
      <c r="I200" s="64"/>
      <c r="J200" s="64"/>
      <c r="K200" s="64"/>
      <c r="L200" s="64"/>
      <c r="M200" s="64"/>
      <c r="N200" s="64"/>
      <c r="O200" s="64"/>
      <c r="P200" s="64"/>
      <c r="Q200" s="64"/>
      <c r="R200" s="64"/>
      <c r="S200" s="64"/>
      <c r="T200" s="78">
        <f>T198-T199</f>
        <v>3.5211852275522301E-3</v>
      </c>
      <c r="U200" s="25"/>
      <c r="V200" s="25"/>
      <c r="W200" s="25"/>
      <c r="X200" s="5"/>
    </row>
    <row r="201" spans="1:24" ht="15.6" x14ac:dyDescent="0.3">
      <c r="A201" s="75"/>
      <c r="B201" s="76" t="s">
        <v>74</v>
      </c>
      <c r="C201" s="77"/>
      <c r="D201" s="77"/>
      <c r="E201" s="77"/>
      <c r="F201" s="77"/>
      <c r="G201" s="64"/>
      <c r="H201" s="64"/>
      <c r="I201" s="64"/>
      <c r="J201" s="64"/>
      <c r="K201" s="64"/>
      <c r="L201" s="64"/>
      <c r="M201" s="64"/>
      <c r="N201" s="64"/>
      <c r="O201" s="64"/>
      <c r="P201" s="64"/>
      <c r="Q201" s="64"/>
      <c r="R201" s="64"/>
      <c r="S201" s="64"/>
      <c r="T201" s="78">
        <v>5.595E-2</v>
      </c>
      <c r="U201" s="25"/>
      <c r="V201" s="25"/>
      <c r="W201" s="25"/>
      <c r="X201" s="5"/>
    </row>
    <row r="202" spans="1:24" ht="15.6" x14ac:dyDescent="0.3">
      <c r="A202" s="75"/>
      <c r="B202" s="76" t="s">
        <v>225</v>
      </c>
      <c r="C202" s="77"/>
      <c r="D202" s="77"/>
      <c r="E202" s="77"/>
      <c r="F202" s="77"/>
      <c r="G202" s="64"/>
      <c r="H202" s="64"/>
      <c r="I202" s="64"/>
      <c r="J202" s="64"/>
      <c r="K202" s="64"/>
      <c r="L202" s="64"/>
      <c r="M202" s="64"/>
      <c r="N202" s="64"/>
      <c r="O202" s="64"/>
      <c r="P202" s="64"/>
      <c r="Q202" s="64"/>
      <c r="R202" s="64"/>
      <c r="S202" s="64"/>
      <c r="T202" s="78">
        <f>V43</f>
        <v>5.7470869980910534E-2</v>
      </c>
      <c r="U202" s="25"/>
      <c r="V202" s="25"/>
      <c r="W202" s="25"/>
      <c r="X202" s="5"/>
    </row>
    <row r="203" spans="1:24" ht="15.6" x14ac:dyDescent="0.3">
      <c r="A203" s="75"/>
      <c r="B203" s="76" t="s">
        <v>75</v>
      </c>
      <c r="C203" s="77"/>
      <c r="D203" s="77"/>
      <c r="E203" s="77"/>
      <c r="F203" s="77"/>
      <c r="G203" s="64"/>
      <c r="H203" s="64"/>
      <c r="I203" s="64"/>
      <c r="J203" s="64"/>
      <c r="K203" s="64"/>
      <c r="L203" s="64"/>
      <c r="M203" s="64"/>
      <c r="N203" s="64"/>
      <c r="O203" s="64"/>
      <c r="P203" s="64"/>
      <c r="Q203" s="64"/>
      <c r="R203" s="64"/>
      <c r="S203" s="64"/>
      <c r="T203" s="78">
        <f>T201-T202</f>
        <v>-1.5208699809105344E-3</v>
      </c>
      <c r="U203" s="25"/>
      <c r="V203" s="25"/>
      <c r="W203" s="25"/>
      <c r="X203" s="5"/>
    </row>
    <row r="204" spans="1:24" ht="15.6" x14ac:dyDescent="0.3">
      <c r="A204" s="75"/>
      <c r="B204" s="76" t="s">
        <v>271</v>
      </c>
      <c r="C204" s="77"/>
      <c r="D204" s="77"/>
      <c r="E204" s="77"/>
      <c r="F204" s="77"/>
      <c r="G204" s="64"/>
      <c r="H204" s="64"/>
      <c r="I204" s="64"/>
      <c r="J204" s="64"/>
      <c r="K204" s="64"/>
      <c r="L204" s="64"/>
      <c r="M204" s="64"/>
      <c r="N204" s="64"/>
      <c r="O204" s="64"/>
      <c r="P204" s="64"/>
      <c r="Q204" s="64"/>
      <c r="R204" s="64"/>
      <c r="S204" s="64"/>
      <c r="T204" s="78">
        <f>+V101/N72</f>
        <v>1.8414748386571238E-2</v>
      </c>
      <c r="U204" s="25"/>
      <c r="V204" s="25"/>
      <c r="W204" s="25"/>
      <c r="X204" s="5"/>
    </row>
    <row r="205" spans="1:24" ht="15.6" x14ac:dyDescent="0.3">
      <c r="A205" s="75"/>
      <c r="B205" s="76" t="s">
        <v>214</v>
      </c>
      <c r="C205" s="77"/>
      <c r="D205" s="77"/>
      <c r="E205" s="77"/>
      <c r="F205" s="77"/>
      <c r="G205" s="64"/>
      <c r="H205" s="64"/>
      <c r="I205" s="64"/>
      <c r="J205" s="64"/>
      <c r="K205" s="64"/>
      <c r="L205" s="64"/>
      <c r="M205" s="64"/>
      <c r="N205" s="64"/>
      <c r="O205" s="64"/>
      <c r="P205" s="64"/>
      <c r="Q205" s="64"/>
      <c r="R205" s="64"/>
      <c r="S205" s="64"/>
      <c r="T205" s="129">
        <v>50710</v>
      </c>
      <c r="U205" s="25"/>
      <c r="V205" s="25"/>
      <c r="W205" s="25"/>
      <c r="X205" s="5"/>
    </row>
    <row r="206" spans="1:24" ht="15.6" x14ac:dyDescent="0.3">
      <c r="A206" s="75"/>
      <c r="B206" s="76" t="s">
        <v>215</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216</v>
      </c>
      <c r="C207" s="77"/>
      <c r="D207" s="77"/>
      <c r="E207" s="77"/>
      <c r="F207" s="77"/>
      <c r="G207" s="64"/>
      <c r="H207" s="64"/>
      <c r="I207" s="64"/>
      <c r="J207" s="64"/>
      <c r="K207" s="64"/>
      <c r="L207" s="64"/>
      <c r="M207" s="64"/>
      <c r="N207" s="64"/>
      <c r="O207" s="64"/>
      <c r="P207" s="64"/>
      <c r="Q207" s="64"/>
      <c r="R207" s="64"/>
      <c r="S207" s="64"/>
      <c r="T207" s="129">
        <v>50710</v>
      </c>
      <c r="U207" s="25"/>
      <c r="V207" s="25"/>
      <c r="W207" s="25"/>
      <c r="X207" s="5"/>
    </row>
    <row r="208" spans="1:24" ht="15.6" x14ac:dyDescent="0.3">
      <c r="A208" s="75"/>
      <c r="B208" s="76" t="s">
        <v>76</v>
      </c>
      <c r="C208" s="77"/>
      <c r="D208" s="77"/>
      <c r="E208" s="77"/>
      <c r="F208" s="77"/>
      <c r="G208" s="64"/>
      <c r="H208" s="64"/>
      <c r="I208" s="64"/>
      <c r="J208" s="64"/>
      <c r="K208" s="64"/>
      <c r="L208" s="64"/>
      <c r="M208" s="64"/>
      <c r="N208" s="64"/>
      <c r="O208" s="64"/>
      <c r="P208" s="64"/>
      <c r="Q208" s="64"/>
      <c r="R208" s="64"/>
      <c r="S208" s="64"/>
      <c r="T208" s="133">
        <v>21.06</v>
      </c>
      <c r="U208" s="25" t="s">
        <v>115</v>
      </c>
      <c r="V208" s="25"/>
      <c r="W208" s="25"/>
      <c r="X208" s="5"/>
    </row>
    <row r="209" spans="1:24" ht="15.6" x14ac:dyDescent="0.3">
      <c r="A209" s="75"/>
      <c r="B209" s="76" t="s">
        <v>77</v>
      </c>
      <c r="C209" s="77"/>
      <c r="D209" s="77"/>
      <c r="E209" s="77"/>
      <c r="F209" s="77"/>
      <c r="G209" s="64"/>
      <c r="H209" s="64"/>
      <c r="I209" s="64"/>
      <c r="J209" s="64"/>
      <c r="K209" s="64"/>
      <c r="L209" s="64"/>
      <c r="M209" s="64"/>
      <c r="N209" s="64"/>
      <c r="O209" s="64"/>
      <c r="P209" s="64"/>
      <c r="Q209" s="64"/>
      <c r="R209" s="64"/>
      <c r="S209" s="64"/>
      <c r="T209" s="133">
        <v>19.399999999999999</v>
      </c>
      <c r="U209" s="25" t="s">
        <v>115</v>
      </c>
      <c r="V209" s="25"/>
      <c r="W209" s="25"/>
      <c r="X209" s="5"/>
    </row>
    <row r="210" spans="1:24" ht="15.6" x14ac:dyDescent="0.3">
      <c r="A210" s="75"/>
      <c r="B210" s="76" t="s">
        <v>78</v>
      </c>
      <c r="C210" s="77"/>
      <c r="D210" s="77"/>
      <c r="E210" s="77"/>
      <c r="F210" s="77"/>
      <c r="G210" s="64"/>
      <c r="H210" s="64"/>
      <c r="I210" s="64"/>
      <c r="J210" s="64"/>
      <c r="K210" s="64"/>
      <c r="L210" s="64"/>
      <c r="M210" s="64"/>
      <c r="N210" s="64"/>
      <c r="O210" s="64"/>
      <c r="P210" s="64"/>
      <c r="Q210" s="64"/>
      <c r="R210" s="64"/>
      <c r="S210" s="64"/>
      <c r="T210" s="78">
        <f>+P69/N69</f>
        <v>6.887295104729392E-2</v>
      </c>
      <c r="U210" s="25"/>
      <c r="V210" s="25"/>
      <c r="W210" s="25"/>
      <c r="X210" s="5"/>
    </row>
    <row r="211" spans="1:24" ht="15.6" x14ac:dyDescent="0.3">
      <c r="A211" s="75"/>
      <c r="B211" s="76" t="s">
        <v>79</v>
      </c>
      <c r="C211" s="77"/>
      <c r="D211" s="77"/>
      <c r="E211" s="77"/>
      <c r="F211" s="77"/>
      <c r="G211" s="64"/>
      <c r="H211" s="64"/>
      <c r="I211" s="64"/>
      <c r="J211" s="64"/>
      <c r="K211" s="64"/>
      <c r="L211" s="64"/>
      <c r="M211" s="64"/>
      <c r="N211" s="64"/>
      <c r="O211" s="64"/>
      <c r="P211" s="64"/>
      <c r="Q211" s="64"/>
      <c r="R211" s="64"/>
      <c r="S211" s="64"/>
      <c r="T211" s="78">
        <v>0.1077</v>
      </c>
      <c r="U211" s="25"/>
      <c r="V211" s="25"/>
      <c r="W211" s="25"/>
      <c r="X211" s="5"/>
    </row>
    <row r="212" spans="1:24" ht="15.6" x14ac:dyDescent="0.3">
      <c r="A212" s="75"/>
      <c r="B212" s="76"/>
      <c r="C212" s="76"/>
      <c r="D212" s="76"/>
      <c r="E212" s="76"/>
      <c r="F212" s="76"/>
      <c r="G212" s="25"/>
      <c r="H212" s="25"/>
      <c r="I212" s="25"/>
      <c r="J212" s="25"/>
      <c r="K212" s="25"/>
      <c r="L212" s="25"/>
      <c r="M212" s="25"/>
      <c r="N212" s="25"/>
      <c r="O212" s="25"/>
      <c r="P212" s="25"/>
      <c r="Q212" s="25"/>
      <c r="R212" s="25"/>
      <c r="S212" s="25"/>
      <c r="T212" s="61"/>
      <c r="U212" s="25"/>
      <c r="V212" s="79"/>
      <c r="W212" s="25"/>
      <c r="X212" s="5"/>
    </row>
    <row r="213" spans="1:24" ht="15.6" x14ac:dyDescent="0.3">
      <c r="A213" s="80"/>
      <c r="B213" s="14" t="s">
        <v>80</v>
      </c>
      <c r="C213" s="81"/>
      <c r="D213" s="81"/>
      <c r="E213" s="81"/>
      <c r="F213" s="82"/>
      <c r="G213" s="81"/>
      <c r="H213" s="17"/>
      <c r="I213" s="17"/>
      <c r="J213" s="17"/>
      <c r="K213" s="17"/>
      <c r="L213" s="17"/>
      <c r="M213" s="17"/>
      <c r="N213" s="17"/>
      <c r="O213" s="17"/>
      <c r="P213" s="17"/>
      <c r="Q213" s="17"/>
      <c r="R213" s="17"/>
      <c r="S213" s="17" t="s">
        <v>104</v>
      </c>
      <c r="T213" s="83" t="s">
        <v>111</v>
      </c>
      <c r="U213" s="8"/>
      <c r="V213" s="8"/>
      <c r="W213" s="8"/>
      <c r="X213" s="5"/>
    </row>
    <row r="214" spans="1:24" ht="15.6" x14ac:dyDescent="0.3">
      <c r="A214" s="84"/>
      <c r="B214" s="76" t="s">
        <v>81</v>
      </c>
      <c r="C214" s="54"/>
      <c r="D214" s="54"/>
      <c r="E214" s="54"/>
      <c r="F214" s="25"/>
      <c r="G214" s="25"/>
      <c r="H214" s="30"/>
      <c r="I214" s="30"/>
      <c r="J214" s="30"/>
      <c r="K214" s="30"/>
      <c r="L214" s="30"/>
      <c r="M214" s="30"/>
      <c r="N214" s="30"/>
      <c r="O214" s="30"/>
      <c r="P214" s="30"/>
      <c r="Q214" s="30"/>
      <c r="R214" s="30"/>
      <c r="S214" s="30">
        <v>3</v>
      </c>
      <c r="T214" s="85">
        <v>426</v>
      </c>
      <c r="U214" s="25"/>
      <c r="V214" s="79"/>
      <c r="W214" s="86"/>
      <c r="X214" s="5"/>
    </row>
    <row r="215" spans="1:24" ht="15.6" x14ac:dyDescent="0.3">
      <c r="A215" s="84"/>
      <c r="B215" s="76" t="s">
        <v>150</v>
      </c>
      <c r="C215" s="54"/>
      <c r="D215" s="54"/>
      <c r="E215" s="54"/>
      <c r="F215" s="25"/>
      <c r="G215" s="25"/>
      <c r="H215" s="30"/>
      <c r="I215" s="30"/>
      <c r="J215" s="30"/>
      <c r="K215" s="30"/>
      <c r="L215" s="30"/>
      <c r="M215" s="30"/>
      <c r="N215" s="30"/>
      <c r="O215" s="30"/>
      <c r="P215" s="30"/>
      <c r="Q215" s="30"/>
      <c r="R215" s="30"/>
      <c r="S215" s="152">
        <f>+R255</f>
        <v>26</v>
      </c>
      <c r="T215" s="85">
        <f>+T255</f>
        <v>3638</v>
      </c>
      <c r="U215" s="25"/>
      <c r="V215" s="79"/>
      <c r="W215" s="86"/>
      <c r="X215" s="5"/>
    </row>
    <row r="216" spans="1:24" ht="15.6" x14ac:dyDescent="0.3">
      <c r="A216" s="84"/>
      <c r="B216" s="76" t="s">
        <v>82</v>
      </c>
      <c r="C216" s="54"/>
      <c r="D216" s="54"/>
      <c r="E216" s="54"/>
      <c r="F216" s="25"/>
      <c r="G216" s="25"/>
      <c r="H216" s="30"/>
      <c r="I216" s="30"/>
      <c r="J216" s="30"/>
      <c r="K216" s="30"/>
      <c r="L216" s="30"/>
      <c r="M216" s="30"/>
      <c r="N216" s="30"/>
      <c r="O216" s="30"/>
      <c r="P216" s="30"/>
      <c r="Q216" s="30"/>
      <c r="R216" s="30"/>
      <c r="S216" s="30">
        <v>0</v>
      </c>
      <c r="T216" s="85">
        <v>0</v>
      </c>
      <c r="U216" s="25"/>
      <c r="V216" s="79"/>
      <c r="W216" s="86"/>
      <c r="X216" s="5"/>
    </row>
    <row r="217" spans="1:24" ht="15.6" x14ac:dyDescent="0.3">
      <c r="A217" s="84"/>
      <c r="B217" s="122" t="s">
        <v>83</v>
      </c>
      <c r="C217" s="54"/>
      <c r="D217" s="54"/>
      <c r="E217" s="54"/>
      <c r="F217" s="25"/>
      <c r="G217" s="25"/>
      <c r="H217" s="25"/>
      <c r="I217" s="25"/>
      <c r="J217" s="25"/>
      <c r="K217" s="25"/>
      <c r="L217" s="25"/>
      <c r="M217" s="25"/>
      <c r="N217" s="25"/>
      <c r="O217" s="25"/>
      <c r="P217" s="25"/>
      <c r="Q217" s="25"/>
      <c r="R217" s="25"/>
      <c r="S217" s="25"/>
      <c r="T217" s="85">
        <v>0</v>
      </c>
      <c r="U217" s="25"/>
      <c r="V217" s="79"/>
      <c r="W217" s="86"/>
      <c r="X217" s="5"/>
    </row>
    <row r="218" spans="1:24" ht="15.6" x14ac:dyDescent="0.3">
      <c r="A218" s="84"/>
      <c r="B218" s="122" t="s">
        <v>84</v>
      </c>
      <c r="C218" s="54"/>
      <c r="D218" s="54"/>
      <c r="E218" s="54"/>
      <c r="F218" s="25"/>
      <c r="G218" s="25"/>
      <c r="H218" s="25"/>
      <c r="I218" s="25"/>
      <c r="J218" s="25"/>
      <c r="K218" s="25"/>
      <c r="L218" s="25"/>
      <c r="M218" s="25"/>
      <c r="N218" s="25"/>
      <c r="O218" s="25"/>
      <c r="P218" s="25"/>
      <c r="Q218" s="25"/>
      <c r="R218" s="25"/>
      <c r="S218" s="25"/>
      <c r="T218" s="62" t="s">
        <v>112</v>
      </c>
      <c r="U218" s="25"/>
      <c r="V218" s="79"/>
      <c r="W218" s="86"/>
      <c r="X218" s="5"/>
    </row>
    <row r="219" spans="1:24" ht="15.6" x14ac:dyDescent="0.3">
      <c r="A219" s="87"/>
      <c r="B219" s="122" t="s">
        <v>85</v>
      </c>
      <c r="C219" s="76"/>
      <c r="D219" s="76"/>
      <c r="E219" s="76"/>
      <c r="F219" s="76"/>
      <c r="G219" s="25"/>
      <c r="H219" s="25"/>
      <c r="I219" s="25"/>
      <c r="J219" s="25"/>
      <c r="K219" s="25"/>
      <c r="L219" s="25"/>
      <c r="M219" s="25"/>
      <c r="N219" s="25"/>
      <c r="O219" s="25"/>
      <c r="P219" s="25"/>
      <c r="Q219" s="25"/>
      <c r="R219" s="25"/>
      <c r="S219" s="25"/>
      <c r="T219" s="85"/>
      <c r="U219" s="25"/>
      <c r="V219" s="79"/>
      <c r="W219" s="88"/>
      <c r="X219" s="5"/>
    </row>
    <row r="220" spans="1:24" ht="15.6" x14ac:dyDescent="0.3">
      <c r="A220" s="87"/>
      <c r="B220" s="131" t="s">
        <v>86</v>
      </c>
      <c r="C220" s="76"/>
      <c r="D220" s="76"/>
      <c r="E220" s="76"/>
      <c r="F220" s="76"/>
      <c r="G220" s="25"/>
      <c r="H220" s="25"/>
      <c r="I220" s="25"/>
      <c r="J220" s="25"/>
      <c r="K220" s="25"/>
      <c r="L220" s="25"/>
      <c r="M220" s="25"/>
      <c r="N220" s="25"/>
      <c r="O220" s="25"/>
      <c r="P220" s="25"/>
      <c r="Q220" s="25"/>
      <c r="R220" s="25"/>
      <c r="S220" s="30"/>
      <c r="T220" s="85">
        <f>+V165</f>
        <v>51</v>
      </c>
      <c r="U220" s="25"/>
      <c r="V220" s="79"/>
      <c r="W220" s="88"/>
      <c r="X220" s="5"/>
    </row>
    <row r="221" spans="1:24" ht="15.6" x14ac:dyDescent="0.3">
      <c r="A221" s="84"/>
      <c r="B221" s="76" t="s">
        <v>87</v>
      </c>
      <c r="C221" s="54"/>
      <c r="D221" s="54"/>
      <c r="E221" s="54"/>
      <c r="F221" s="54"/>
      <c r="G221" s="25"/>
      <c r="H221" s="25"/>
      <c r="I221" s="25"/>
      <c r="J221" s="25"/>
      <c r="K221" s="25"/>
      <c r="L221" s="25"/>
      <c r="M221" s="25"/>
      <c r="N221" s="25"/>
      <c r="O221" s="25"/>
      <c r="P221" s="25"/>
      <c r="Q221" s="25"/>
      <c r="R221" s="25"/>
      <c r="S221" s="30"/>
      <c r="T221" s="85">
        <f>'Jan 08'!T221+'April 08'!T220</f>
        <v>142</v>
      </c>
      <c r="U221" s="25"/>
      <c r="V221" s="79"/>
      <c r="W221" s="88"/>
      <c r="X221" s="5"/>
    </row>
    <row r="222" spans="1:24" ht="15.6" x14ac:dyDescent="0.3">
      <c r="A222" s="87"/>
      <c r="B222" s="122" t="s">
        <v>292</v>
      </c>
      <c r="C222" s="76"/>
      <c r="D222" s="76"/>
      <c r="E222" s="76"/>
      <c r="F222" s="76"/>
      <c r="G222" s="25"/>
      <c r="H222" s="25"/>
      <c r="I222" s="25"/>
      <c r="J222" s="25"/>
      <c r="K222" s="25"/>
      <c r="L222" s="25"/>
      <c r="M222" s="25"/>
      <c r="N222" s="25"/>
      <c r="O222" s="25"/>
      <c r="P222" s="25"/>
      <c r="Q222" s="25"/>
      <c r="R222" s="25"/>
      <c r="S222" s="30"/>
      <c r="T222" s="85"/>
      <c r="U222" s="25"/>
      <c r="V222" s="79"/>
      <c r="W222" s="88"/>
      <c r="X222" s="5"/>
    </row>
    <row r="223" spans="1:24" ht="15.6" x14ac:dyDescent="0.3">
      <c r="A223" s="87"/>
      <c r="B223" s="76" t="s">
        <v>290</v>
      </c>
      <c r="C223" s="76"/>
      <c r="D223" s="76"/>
      <c r="E223" s="76"/>
      <c r="F223" s="76"/>
      <c r="G223" s="25"/>
      <c r="H223" s="25"/>
      <c r="I223" s="25"/>
      <c r="J223" s="25"/>
      <c r="K223" s="25"/>
      <c r="L223" s="25"/>
      <c r="M223" s="25"/>
      <c r="N223" s="25"/>
      <c r="O223" s="25"/>
      <c r="P223" s="25"/>
      <c r="Q223" s="25"/>
      <c r="R223" s="25"/>
      <c r="S223" s="30">
        <v>0</v>
      </c>
      <c r="T223" s="85">
        <v>0</v>
      </c>
      <c r="U223" s="25"/>
      <c r="V223" s="79"/>
      <c r="W223" s="88"/>
      <c r="X223" s="5"/>
    </row>
    <row r="224" spans="1:24" ht="15.6" x14ac:dyDescent="0.3">
      <c r="A224" s="84"/>
      <c r="B224" s="76" t="s">
        <v>88</v>
      </c>
      <c r="C224" s="89"/>
      <c r="D224" s="89"/>
      <c r="E224" s="89"/>
      <c r="F224" s="90"/>
      <c r="G224" s="25"/>
      <c r="H224" s="25"/>
      <c r="I224" s="25"/>
      <c r="J224" s="25"/>
      <c r="K224" s="25"/>
      <c r="L224" s="25"/>
      <c r="M224" s="25"/>
      <c r="N224" s="25"/>
      <c r="O224" s="25"/>
      <c r="P224" s="25"/>
      <c r="Q224" s="25"/>
      <c r="R224" s="25"/>
      <c r="S224" s="25"/>
      <c r="T224" s="62">
        <v>0</v>
      </c>
      <c r="U224" s="25"/>
      <c r="V224" s="79"/>
      <c r="W224" s="88"/>
      <c r="X224" s="5"/>
    </row>
    <row r="225" spans="1:25" ht="15.6" x14ac:dyDescent="0.3">
      <c r="A225" s="84"/>
      <c r="B225" s="76" t="s">
        <v>89</v>
      </c>
      <c r="C225" s="89"/>
      <c r="D225" s="89"/>
      <c r="E225" s="89"/>
      <c r="F225" s="90"/>
      <c r="G225" s="25"/>
      <c r="H225" s="25"/>
      <c r="I225" s="25"/>
      <c r="J225" s="25"/>
      <c r="K225" s="25"/>
      <c r="L225" s="25"/>
      <c r="M225" s="25"/>
      <c r="N225" s="25"/>
      <c r="O225" s="25"/>
      <c r="P225" s="25"/>
      <c r="Q225" s="25"/>
      <c r="R225" s="25"/>
      <c r="S225" s="25"/>
      <c r="T225" s="62">
        <v>0</v>
      </c>
      <c r="U225" s="25"/>
      <c r="V225" s="79"/>
      <c r="W225" s="88"/>
      <c r="X225" s="5"/>
    </row>
    <row r="226" spans="1:25" ht="15.6" x14ac:dyDescent="0.3">
      <c r="A226" s="84"/>
      <c r="B226" s="122" t="s">
        <v>223</v>
      </c>
      <c r="C226" s="89"/>
      <c r="D226" s="89"/>
      <c r="E226" s="89"/>
      <c r="F226" s="90"/>
      <c r="G226" s="25"/>
      <c r="H226" s="25"/>
      <c r="I226" s="25"/>
      <c r="J226" s="25"/>
      <c r="K226" s="25"/>
      <c r="L226" s="25"/>
      <c r="M226" s="25"/>
      <c r="N226" s="25"/>
      <c r="O226" s="25"/>
      <c r="P226" s="25"/>
      <c r="Q226" s="25"/>
      <c r="R226" s="25"/>
      <c r="S226" s="25"/>
      <c r="T226" s="91"/>
      <c r="U226" s="25"/>
      <c r="V226" s="79"/>
      <c r="W226" s="88"/>
      <c r="X226" s="5"/>
    </row>
    <row r="227" spans="1:25" ht="15.6" x14ac:dyDescent="0.3">
      <c r="A227" s="84"/>
      <c r="B227" s="76" t="s">
        <v>290</v>
      </c>
      <c r="C227" s="89"/>
      <c r="D227" s="89"/>
      <c r="E227" s="89"/>
      <c r="F227" s="90"/>
      <c r="G227" s="25"/>
      <c r="H227" s="25"/>
      <c r="I227" s="25"/>
      <c r="J227" s="25"/>
      <c r="K227" s="25"/>
      <c r="L227" s="25"/>
      <c r="M227" s="25"/>
      <c r="N227" s="25"/>
      <c r="O227" s="25"/>
      <c r="P227" s="25"/>
      <c r="Q227" s="25"/>
      <c r="R227" s="25"/>
      <c r="S227" s="30">
        <v>3</v>
      </c>
      <c r="T227" s="85">
        <v>510</v>
      </c>
      <c r="U227" s="25"/>
      <c r="V227" s="79"/>
      <c r="W227" s="88"/>
      <c r="X227" s="5"/>
    </row>
    <row r="228" spans="1:25" ht="15.6" x14ac:dyDescent="0.3">
      <c r="A228" s="84"/>
      <c r="B228" s="76" t="s">
        <v>224</v>
      </c>
      <c r="C228" s="89"/>
      <c r="D228" s="89"/>
      <c r="E228" s="89"/>
      <c r="F228" s="90"/>
      <c r="G228" s="25"/>
      <c r="H228" s="25"/>
      <c r="I228" s="25"/>
      <c r="J228" s="25"/>
      <c r="K228" s="25"/>
      <c r="L228" s="25"/>
      <c r="M228" s="25"/>
      <c r="N228" s="25"/>
      <c r="O228" s="25"/>
      <c r="P228" s="25"/>
      <c r="Q228" s="25"/>
      <c r="R228" s="25"/>
      <c r="S228" s="25"/>
      <c r="T228" s="62">
        <v>5.28</v>
      </c>
      <c r="U228" s="25"/>
      <c r="V228" s="79"/>
      <c r="W228" s="88"/>
      <c r="X228" s="5"/>
    </row>
    <row r="229" spans="1:25" ht="15.6" x14ac:dyDescent="0.3">
      <c r="A229" s="84"/>
      <c r="B229" s="76"/>
      <c r="C229" s="89"/>
      <c r="D229" s="89"/>
      <c r="E229" s="89"/>
      <c r="F229" s="90"/>
      <c r="G229" s="25"/>
      <c r="H229" s="25"/>
      <c r="I229" s="25"/>
      <c r="J229" s="25"/>
      <c r="K229" s="25"/>
      <c r="L229" s="25"/>
      <c r="M229" s="25"/>
      <c r="N229" s="25"/>
      <c r="O229" s="25"/>
      <c r="P229" s="25"/>
      <c r="Q229" s="25"/>
      <c r="R229" s="25"/>
      <c r="S229" s="25"/>
      <c r="T229" s="91"/>
      <c r="U229" s="25"/>
      <c r="V229" s="79"/>
      <c r="W229" s="88"/>
      <c r="X229" s="5"/>
    </row>
    <row r="230" spans="1:25" ht="15.6" x14ac:dyDescent="0.3">
      <c r="A230" s="84"/>
      <c r="B230" s="76"/>
      <c r="C230" s="89"/>
      <c r="D230" s="89"/>
      <c r="E230" s="89"/>
      <c r="F230" s="90"/>
      <c r="G230" s="25"/>
      <c r="H230" s="25"/>
      <c r="I230" s="25"/>
      <c r="J230" s="25"/>
      <c r="K230" s="25"/>
      <c r="L230" s="25"/>
      <c r="M230" s="25"/>
      <c r="N230" s="25"/>
      <c r="O230" s="25"/>
      <c r="P230" s="25"/>
      <c r="Q230" s="25"/>
      <c r="R230" s="25"/>
      <c r="S230" s="25"/>
      <c r="T230" s="91"/>
      <c r="U230" s="25"/>
      <c r="V230" s="79"/>
      <c r="W230" s="88"/>
      <c r="X230" s="5"/>
    </row>
    <row r="231" spans="1:25" ht="17.399999999999999" x14ac:dyDescent="0.3">
      <c r="A231" s="84"/>
      <c r="B231" s="149" t="s">
        <v>174</v>
      </c>
      <c r="C231" s="89"/>
      <c r="D231" s="89"/>
      <c r="E231" s="89"/>
      <c r="F231" s="90"/>
      <c r="G231" s="25"/>
      <c r="H231" s="25"/>
      <c r="I231" s="25"/>
      <c r="J231" s="25"/>
      <c r="K231" s="25"/>
      <c r="L231" s="25"/>
      <c r="M231" s="25"/>
      <c r="N231" s="25"/>
      <c r="O231" s="25"/>
      <c r="P231" s="150" t="s">
        <v>173</v>
      </c>
      <c r="Q231" s="25"/>
      <c r="R231" s="25"/>
      <c r="S231" s="25"/>
      <c r="T231" s="91"/>
      <c r="U231" s="25"/>
      <c r="V231" s="79"/>
      <c r="W231" s="88"/>
      <c r="X231" s="5"/>
    </row>
    <row r="232" spans="1:25" ht="15.6" x14ac:dyDescent="0.3">
      <c r="A232" s="84"/>
      <c r="B232" s="76"/>
      <c r="C232" s="89"/>
      <c r="D232" s="89"/>
      <c r="E232" s="89"/>
      <c r="F232" s="90"/>
      <c r="G232" s="25"/>
      <c r="H232" s="25"/>
      <c r="I232" s="25"/>
      <c r="J232" s="25"/>
      <c r="K232" s="25"/>
      <c r="L232" s="25"/>
      <c r="M232" s="25"/>
      <c r="N232" s="25"/>
      <c r="O232" s="25"/>
      <c r="P232" s="25"/>
      <c r="Q232" s="25"/>
      <c r="R232" s="25"/>
      <c r="S232" s="25"/>
      <c r="T232" s="91"/>
      <c r="U232" s="25"/>
      <c r="V232" s="79"/>
      <c r="W232" s="88"/>
      <c r="X232" s="5"/>
    </row>
    <row r="233" spans="1:25" ht="15.6" x14ac:dyDescent="0.3">
      <c r="A233" s="6"/>
      <c r="B233" s="14" t="s">
        <v>167</v>
      </c>
      <c r="C233" s="81"/>
      <c r="D233" s="81"/>
      <c r="E233" s="81"/>
      <c r="F233" s="82"/>
      <c r="G233" s="81"/>
      <c r="H233" s="17"/>
      <c r="I233" s="17"/>
      <c r="J233" s="17"/>
      <c r="K233" s="17"/>
      <c r="L233" s="17"/>
      <c r="M233" s="17"/>
      <c r="N233" s="17"/>
      <c r="O233" s="17"/>
      <c r="P233" s="17"/>
      <c r="Q233" s="17"/>
      <c r="R233" s="83" t="s">
        <v>104</v>
      </c>
      <c r="S233" s="17" t="s">
        <v>105</v>
      </c>
      <c r="T233" s="83" t="s">
        <v>113</v>
      </c>
      <c r="U233" s="17" t="s">
        <v>105</v>
      </c>
      <c r="V233" s="8"/>
      <c r="W233" s="92"/>
      <c r="X233" s="5"/>
    </row>
    <row r="234" spans="1:25" ht="15.6" x14ac:dyDescent="0.3">
      <c r="A234" s="24"/>
      <c r="B234" s="54" t="s">
        <v>90</v>
      </c>
      <c r="C234" s="93"/>
      <c r="D234" s="93"/>
      <c r="E234" s="93"/>
      <c r="F234" s="25"/>
      <c r="G234" s="93"/>
      <c r="H234" s="93"/>
      <c r="I234" s="93"/>
      <c r="J234" s="93"/>
      <c r="K234" s="93"/>
      <c r="L234" s="93"/>
      <c r="M234" s="93"/>
      <c r="N234" s="93"/>
      <c r="O234" s="93"/>
      <c r="P234" s="93"/>
      <c r="Q234" s="93"/>
      <c r="R234" s="54">
        <v>9220</v>
      </c>
      <c r="S234" s="94">
        <f t="shared" ref="S234:S241" si="1">R234/$R$243</f>
        <v>0.9916110991611099</v>
      </c>
      <c r="T234" s="53">
        <v>1248095</v>
      </c>
      <c r="U234" s="132">
        <f t="shared" ref="U234:U241" si="2">T234/$T$243</f>
        <v>0.99166681895433195</v>
      </c>
      <c r="V234" s="79"/>
      <c r="W234" s="88"/>
      <c r="X234" s="5"/>
    </row>
    <row r="235" spans="1:25" ht="15.6" x14ac:dyDescent="0.3">
      <c r="A235" s="24"/>
      <c r="B235" s="54" t="s">
        <v>91</v>
      </c>
      <c r="C235" s="93"/>
      <c r="D235" s="93"/>
      <c r="E235" s="93"/>
      <c r="F235" s="25"/>
      <c r="G235" s="94"/>
      <c r="H235" s="93"/>
      <c r="I235" s="93"/>
      <c r="J235" s="93"/>
      <c r="K235" s="93"/>
      <c r="L235" s="93"/>
      <c r="M235" s="93"/>
      <c r="N235" s="93"/>
      <c r="O235" s="93"/>
      <c r="P235" s="93"/>
      <c r="Q235" s="93"/>
      <c r="R235" s="54">
        <v>40</v>
      </c>
      <c r="S235" s="94">
        <f t="shared" si="1"/>
        <v>4.3020004302000434E-3</v>
      </c>
      <c r="T235" s="53">
        <v>5696</v>
      </c>
      <c r="U235" s="132">
        <f t="shared" si="2"/>
        <v>4.525724564847928E-3</v>
      </c>
      <c r="V235" s="79"/>
      <c r="W235" s="88"/>
      <c r="X235" s="5"/>
      <c r="Y235" s="109"/>
    </row>
    <row r="236" spans="1:25" ht="15.6" x14ac:dyDescent="0.3">
      <c r="A236" s="24"/>
      <c r="B236" s="54" t="s">
        <v>92</v>
      </c>
      <c r="C236" s="93"/>
      <c r="D236" s="93"/>
      <c r="E236" s="93"/>
      <c r="F236" s="25"/>
      <c r="G236" s="94"/>
      <c r="H236" s="93"/>
      <c r="I236" s="93"/>
      <c r="J236" s="93"/>
      <c r="K236" s="93"/>
      <c r="L236" s="93"/>
      <c r="M236" s="93"/>
      <c r="N236" s="93"/>
      <c r="O236" s="93"/>
      <c r="P236" s="93"/>
      <c r="Q236" s="93"/>
      <c r="R236" s="54">
        <v>35</v>
      </c>
      <c r="S236" s="94">
        <f t="shared" si="1"/>
        <v>3.7642503764250376E-3</v>
      </c>
      <c r="T236" s="53">
        <v>4356</v>
      </c>
      <c r="U236" s="132">
        <f t="shared" si="2"/>
        <v>3.4610351482580013E-3</v>
      </c>
      <c r="V236" s="79"/>
      <c r="W236" s="88"/>
      <c r="X236" s="5"/>
    </row>
    <row r="237" spans="1:25" ht="15.6" x14ac:dyDescent="0.3">
      <c r="A237" s="24"/>
      <c r="B237" s="54" t="s">
        <v>161</v>
      </c>
      <c r="C237" s="93"/>
      <c r="D237" s="93"/>
      <c r="E237" s="93"/>
      <c r="F237" s="25"/>
      <c r="G237" s="94"/>
      <c r="H237" s="93"/>
      <c r="I237" s="93"/>
      <c r="J237" s="93"/>
      <c r="K237" s="93"/>
      <c r="L237" s="93"/>
      <c r="M237" s="93"/>
      <c r="N237" s="93"/>
      <c r="O237" s="93"/>
      <c r="P237" s="93"/>
      <c r="Q237" s="93"/>
      <c r="R237" s="54">
        <v>3</v>
      </c>
      <c r="S237" s="94">
        <f t="shared" si="1"/>
        <v>3.2265003226500323E-4</v>
      </c>
      <c r="T237" s="53">
        <v>436</v>
      </c>
      <c r="U237" s="132">
        <f t="shared" si="2"/>
        <v>3.4642133256209561E-4</v>
      </c>
      <c r="V237" s="79"/>
      <c r="W237" s="88"/>
      <c r="X237" s="5"/>
      <c r="Y237" s="109"/>
    </row>
    <row r="238" spans="1:25" ht="15.6" x14ac:dyDescent="0.3">
      <c r="A238" s="24"/>
      <c r="B238" s="54" t="s">
        <v>162</v>
      </c>
      <c r="C238" s="93"/>
      <c r="D238" s="93"/>
      <c r="E238" s="93"/>
      <c r="F238" s="25"/>
      <c r="G238" s="94"/>
      <c r="H238" s="93"/>
      <c r="I238" s="93"/>
      <c r="J238" s="93"/>
      <c r="K238" s="93"/>
      <c r="L238" s="93"/>
      <c r="M238" s="93"/>
      <c r="N238" s="93"/>
      <c r="O238" s="93"/>
      <c r="P238" s="93"/>
      <c r="Q238" s="93"/>
      <c r="R238" s="54">
        <v>0</v>
      </c>
      <c r="S238" s="94">
        <f t="shared" si="1"/>
        <v>0</v>
      </c>
      <c r="T238" s="53">
        <v>0</v>
      </c>
      <c r="U238" s="132">
        <f t="shared" si="2"/>
        <v>0</v>
      </c>
      <c r="V238" s="79"/>
      <c r="W238" s="88"/>
      <c r="X238" s="5"/>
    </row>
    <row r="239" spans="1:25" ht="15.6" x14ac:dyDescent="0.3">
      <c r="A239" s="24"/>
      <c r="B239" s="54" t="s">
        <v>163</v>
      </c>
      <c r="C239" s="93"/>
      <c r="D239" s="93"/>
      <c r="E239" s="93"/>
      <c r="F239" s="25"/>
      <c r="G239" s="94"/>
      <c r="H239" s="93"/>
      <c r="I239" s="93"/>
      <c r="J239" s="93"/>
      <c r="K239" s="93"/>
      <c r="L239" s="93"/>
      <c r="M239" s="93"/>
      <c r="N239" s="93"/>
      <c r="O239" s="93"/>
      <c r="P239" s="93"/>
      <c r="Q239" s="93"/>
      <c r="R239" s="54">
        <v>0</v>
      </c>
      <c r="S239" s="94">
        <f t="shared" si="1"/>
        <v>0</v>
      </c>
      <c r="T239" s="53">
        <v>0</v>
      </c>
      <c r="U239" s="132">
        <f t="shared" si="2"/>
        <v>0</v>
      </c>
      <c r="V239" s="79"/>
      <c r="W239" s="88"/>
      <c r="X239" s="5"/>
      <c r="Y239" s="109"/>
    </row>
    <row r="240" spans="1:25" ht="15.6" x14ac:dyDescent="0.3">
      <c r="A240" s="24"/>
      <c r="B240" s="54" t="s">
        <v>164</v>
      </c>
      <c r="C240" s="93"/>
      <c r="D240" s="93"/>
      <c r="E240" s="93"/>
      <c r="F240" s="25"/>
      <c r="G240" s="94"/>
      <c r="H240" s="93"/>
      <c r="I240" s="93"/>
      <c r="J240" s="93"/>
      <c r="K240" s="93"/>
      <c r="L240" s="93"/>
      <c r="M240" s="93"/>
      <c r="N240" s="93"/>
      <c r="O240" s="93"/>
      <c r="P240" s="93"/>
      <c r="Q240" s="93"/>
      <c r="R240" s="54">
        <v>0</v>
      </c>
      <c r="S240" s="94">
        <f t="shared" si="1"/>
        <v>0</v>
      </c>
      <c r="T240" s="53">
        <v>0</v>
      </c>
      <c r="U240" s="132">
        <f t="shared" si="2"/>
        <v>0</v>
      </c>
      <c r="V240" s="79"/>
      <c r="W240" s="88"/>
      <c r="X240" s="5"/>
    </row>
    <row r="241" spans="1:25" ht="15.6" x14ac:dyDescent="0.3">
      <c r="A241" s="24"/>
      <c r="B241" s="54" t="s">
        <v>165</v>
      </c>
      <c r="C241" s="93"/>
      <c r="D241" s="93"/>
      <c r="E241" s="93"/>
      <c r="F241" s="25"/>
      <c r="G241" s="94"/>
      <c r="H241" s="93"/>
      <c r="I241" s="93"/>
      <c r="J241" s="93"/>
      <c r="K241" s="93"/>
      <c r="L241" s="93"/>
      <c r="M241" s="93"/>
      <c r="N241" s="93"/>
      <c r="O241" s="93"/>
      <c r="P241" s="93"/>
      <c r="Q241" s="93"/>
      <c r="R241" s="54">
        <v>0</v>
      </c>
      <c r="S241" s="94">
        <f t="shared" si="1"/>
        <v>0</v>
      </c>
      <c r="T241" s="53">
        <v>0</v>
      </c>
      <c r="U241" s="132">
        <f t="shared" si="2"/>
        <v>0</v>
      </c>
      <c r="V241" s="79"/>
      <c r="W241" s="88"/>
      <c r="X241" s="5"/>
      <c r="Y241" s="109"/>
    </row>
    <row r="242" spans="1:25" ht="15.6" x14ac:dyDescent="0.3">
      <c r="A242" s="24"/>
      <c r="B242" s="54"/>
      <c r="C242" s="93"/>
      <c r="D242" s="93"/>
      <c r="E242" s="93"/>
      <c r="F242" s="25"/>
      <c r="G242" s="94"/>
      <c r="H242" s="93"/>
      <c r="I242" s="93"/>
      <c r="J242" s="93"/>
      <c r="K242" s="93"/>
      <c r="L242" s="93"/>
      <c r="M242" s="93"/>
      <c r="N242" s="93"/>
      <c r="O242" s="93"/>
      <c r="P242" s="93"/>
      <c r="Q242" s="93"/>
      <c r="R242" s="54"/>
      <c r="S242" s="94"/>
      <c r="T242" s="53"/>
      <c r="U242" s="132"/>
      <c r="V242" s="79"/>
      <c r="W242" s="88"/>
      <c r="X242" s="5"/>
    </row>
    <row r="243" spans="1:25" ht="15.6" x14ac:dyDescent="0.3">
      <c r="A243" s="24"/>
      <c r="B243" s="25" t="s">
        <v>119</v>
      </c>
      <c r="C243" s="25"/>
      <c r="D243" s="25"/>
      <c r="E243" s="25"/>
      <c r="F243" s="25"/>
      <c r="G243" s="25"/>
      <c r="H243" s="95"/>
      <c r="I243" s="95"/>
      <c r="J243" s="95"/>
      <c r="K243" s="95"/>
      <c r="L243" s="95"/>
      <c r="M243" s="95"/>
      <c r="N243" s="95"/>
      <c r="O243" s="95"/>
      <c r="P243" s="95"/>
      <c r="Q243" s="95"/>
      <c r="R243" s="34">
        <f>SUM(R234:R242)</f>
        <v>9298</v>
      </c>
      <c r="S243" s="132">
        <f>SUM(S234:S242)</f>
        <v>0.99999999999999989</v>
      </c>
      <c r="T243" s="53">
        <f>SUM(T234:T242)</f>
        <v>1258583</v>
      </c>
      <c r="U243" s="132">
        <f>SUM(U234:U242)</f>
        <v>1</v>
      </c>
      <c r="V243" s="25"/>
      <c r="W243" s="25"/>
      <c r="X243" s="5"/>
    </row>
    <row r="244" spans="1:25" ht="15.6" x14ac:dyDescent="0.3">
      <c r="A244" s="24"/>
      <c r="B244" s="25"/>
      <c r="C244" s="25"/>
      <c r="D244" s="25"/>
      <c r="E244" s="25"/>
      <c r="F244" s="25"/>
      <c r="G244" s="25"/>
      <c r="H244" s="95"/>
      <c r="I244" s="95"/>
      <c r="J244" s="95"/>
      <c r="K244" s="95"/>
      <c r="L244" s="95"/>
      <c r="M244" s="95"/>
      <c r="N244" s="95"/>
      <c r="O244" s="95"/>
      <c r="P244" s="95"/>
      <c r="Q244" s="95"/>
      <c r="R244" s="34"/>
      <c r="S244" s="132"/>
      <c r="T244" s="53"/>
      <c r="U244" s="132"/>
      <c r="V244" s="25"/>
      <c r="W244" s="25"/>
      <c r="X244" s="5"/>
    </row>
    <row r="245" spans="1:25" ht="15.6" x14ac:dyDescent="0.3">
      <c r="A245" s="141"/>
      <c r="B245" s="14" t="s">
        <v>283</v>
      </c>
      <c r="C245" s="81"/>
      <c r="D245" s="81"/>
      <c r="E245" s="81"/>
      <c r="F245" s="82"/>
      <c r="G245" s="81"/>
      <c r="H245" s="17"/>
      <c r="I245" s="17"/>
      <c r="J245" s="17"/>
      <c r="K245" s="17"/>
      <c r="L245" s="17"/>
      <c r="M245" s="17"/>
      <c r="N245" s="17"/>
      <c r="O245" s="17"/>
      <c r="P245" s="17"/>
      <c r="Q245" s="17"/>
      <c r="R245" s="83" t="s">
        <v>104</v>
      </c>
      <c r="S245" s="17" t="s">
        <v>105</v>
      </c>
      <c r="T245" s="83" t="s">
        <v>113</v>
      </c>
      <c r="U245" s="17" t="s">
        <v>105</v>
      </c>
      <c r="V245" s="139"/>
      <c r="W245" s="140"/>
      <c r="X245" s="5"/>
    </row>
    <row r="246" spans="1:25" ht="15.6" x14ac:dyDescent="0.3">
      <c r="A246" s="24"/>
      <c r="B246" s="54" t="s">
        <v>90</v>
      </c>
      <c r="C246" s="93"/>
      <c r="D246" s="93"/>
      <c r="E246" s="93"/>
      <c r="F246" s="25"/>
      <c r="G246" s="93"/>
      <c r="H246" s="93"/>
      <c r="I246" s="93"/>
      <c r="J246" s="93"/>
      <c r="K246" s="93"/>
      <c r="L246" s="93"/>
      <c r="M246" s="93"/>
      <c r="N246" s="93"/>
      <c r="O246" s="93"/>
      <c r="P246" s="93"/>
      <c r="Q246" s="93"/>
      <c r="R246" s="54">
        <v>6</v>
      </c>
      <c r="S246" s="94">
        <f t="shared" ref="S246:S253" si="3">R246/$R$255</f>
        <v>0.23076923076923078</v>
      </c>
      <c r="T246" s="53">
        <v>739</v>
      </c>
      <c r="U246" s="132">
        <f t="shared" ref="U246:U253" si="4">T246/$T$255</f>
        <v>0.20313358988455196</v>
      </c>
      <c r="V246" s="25"/>
      <c r="W246" s="25"/>
      <c r="X246" s="5"/>
    </row>
    <row r="247" spans="1:25" ht="15.6" x14ac:dyDescent="0.3">
      <c r="A247" s="24"/>
      <c r="B247" s="54" t="s">
        <v>91</v>
      </c>
      <c r="C247" s="93"/>
      <c r="D247" s="93"/>
      <c r="E247" s="93"/>
      <c r="F247" s="25"/>
      <c r="G247" s="94"/>
      <c r="H247" s="93"/>
      <c r="I247" s="93"/>
      <c r="J247" s="93"/>
      <c r="K247" s="93"/>
      <c r="L247" s="93"/>
      <c r="M247" s="93"/>
      <c r="N247" s="93"/>
      <c r="O247" s="93"/>
      <c r="P247" s="93"/>
      <c r="Q247" s="93"/>
      <c r="R247" s="54">
        <v>5</v>
      </c>
      <c r="S247" s="94">
        <f t="shared" si="3"/>
        <v>0.19230769230769232</v>
      </c>
      <c r="T247" s="53">
        <v>818</v>
      </c>
      <c r="U247" s="132">
        <f t="shared" si="4"/>
        <v>0.22484881803188564</v>
      </c>
      <c r="V247" s="25"/>
      <c r="W247" s="25"/>
      <c r="X247" s="5"/>
    </row>
    <row r="248" spans="1:25" ht="15.6" x14ac:dyDescent="0.3">
      <c r="A248" s="24"/>
      <c r="B248" s="54" t="s">
        <v>92</v>
      </c>
      <c r="C248" s="93"/>
      <c r="D248" s="93"/>
      <c r="E248" s="93"/>
      <c r="F248" s="25"/>
      <c r="G248" s="94"/>
      <c r="H248" s="93"/>
      <c r="I248" s="93"/>
      <c r="J248" s="93"/>
      <c r="K248" s="93"/>
      <c r="L248" s="93"/>
      <c r="M248" s="93"/>
      <c r="N248" s="93"/>
      <c r="O248" s="93"/>
      <c r="P248" s="93"/>
      <c r="Q248" s="93"/>
      <c r="R248" s="54">
        <v>2</v>
      </c>
      <c r="S248" s="94">
        <f t="shared" si="3"/>
        <v>7.6923076923076927E-2</v>
      </c>
      <c r="T248" s="53">
        <v>223</v>
      </c>
      <c r="U248" s="132">
        <f t="shared" si="4"/>
        <v>6.129741616272677E-2</v>
      </c>
      <c r="V248" s="25"/>
      <c r="W248" s="25"/>
      <c r="X248" s="5"/>
    </row>
    <row r="249" spans="1:25" ht="15.6" x14ac:dyDescent="0.3">
      <c r="A249" s="24"/>
      <c r="B249" s="54" t="s">
        <v>161</v>
      </c>
      <c r="C249" s="93"/>
      <c r="D249" s="93"/>
      <c r="E249" s="93"/>
      <c r="F249" s="25"/>
      <c r="G249" s="94"/>
      <c r="H249" s="93"/>
      <c r="I249" s="93"/>
      <c r="J249" s="93"/>
      <c r="K249" s="93"/>
      <c r="L249" s="93"/>
      <c r="M249" s="93"/>
      <c r="N249" s="93"/>
      <c r="O249" s="93"/>
      <c r="P249" s="93"/>
      <c r="Q249" s="93"/>
      <c r="R249" s="54">
        <v>1</v>
      </c>
      <c r="S249" s="94">
        <f t="shared" si="3"/>
        <v>3.8461538461538464E-2</v>
      </c>
      <c r="T249" s="53">
        <v>145</v>
      </c>
      <c r="U249" s="132">
        <f t="shared" si="4"/>
        <v>3.9857064321055527E-2</v>
      </c>
      <c r="V249" s="25"/>
      <c r="W249" s="25"/>
      <c r="X249" s="5"/>
    </row>
    <row r="250" spans="1:25" ht="15.6" x14ac:dyDescent="0.3">
      <c r="A250" s="24"/>
      <c r="B250" s="54" t="s">
        <v>162</v>
      </c>
      <c r="C250" s="93"/>
      <c r="D250" s="93"/>
      <c r="E250" s="93"/>
      <c r="F250" s="25"/>
      <c r="G250" s="94"/>
      <c r="H250" s="93"/>
      <c r="I250" s="93"/>
      <c r="J250" s="93"/>
      <c r="K250" s="93"/>
      <c r="L250" s="93"/>
      <c r="M250" s="93"/>
      <c r="N250" s="93"/>
      <c r="O250" s="93"/>
      <c r="P250" s="93"/>
      <c r="Q250" s="93"/>
      <c r="R250" s="54">
        <v>2</v>
      </c>
      <c r="S250" s="94">
        <f t="shared" si="3"/>
        <v>7.6923076923076927E-2</v>
      </c>
      <c r="T250" s="53">
        <v>303</v>
      </c>
      <c r="U250" s="132">
        <f t="shared" si="4"/>
        <v>8.3287520615722921E-2</v>
      </c>
      <c r="V250" s="25"/>
      <c r="W250" s="25"/>
      <c r="X250" s="5"/>
    </row>
    <row r="251" spans="1:25" ht="15.6" x14ac:dyDescent="0.3">
      <c r="A251" s="24"/>
      <c r="B251" s="54" t="s">
        <v>163</v>
      </c>
      <c r="C251" s="93"/>
      <c r="D251" s="93"/>
      <c r="E251" s="93"/>
      <c r="F251" s="25"/>
      <c r="G251" s="94"/>
      <c r="H251" s="93"/>
      <c r="I251" s="93"/>
      <c r="J251" s="93"/>
      <c r="K251" s="93"/>
      <c r="L251" s="93"/>
      <c r="M251" s="93"/>
      <c r="N251" s="93"/>
      <c r="O251" s="93"/>
      <c r="P251" s="93"/>
      <c r="Q251" s="93"/>
      <c r="R251" s="54">
        <v>3</v>
      </c>
      <c r="S251" s="94">
        <f t="shared" si="3"/>
        <v>0.11538461538461539</v>
      </c>
      <c r="T251" s="53">
        <v>575</v>
      </c>
      <c r="U251" s="132">
        <f t="shared" si="4"/>
        <v>0.15805387575590985</v>
      </c>
      <c r="V251" s="25"/>
      <c r="W251" s="25"/>
      <c r="X251" s="5"/>
    </row>
    <row r="252" spans="1:25" ht="15.6" x14ac:dyDescent="0.3">
      <c r="A252" s="24"/>
      <c r="B252" s="54" t="s">
        <v>164</v>
      </c>
      <c r="C252" s="93"/>
      <c r="D252" s="93"/>
      <c r="E252" s="93"/>
      <c r="F252" s="25"/>
      <c r="G252" s="94"/>
      <c r="H252" s="93"/>
      <c r="I252" s="93"/>
      <c r="J252" s="93"/>
      <c r="K252" s="93"/>
      <c r="L252" s="93"/>
      <c r="M252" s="93"/>
      <c r="N252" s="93"/>
      <c r="O252" s="93"/>
      <c r="P252" s="93"/>
      <c r="Q252" s="93"/>
      <c r="R252" s="54">
        <v>5</v>
      </c>
      <c r="S252" s="94">
        <f t="shared" si="3"/>
        <v>0.19230769230769232</v>
      </c>
      <c r="T252" s="53">
        <v>646</v>
      </c>
      <c r="U252" s="132">
        <f t="shared" si="4"/>
        <v>0.17757009345794392</v>
      </c>
      <c r="V252" s="25"/>
      <c r="W252" s="25"/>
      <c r="X252" s="5"/>
    </row>
    <row r="253" spans="1:25" ht="15.6" x14ac:dyDescent="0.3">
      <c r="A253" s="24"/>
      <c r="B253" s="54" t="s">
        <v>165</v>
      </c>
      <c r="C253" s="93"/>
      <c r="D253" s="93"/>
      <c r="E253" s="93"/>
      <c r="F253" s="25"/>
      <c r="G253" s="94"/>
      <c r="H253" s="93"/>
      <c r="I253" s="93"/>
      <c r="J253" s="93"/>
      <c r="K253" s="93"/>
      <c r="L253" s="93"/>
      <c r="M253" s="93"/>
      <c r="N253" s="93"/>
      <c r="O253" s="93"/>
      <c r="P253" s="93"/>
      <c r="Q253" s="93"/>
      <c r="R253" s="54">
        <v>2</v>
      </c>
      <c r="S253" s="94">
        <f t="shared" si="3"/>
        <v>7.6923076923076927E-2</v>
      </c>
      <c r="T253" s="53">
        <v>189</v>
      </c>
      <c r="U253" s="132">
        <f t="shared" si="4"/>
        <v>5.1951621770203411E-2</v>
      </c>
      <c r="V253" s="25"/>
      <c r="W253" s="25"/>
      <c r="X253" s="5"/>
    </row>
    <row r="254" spans="1:25" ht="15.6" x14ac:dyDescent="0.3">
      <c r="A254" s="24"/>
      <c r="B254" s="54"/>
      <c r="C254" s="93"/>
      <c r="D254" s="93"/>
      <c r="E254" s="93"/>
      <c r="F254" s="25"/>
      <c r="G254" s="94"/>
      <c r="H254" s="93"/>
      <c r="I254" s="93"/>
      <c r="J254" s="93"/>
      <c r="K254" s="93"/>
      <c r="L254" s="93"/>
      <c r="M254" s="93"/>
      <c r="N254" s="93"/>
      <c r="O254" s="93"/>
      <c r="P254" s="93"/>
      <c r="Q254" s="93"/>
      <c r="R254" s="54"/>
      <c r="S254" s="94"/>
      <c r="T254" s="53"/>
      <c r="U254" s="132"/>
      <c r="V254" s="25"/>
      <c r="W254" s="25"/>
      <c r="X254" s="5"/>
    </row>
    <row r="255" spans="1:25" ht="15.6" x14ac:dyDescent="0.3">
      <c r="A255" s="24"/>
      <c r="B255" s="25" t="s">
        <v>119</v>
      </c>
      <c r="C255" s="25"/>
      <c r="D255" s="25"/>
      <c r="E255" s="25"/>
      <c r="F255" s="25"/>
      <c r="G255" s="25"/>
      <c r="H255" s="95"/>
      <c r="I255" s="95"/>
      <c r="J255" s="95"/>
      <c r="K255" s="95"/>
      <c r="L255" s="95"/>
      <c r="M255" s="95"/>
      <c r="N255" s="95"/>
      <c r="O255" s="95"/>
      <c r="P255" s="95"/>
      <c r="Q255" s="95"/>
      <c r="R255" s="34">
        <f>SUM(R246:R254)</f>
        <v>26</v>
      </c>
      <c r="S255" s="132">
        <f>SUM(S246:S254)</f>
        <v>1</v>
      </c>
      <c r="T255" s="53">
        <f>SUM(T246:T254)</f>
        <v>3638</v>
      </c>
      <c r="U255" s="132">
        <f>SUM(U246:U254)</f>
        <v>0.99999999999999989</v>
      </c>
      <c r="V255" s="25"/>
      <c r="W255" s="25"/>
      <c r="X255" s="5"/>
    </row>
    <row r="256" spans="1:25" ht="15.6" x14ac:dyDescent="0.3">
      <c r="A256" s="24"/>
      <c r="B256" s="25"/>
      <c r="C256" s="25"/>
      <c r="D256" s="25"/>
      <c r="E256" s="25"/>
      <c r="F256" s="25"/>
      <c r="G256" s="25"/>
      <c r="H256" s="95"/>
      <c r="I256" s="95"/>
      <c r="J256" s="95"/>
      <c r="K256" s="95"/>
      <c r="L256" s="95"/>
      <c r="M256" s="95"/>
      <c r="N256" s="95"/>
      <c r="O256" s="95"/>
      <c r="P256" s="95"/>
      <c r="Q256" s="95"/>
      <c r="R256" s="34"/>
      <c r="S256" s="132"/>
      <c r="T256" s="53"/>
      <c r="U256" s="132"/>
      <c r="V256" s="25"/>
      <c r="W256" s="25"/>
      <c r="X256" s="5"/>
    </row>
    <row r="257" spans="1:24" ht="15.6" x14ac:dyDescent="0.3">
      <c r="A257" s="141"/>
      <c r="B257" s="14" t="s">
        <v>169</v>
      </c>
      <c r="C257" s="139"/>
      <c r="D257" s="139"/>
      <c r="E257" s="139"/>
      <c r="F257" s="139"/>
      <c r="G257" s="139"/>
      <c r="H257" s="145"/>
      <c r="I257" s="145"/>
      <c r="J257" s="145"/>
      <c r="K257" s="145"/>
      <c r="L257" s="145"/>
      <c r="M257" s="145"/>
      <c r="N257" s="145"/>
      <c r="O257" s="145"/>
      <c r="P257" s="145"/>
      <c r="Q257" s="145"/>
      <c r="R257" s="83" t="s">
        <v>104</v>
      </c>
      <c r="S257" s="17" t="s">
        <v>105</v>
      </c>
      <c r="T257" s="83" t="s">
        <v>113</v>
      </c>
      <c r="U257" s="17" t="s">
        <v>105</v>
      </c>
      <c r="V257" s="139"/>
      <c r="W257" s="140"/>
      <c r="X257" s="5"/>
    </row>
    <row r="258" spans="1:24" ht="15.6" x14ac:dyDescent="0.3">
      <c r="A258" s="24"/>
      <c r="B258" s="54" t="s">
        <v>90</v>
      </c>
      <c r="C258" s="25"/>
      <c r="D258" s="25"/>
      <c r="E258" s="25"/>
      <c r="F258" s="25"/>
      <c r="G258" s="25"/>
      <c r="H258" s="95"/>
      <c r="I258" s="95"/>
      <c r="J258" s="95"/>
      <c r="K258" s="95"/>
      <c r="L258" s="95"/>
      <c r="M258" s="95"/>
      <c r="N258" s="95"/>
      <c r="O258" s="95"/>
      <c r="P258" s="95"/>
      <c r="Q258" s="95"/>
      <c r="R258" s="54">
        <v>0</v>
      </c>
      <c r="S258" s="94">
        <v>0</v>
      </c>
      <c r="T258" s="53">
        <v>0</v>
      </c>
      <c r="U258" s="132">
        <v>0</v>
      </c>
      <c r="V258" s="25"/>
      <c r="W258" s="25"/>
      <c r="X258" s="5"/>
    </row>
    <row r="259" spans="1:24" ht="15.6" x14ac:dyDescent="0.3">
      <c r="A259" s="24"/>
      <c r="B259" s="54" t="s">
        <v>91</v>
      </c>
      <c r="C259" s="25"/>
      <c r="D259" s="25"/>
      <c r="E259" s="25"/>
      <c r="F259" s="25"/>
      <c r="G259" s="25"/>
      <c r="H259" s="95"/>
      <c r="I259" s="95"/>
      <c r="J259" s="95"/>
      <c r="K259" s="95"/>
      <c r="L259" s="95"/>
      <c r="M259" s="95"/>
      <c r="N259" s="95"/>
      <c r="O259" s="95"/>
      <c r="P259" s="95"/>
      <c r="Q259" s="95"/>
      <c r="R259" s="54">
        <v>0</v>
      </c>
      <c r="S259" s="94">
        <v>0</v>
      </c>
      <c r="T259" s="53">
        <v>0</v>
      </c>
      <c r="U259" s="132">
        <v>0</v>
      </c>
      <c r="V259" s="25"/>
      <c r="W259" s="25"/>
      <c r="X259" s="5"/>
    </row>
    <row r="260" spans="1:24" ht="15.6" x14ac:dyDescent="0.3">
      <c r="A260" s="24"/>
      <c r="B260" s="54" t="s">
        <v>92</v>
      </c>
      <c r="C260" s="25"/>
      <c r="D260" s="25"/>
      <c r="E260" s="25"/>
      <c r="F260" s="25"/>
      <c r="G260" s="25"/>
      <c r="H260" s="95"/>
      <c r="I260" s="95"/>
      <c r="J260" s="95"/>
      <c r="K260" s="95"/>
      <c r="L260" s="95"/>
      <c r="M260" s="95"/>
      <c r="N260" s="95"/>
      <c r="O260" s="95"/>
      <c r="P260" s="95"/>
      <c r="Q260" s="95"/>
      <c r="R260" s="54">
        <v>0</v>
      </c>
      <c r="S260" s="94">
        <v>0</v>
      </c>
      <c r="T260" s="53">
        <v>0</v>
      </c>
      <c r="U260" s="132">
        <v>0</v>
      </c>
      <c r="V260" s="25"/>
      <c r="W260" s="25"/>
      <c r="X260" s="5"/>
    </row>
    <row r="261" spans="1:24" ht="15.6" x14ac:dyDescent="0.3">
      <c r="A261" s="24"/>
      <c r="B261" s="54" t="s">
        <v>161</v>
      </c>
      <c r="C261" s="25"/>
      <c r="D261" s="25"/>
      <c r="E261" s="25"/>
      <c r="F261" s="25"/>
      <c r="G261" s="25"/>
      <c r="H261" s="95"/>
      <c r="I261" s="95"/>
      <c r="J261" s="95"/>
      <c r="K261" s="95"/>
      <c r="L261" s="95"/>
      <c r="M261" s="95"/>
      <c r="N261" s="95"/>
      <c r="O261" s="95"/>
      <c r="P261" s="95"/>
      <c r="Q261" s="95"/>
      <c r="R261" s="54">
        <v>0</v>
      </c>
      <c r="S261" s="94">
        <v>0</v>
      </c>
      <c r="T261" s="53">
        <v>0</v>
      </c>
      <c r="U261" s="132">
        <v>0</v>
      </c>
      <c r="V261" s="25"/>
      <c r="W261" s="25"/>
      <c r="X261" s="5"/>
    </row>
    <row r="262" spans="1:24" ht="15.6" x14ac:dyDescent="0.3">
      <c r="A262" s="24"/>
      <c r="B262" s="54" t="s">
        <v>162</v>
      </c>
      <c r="C262" s="25"/>
      <c r="D262" s="25"/>
      <c r="E262" s="25"/>
      <c r="F262" s="25"/>
      <c r="G262" s="25"/>
      <c r="H262" s="95"/>
      <c r="I262" s="95"/>
      <c r="J262" s="95"/>
      <c r="K262" s="95"/>
      <c r="L262" s="95"/>
      <c r="M262" s="95"/>
      <c r="N262" s="95"/>
      <c r="O262" s="95"/>
      <c r="P262" s="95"/>
      <c r="Q262" s="95"/>
      <c r="R262" s="54">
        <v>0</v>
      </c>
      <c r="S262" s="94">
        <v>0</v>
      </c>
      <c r="T262" s="53">
        <v>0</v>
      </c>
      <c r="U262" s="132">
        <v>0</v>
      </c>
      <c r="V262" s="25"/>
      <c r="W262" s="25"/>
      <c r="X262" s="5"/>
    </row>
    <row r="263" spans="1:24" ht="15.6" x14ac:dyDescent="0.3">
      <c r="A263" s="24"/>
      <c r="B263" s="54" t="s">
        <v>163</v>
      </c>
      <c r="C263" s="25"/>
      <c r="D263" s="25"/>
      <c r="E263" s="25"/>
      <c r="F263" s="25"/>
      <c r="G263" s="25"/>
      <c r="H263" s="95"/>
      <c r="I263" s="95"/>
      <c r="J263" s="95"/>
      <c r="K263" s="95"/>
      <c r="L263" s="95"/>
      <c r="M263" s="95"/>
      <c r="N263" s="95"/>
      <c r="O263" s="95"/>
      <c r="P263" s="95"/>
      <c r="Q263" s="95"/>
      <c r="R263" s="54">
        <v>0</v>
      </c>
      <c r="S263" s="94">
        <v>0</v>
      </c>
      <c r="T263" s="53">
        <v>0</v>
      </c>
      <c r="U263" s="132">
        <v>0</v>
      </c>
      <c r="V263" s="25"/>
      <c r="W263" s="25"/>
      <c r="X263" s="5"/>
    </row>
    <row r="264" spans="1:24" ht="15.6" x14ac:dyDescent="0.3">
      <c r="A264" s="24"/>
      <c r="B264" s="54" t="s">
        <v>164</v>
      </c>
      <c r="C264" s="25"/>
      <c r="D264" s="25"/>
      <c r="E264" s="25"/>
      <c r="F264" s="25"/>
      <c r="G264" s="25"/>
      <c r="H264" s="95"/>
      <c r="I264" s="95"/>
      <c r="J264" s="95"/>
      <c r="K264" s="95"/>
      <c r="L264" s="95"/>
      <c r="M264" s="95"/>
      <c r="N264" s="95"/>
      <c r="O264" s="95"/>
      <c r="P264" s="95"/>
      <c r="Q264" s="95"/>
      <c r="R264" s="54">
        <v>0</v>
      </c>
      <c r="S264" s="94">
        <v>0</v>
      </c>
      <c r="T264" s="53">
        <v>0</v>
      </c>
      <c r="U264" s="132">
        <v>0</v>
      </c>
      <c r="V264" s="25"/>
      <c r="W264" s="25"/>
      <c r="X264" s="5"/>
    </row>
    <row r="265" spans="1:24" ht="15.6" x14ac:dyDescent="0.3">
      <c r="A265" s="24"/>
      <c r="B265" s="54" t="s">
        <v>165</v>
      </c>
      <c r="C265" s="25"/>
      <c r="D265" s="25"/>
      <c r="E265" s="25"/>
      <c r="F265" s="25"/>
      <c r="G265" s="25"/>
      <c r="H265" s="95"/>
      <c r="I265" s="95"/>
      <c r="J265" s="95"/>
      <c r="K265" s="95"/>
      <c r="L265" s="95"/>
      <c r="M265" s="95"/>
      <c r="N265" s="95"/>
      <c r="O265" s="95"/>
      <c r="P265" s="95"/>
      <c r="Q265" s="95"/>
      <c r="R265" s="54">
        <v>0</v>
      </c>
      <c r="S265" s="94">
        <v>0</v>
      </c>
      <c r="T265" s="53">
        <v>0</v>
      </c>
      <c r="U265" s="132">
        <v>0</v>
      </c>
      <c r="V265" s="25"/>
      <c r="W265" s="25"/>
      <c r="X265" s="5"/>
    </row>
    <row r="266" spans="1:24" ht="15.6" x14ac:dyDescent="0.3">
      <c r="A266" s="24"/>
      <c r="B266" s="54"/>
      <c r="C266" s="25"/>
      <c r="D266" s="25"/>
      <c r="E266" s="25"/>
      <c r="F266" s="25"/>
      <c r="G266" s="25"/>
      <c r="H266" s="95"/>
      <c r="I266" s="95"/>
      <c r="J266" s="95"/>
      <c r="K266" s="95"/>
      <c r="L266" s="95"/>
      <c r="M266" s="95"/>
      <c r="N266" s="95"/>
      <c r="O266" s="95"/>
      <c r="P266" s="95"/>
      <c r="Q266" s="95"/>
      <c r="R266" s="54"/>
      <c r="S266" s="94"/>
      <c r="T266" s="53"/>
      <c r="U266" s="132"/>
      <c r="V266" s="25"/>
      <c r="W266" s="25"/>
      <c r="X266" s="5"/>
    </row>
    <row r="267" spans="1:24" ht="15.6" x14ac:dyDescent="0.3">
      <c r="A267" s="24"/>
      <c r="B267" s="25" t="s">
        <v>119</v>
      </c>
      <c r="C267" s="25"/>
      <c r="D267" s="25"/>
      <c r="E267" s="25"/>
      <c r="F267" s="25"/>
      <c r="G267" s="25"/>
      <c r="H267" s="95"/>
      <c r="I267" s="95"/>
      <c r="J267" s="95"/>
      <c r="K267" s="95"/>
      <c r="L267" s="95"/>
      <c r="M267" s="95"/>
      <c r="N267" s="95"/>
      <c r="O267" s="95"/>
      <c r="P267" s="95"/>
      <c r="Q267" s="95"/>
      <c r="R267" s="34">
        <f>SUM(R258:R265)</f>
        <v>0</v>
      </c>
      <c r="S267" s="94">
        <f>SUM(S258:S265)</f>
        <v>0</v>
      </c>
      <c r="T267" s="53">
        <f>SUM(T258:T265)</f>
        <v>0</v>
      </c>
      <c r="U267" s="132">
        <f>SUM(U258:U265)</f>
        <v>0</v>
      </c>
      <c r="V267" s="25"/>
      <c r="W267" s="25"/>
      <c r="X267" s="5"/>
    </row>
    <row r="268" spans="1:24" ht="15.6" x14ac:dyDescent="0.3">
      <c r="A268" s="24"/>
      <c r="B268" s="25"/>
      <c r="C268" s="25"/>
      <c r="D268" s="25"/>
      <c r="E268" s="25"/>
      <c r="F268" s="25"/>
      <c r="G268" s="25"/>
      <c r="H268" s="95"/>
      <c r="I268" s="95"/>
      <c r="J268" s="95"/>
      <c r="K268" s="95"/>
      <c r="L268" s="95"/>
      <c r="M268" s="95"/>
      <c r="N268" s="95"/>
      <c r="O268" s="95"/>
      <c r="P268" s="95"/>
      <c r="Q268" s="95"/>
      <c r="R268" s="34"/>
      <c r="S268" s="132"/>
      <c r="T268" s="53"/>
      <c r="U268" s="132"/>
      <c r="V268" s="25"/>
      <c r="W268" s="25"/>
      <c r="X268" s="5"/>
    </row>
    <row r="269" spans="1:24" ht="15.6" x14ac:dyDescent="0.3">
      <c r="A269" s="24"/>
      <c r="B269" s="142" t="s">
        <v>170</v>
      </c>
      <c r="C269" s="25"/>
      <c r="D269" s="25"/>
      <c r="E269" s="25"/>
      <c r="F269" s="25"/>
      <c r="G269" s="25"/>
      <c r="H269" s="95"/>
      <c r="I269" s="95"/>
      <c r="J269" s="95"/>
      <c r="K269" s="95"/>
      <c r="L269" s="95"/>
      <c r="M269" s="95"/>
      <c r="N269" s="95"/>
      <c r="O269" s="95"/>
      <c r="P269" s="95"/>
      <c r="Q269" s="95"/>
      <c r="R269" s="161">
        <f>R267+R255+R243</f>
        <v>9324</v>
      </c>
      <c r="S269" s="143"/>
      <c r="T269" s="144">
        <f>+T267+T255+T243</f>
        <v>1262221</v>
      </c>
      <c r="U269" s="143"/>
      <c r="V269" s="25"/>
      <c r="W269" s="25"/>
      <c r="X269" s="5"/>
    </row>
    <row r="270" spans="1:24" ht="15.6" x14ac:dyDescent="0.3">
      <c r="A270" s="24"/>
      <c r="B270" s="25"/>
      <c r="C270" s="25"/>
      <c r="D270" s="25"/>
      <c r="E270" s="25"/>
      <c r="F270" s="25"/>
      <c r="G270" s="25"/>
      <c r="H270" s="95"/>
      <c r="I270" s="95"/>
      <c r="J270" s="95"/>
      <c r="K270" s="95"/>
      <c r="L270" s="95"/>
      <c r="M270" s="95"/>
      <c r="N270" s="95"/>
      <c r="O270" s="95"/>
      <c r="P270" s="95"/>
      <c r="Q270" s="95"/>
      <c r="R270" s="95"/>
      <c r="S270" s="95"/>
      <c r="T270" s="53"/>
      <c r="U270" s="95"/>
      <c r="V270" s="25"/>
      <c r="W270" s="25"/>
      <c r="X270" s="5"/>
    </row>
    <row r="271" spans="1:24" ht="15.6" x14ac:dyDescent="0.3">
      <c r="A271" s="6"/>
      <c r="B271" s="8"/>
      <c r="C271" s="8"/>
      <c r="D271" s="8"/>
      <c r="E271" s="8"/>
      <c r="F271" s="8"/>
      <c r="G271" s="8"/>
      <c r="H271" s="96"/>
      <c r="I271" s="96"/>
      <c r="J271" s="96"/>
      <c r="K271" s="96"/>
      <c r="L271" s="96"/>
      <c r="M271" s="96"/>
      <c r="N271" s="96"/>
      <c r="O271" s="96"/>
      <c r="P271" s="96"/>
      <c r="Q271" s="96"/>
      <c r="R271" s="96"/>
      <c r="S271" s="96"/>
      <c r="T271" s="97"/>
      <c r="U271" s="96"/>
      <c r="V271" s="8"/>
      <c r="W271" s="8"/>
      <c r="X271" s="5"/>
    </row>
    <row r="272" spans="1:24" ht="15.6" x14ac:dyDescent="0.3">
      <c r="A272" s="167"/>
      <c r="B272" s="14" t="s">
        <v>93</v>
      </c>
      <c r="C272" s="15"/>
      <c r="D272" s="15"/>
      <c r="E272" s="15"/>
      <c r="F272" s="17" t="s">
        <v>99</v>
      </c>
      <c r="G272" s="15"/>
      <c r="H272" s="14" t="s">
        <v>101</v>
      </c>
      <c r="I272" s="162"/>
      <c r="J272" s="162"/>
      <c r="K272" s="162"/>
      <c r="L272" s="162"/>
      <c r="M272" s="162"/>
      <c r="N272" s="162"/>
      <c r="O272" s="162"/>
      <c r="P272" s="162"/>
      <c r="Q272" s="162"/>
      <c r="R272" s="162"/>
      <c r="S272" s="162"/>
      <c r="T272" s="162"/>
      <c r="U272" s="162"/>
      <c r="V272" s="162"/>
      <c r="W272" s="162"/>
      <c r="X272" s="5"/>
    </row>
    <row r="273" spans="1:24" ht="15.6" x14ac:dyDescent="0.3">
      <c r="A273" s="167"/>
      <c r="B273" s="162"/>
      <c r="C273" s="8"/>
      <c r="D273" s="8"/>
      <c r="E273" s="8"/>
      <c r="F273" s="8"/>
      <c r="G273" s="8"/>
      <c r="H273" s="8"/>
      <c r="I273" s="162"/>
      <c r="J273" s="162"/>
      <c r="K273" s="162"/>
      <c r="L273" s="162"/>
      <c r="M273" s="162"/>
      <c r="N273" s="162"/>
      <c r="O273" s="162"/>
      <c r="P273" s="162"/>
      <c r="Q273" s="162"/>
      <c r="R273" s="162"/>
      <c r="S273" s="162"/>
      <c r="T273" s="162"/>
      <c r="U273" s="162"/>
      <c r="V273" s="162"/>
      <c r="W273" s="162"/>
      <c r="X273" s="5"/>
    </row>
    <row r="274" spans="1:24" ht="15.6" x14ac:dyDescent="0.3">
      <c r="A274" s="167"/>
      <c r="B274" s="13" t="s">
        <v>94</v>
      </c>
      <c r="C274" s="13"/>
      <c r="D274" s="13"/>
      <c r="E274" s="13"/>
      <c r="F274" s="130" t="s">
        <v>153</v>
      </c>
      <c r="G274" s="13"/>
      <c r="H274" s="13" t="s">
        <v>157</v>
      </c>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277</v>
      </c>
      <c r="C275" s="13"/>
      <c r="D275" s="13"/>
      <c r="E275" s="13"/>
      <c r="F275" s="130" t="s">
        <v>278</v>
      </c>
      <c r="G275" s="13"/>
      <c r="H275" s="13" t="s">
        <v>279</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t="s">
        <v>95</v>
      </c>
      <c r="C276" s="13"/>
      <c r="D276" s="13"/>
      <c r="E276" s="13"/>
      <c r="F276" s="130" t="s">
        <v>152</v>
      </c>
      <c r="G276" s="13"/>
      <c r="H276" s="13" t="s">
        <v>158</v>
      </c>
      <c r="I276" s="162"/>
      <c r="J276" s="162"/>
      <c r="K276" s="162"/>
      <c r="L276" s="162"/>
      <c r="M276" s="162"/>
      <c r="N276" s="162"/>
      <c r="O276" s="162"/>
      <c r="P276" s="162"/>
      <c r="Q276" s="162"/>
      <c r="R276" s="162"/>
      <c r="S276" s="162"/>
      <c r="T276" s="162"/>
      <c r="U276" s="162"/>
      <c r="V276" s="162"/>
      <c r="W276" s="162"/>
      <c r="X276" s="5"/>
    </row>
    <row r="277" spans="1:24" ht="15.6" x14ac:dyDescent="0.3">
      <c r="A277" s="167"/>
      <c r="B277" s="13"/>
      <c r="C277" s="13"/>
      <c r="D277" s="13"/>
      <c r="E277" s="13"/>
      <c r="F277" s="13"/>
      <c r="G277" s="99"/>
      <c r="H277" s="162"/>
      <c r="I277" s="162"/>
      <c r="J277" s="162"/>
      <c r="K277" s="162"/>
      <c r="L277" s="162"/>
      <c r="M277" s="162"/>
      <c r="N277" s="162"/>
      <c r="O277" s="162"/>
      <c r="P277" s="162"/>
      <c r="Q277" s="162"/>
      <c r="R277" s="162"/>
      <c r="S277" s="162"/>
      <c r="T277" s="162"/>
      <c r="U277" s="162"/>
      <c r="V277" s="162"/>
      <c r="W277" s="162"/>
      <c r="X277" s="5"/>
    </row>
    <row r="278" spans="1:24" ht="18" thickBot="1" x14ac:dyDescent="0.35">
      <c r="A278" s="167"/>
      <c r="B278" s="49" t="str">
        <f>B195</f>
        <v>PM12 INVESTOR REPORT QUARTER ENDING APRIL 2008</v>
      </c>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x14ac:dyDescent="0.25">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row>
  </sheetData>
  <phoneticPr fontId="0" type="noConversion"/>
  <hyperlinks>
    <hyperlink ref="P231" r:id="rId1" xr:uid="{00000000-0004-0000-0600-000000000000}"/>
    <hyperlink ref="I9" r:id="rId2" xr:uid="{00000000-0004-0000-06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6" max="14" man="1"/>
    <brk id="195" max="14" man="1"/>
  </rowBreaks>
  <drawing r:id="rId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569B1-63DA-4048-B947-2F0ED84598A9}">
  <sheetPr>
    <tabColor rgb="FF2D2926"/>
  </sheetPr>
  <dimension ref="A1:AA327"/>
  <sheetViews>
    <sheetView showGridLines="0" tabSelected="1"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0.70572216439772395</v>
      </c>
      <c r="T16" s="516" t="s">
        <v>145</v>
      </c>
      <c r="U16" s="515">
        <v>0.29427783560227611</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45345</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160212.15135900001</v>
      </c>
      <c r="E32" s="529"/>
      <c r="F32" s="530">
        <f>F31*F38</f>
        <v>28496.907999999999</v>
      </c>
      <c r="G32" s="530"/>
      <c r="H32" s="534">
        <f>H31*H38</f>
        <v>48149.947999999997</v>
      </c>
      <c r="I32" s="534"/>
      <c r="J32" s="533">
        <f>J31*J38</f>
        <v>61119.897000000004</v>
      </c>
      <c r="K32" s="530"/>
      <c r="L32" s="530">
        <f>L31*L38</f>
        <v>11619.640000000001</v>
      </c>
      <c r="M32" s="530"/>
      <c r="N32" s="534">
        <f>N31*N38</f>
        <v>58562.9856</v>
      </c>
      <c r="O32" s="530"/>
      <c r="P32" s="530">
        <f>P31*P38</f>
        <v>7901.3552</v>
      </c>
      <c r="Q32" s="530"/>
      <c r="R32" s="534">
        <f>R31*R38</f>
        <v>49267.2736</v>
      </c>
      <c r="S32" s="530"/>
      <c r="T32" s="530"/>
      <c r="U32" s="529"/>
      <c r="V32" s="530"/>
      <c r="W32" s="531"/>
      <c r="X32" s="512"/>
    </row>
    <row r="33" spans="1:25" s="513" customFormat="1" x14ac:dyDescent="0.3">
      <c r="A33" s="521"/>
      <c r="B33" s="527" t="s">
        <v>139</v>
      </c>
      <c r="C33" s="529"/>
      <c r="D33" s="619">
        <f>D34*D37</f>
        <v>154268.24116860001</v>
      </c>
      <c r="E33" s="532"/>
      <c r="F33" s="535">
        <f>F37*F31</f>
        <v>27439.684000000001</v>
      </c>
      <c r="G33" s="535"/>
      <c r="H33" s="537">
        <f>H31*H37</f>
        <v>46363.603999999999</v>
      </c>
      <c r="I33" s="537"/>
      <c r="J33" s="536">
        <f>J37*J31</f>
        <v>58852.3338</v>
      </c>
      <c r="K33" s="535"/>
      <c r="L33" s="535">
        <f>L37*L31</f>
        <v>11188.555</v>
      </c>
      <c r="M33" s="535"/>
      <c r="N33" s="537">
        <f>N37*N31</f>
        <v>56390.317199999998</v>
      </c>
      <c r="O33" s="535"/>
      <c r="P33" s="535">
        <f>P37*P31</f>
        <v>7608.2174000000005</v>
      </c>
      <c r="Q33" s="535"/>
      <c r="R33" s="537">
        <f>R37*R31</f>
        <v>47439.4732</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160212.15135900001</v>
      </c>
      <c r="E35" s="529"/>
      <c r="F35" s="530">
        <f>F34*F38</f>
        <v>28496.907999999999</v>
      </c>
      <c r="G35" s="530"/>
      <c r="H35" s="530">
        <f>H34*H38</f>
        <v>33206.9555664</v>
      </c>
      <c r="I35" s="530"/>
      <c r="J35" s="530">
        <f>J34*J38</f>
        <v>33217.386594000003</v>
      </c>
      <c r="K35" s="530"/>
      <c r="L35" s="530">
        <f>L34*L38</f>
        <v>11619.640000000001</v>
      </c>
      <c r="M35" s="530"/>
      <c r="N35" s="530">
        <f>N34*N38</f>
        <v>40388.474283200005</v>
      </c>
      <c r="O35" s="530"/>
      <c r="P35" s="530">
        <f>P34*P38</f>
        <v>7901.3552</v>
      </c>
      <c r="Q35" s="530"/>
      <c r="R35" s="530">
        <f>R34*R38</f>
        <v>33977.221716799999</v>
      </c>
      <c r="S35" s="530"/>
      <c r="T35" s="530"/>
      <c r="U35" s="529"/>
      <c r="V35" s="530">
        <f>SUM(C35:R35)</f>
        <v>349020.09271940001</v>
      </c>
      <c r="W35" s="531"/>
      <c r="X35" s="512"/>
    </row>
    <row r="36" spans="1:25" s="513" customFormat="1" x14ac:dyDescent="0.3">
      <c r="A36" s="525"/>
      <c r="B36" s="527" t="s">
        <v>295</v>
      </c>
      <c r="C36" s="532"/>
      <c r="D36" s="535">
        <f>D34*D37</f>
        <v>154268.24116860001</v>
      </c>
      <c r="E36" s="532"/>
      <c r="F36" s="535">
        <f>F34*F37</f>
        <v>27439.684000000001</v>
      </c>
      <c r="G36" s="535"/>
      <c r="H36" s="535">
        <f>H34*H37</f>
        <v>31974.9906672</v>
      </c>
      <c r="I36" s="535"/>
      <c r="J36" s="535">
        <f>J34*J37</f>
        <v>31985.0133876</v>
      </c>
      <c r="K36" s="535"/>
      <c r="L36" s="535">
        <f>L34*L37</f>
        <v>11188.555</v>
      </c>
      <c r="M36" s="535"/>
      <c r="N36" s="535">
        <f>N34*N37</f>
        <v>38890.074553400002</v>
      </c>
      <c r="O36" s="535"/>
      <c r="P36" s="535">
        <f>P34*P37</f>
        <v>7608.2174000000005</v>
      </c>
      <c r="Q36" s="535"/>
      <c r="R36" s="535">
        <f>R34*R37</f>
        <v>32716.677446599999</v>
      </c>
      <c r="S36" s="538"/>
      <c r="T36" s="538"/>
      <c r="U36" s="529"/>
      <c r="V36" s="535">
        <f>SUM(C36:R36)+1</f>
        <v>336072.45362340001</v>
      </c>
      <c r="W36" s="531"/>
      <c r="X36" s="512"/>
      <c r="Y36" s="621"/>
    </row>
    <row r="37" spans="1:25" x14ac:dyDescent="0.3">
      <c r="A37" s="420"/>
      <c r="B37" s="493" t="s">
        <v>135</v>
      </c>
      <c r="C37" s="494"/>
      <c r="D37" s="495">
        <v>0.18923580000000001</v>
      </c>
      <c r="E37" s="496"/>
      <c r="F37" s="495">
        <v>0.1892392</v>
      </c>
      <c r="G37" s="495"/>
      <c r="H37" s="495">
        <v>0.1892392</v>
      </c>
      <c r="I37" s="495"/>
      <c r="J37" s="495">
        <v>0.18923580000000001</v>
      </c>
      <c r="K37" s="495"/>
      <c r="L37" s="495">
        <v>0.4475422</v>
      </c>
      <c r="M37" s="495"/>
      <c r="N37" s="495">
        <v>0.4475422</v>
      </c>
      <c r="O37" s="495"/>
      <c r="P37" s="495">
        <v>0.4475422</v>
      </c>
      <c r="Q37" s="495"/>
      <c r="R37" s="495">
        <v>0.4475422</v>
      </c>
      <c r="S37" s="425"/>
      <c r="T37" s="425"/>
      <c r="U37" s="424"/>
      <c r="V37" s="424"/>
      <c r="W37" s="426"/>
      <c r="X37" s="405"/>
    </row>
    <row r="38" spans="1:25" x14ac:dyDescent="0.3">
      <c r="A38" s="420"/>
      <c r="B38" s="493" t="s">
        <v>136</v>
      </c>
      <c r="C38" s="494"/>
      <c r="D38" s="495">
        <v>0.19652700000000001</v>
      </c>
      <c r="E38" s="496"/>
      <c r="F38" s="495">
        <v>0.19653039999999999</v>
      </c>
      <c r="G38" s="495"/>
      <c r="H38" s="495">
        <v>0.19653039999999999</v>
      </c>
      <c r="I38" s="495"/>
      <c r="J38" s="495">
        <v>0.19652700000000001</v>
      </c>
      <c r="K38" s="495"/>
      <c r="L38" s="495">
        <v>0.46478560000000002</v>
      </c>
      <c r="M38" s="495"/>
      <c r="N38" s="495">
        <v>0.46478560000000002</v>
      </c>
      <c r="O38" s="495"/>
      <c r="P38" s="495">
        <v>0.46478560000000002</v>
      </c>
      <c r="Q38" s="495"/>
      <c r="R38" s="495">
        <v>0.46478560000000002</v>
      </c>
      <c r="S38" s="427"/>
      <c r="T38" s="428"/>
      <c r="U38" s="424"/>
      <c r="V38" s="427"/>
      <c r="W38" s="426"/>
      <c r="X38" s="405"/>
    </row>
    <row r="39" spans="1:25" s="513" customFormat="1" x14ac:dyDescent="0.3">
      <c r="A39" s="521"/>
      <c r="B39" s="522" t="s">
        <v>451</v>
      </c>
      <c r="C39" s="522"/>
      <c r="D39" s="528" t="s">
        <v>442</v>
      </c>
      <c r="E39" s="522"/>
      <c r="F39" s="528" t="s">
        <v>442</v>
      </c>
      <c r="G39" s="528"/>
      <c r="H39" s="528" t="s">
        <v>237</v>
      </c>
      <c r="I39" s="528"/>
      <c r="J39" s="528" t="s">
        <v>239</v>
      </c>
      <c r="K39" s="528"/>
      <c r="L39" s="528" t="s">
        <v>443</v>
      </c>
      <c r="M39" s="528"/>
      <c r="N39" s="528" t="s">
        <v>240</v>
      </c>
      <c r="O39" s="528"/>
      <c r="P39" s="528" t="s">
        <v>444</v>
      </c>
      <c r="Q39" s="528"/>
      <c r="R39" s="528" t="s">
        <v>241</v>
      </c>
      <c r="S39" s="539"/>
      <c r="T39" s="540"/>
      <c r="U39" s="522"/>
      <c r="V39" s="522"/>
      <c r="W39" s="524"/>
      <c r="X39" s="512"/>
    </row>
    <row r="40" spans="1:25" s="513" customFormat="1" x14ac:dyDescent="0.3">
      <c r="A40" s="521"/>
      <c r="B40" s="522" t="s">
        <v>12</v>
      </c>
      <c r="C40" s="522"/>
      <c r="D40" s="540">
        <v>5.5800500000000003E-2</v>
      </c>
      <c r="E40" s="522"/>
      <c r="F40" s="540">
        <v>5.5800500000000003E-2</v>
      </c>
      <c r="G40" s="539"/>
      <c r="H40" s="540">
        <v>4.2419999999999999E-2</v>
      </c>
      <c r="I40" s="540"/>
      <c r="J40" s="540">
        <v>5.86133E-2</v>
      </c>
      <c r="K40" s="539"/>
      <c r="L40" s="540">
        <v>5.8200500000000002E-2</v>
      </c>
      <c r="M40" s="539"/>
      <c r="N40" s="540">
        <v>4.4819999999999999E-2</v>
      </c>
      <c r="O40" s="539"/>
      <c r="P40" s="540">
        <v>6.2600500000000003E-2</v>
      </c>
      <c r="Q40" s="539"/>
      <c r="R40" s="540">
        <v>4.922E-2</v>
      </c>
      <c r="S40" s="539"/>
      <c r="T40" s="540"/>
      <c r="U40" s="522"/>
      <c r="V40" s="528"/>
      <c r="W40" s="524"/>
      <c r="X40" s="512"/>
    </row>
    <row r="41" spans="1:25" s="513" customFormat="1" x14ac:dyDescent="0.3">
      <c r="A41" s="521"/>
      <c r="B41" s="522" t="s">
        <v>13</v>
      </c>
      <c r="C41" s="522"/>
      <c r="D41" s="540">
        <v>5.5784100000000003E-2</v>
      </c>
      <c r="E41" s="522"/>
      <c r="F41" s="540">
        <v>5.5784100000000003E-2</v>
      </c>
      <c r="G41" s="539"/>
      <c r="H41" s="540">
        <v>4.0210000000000003E-2</v>
      </c>
      <c r="I41" s="540"/>
      <c r="J41" s="540">
        <v>5.8461800000000001E-2</v>
      </c>
      <c r="K41" s="539"/>
      <c r="L41" s="540">
        <v>5.8184100000000002E-2</v>
      </c>
      <c r="M41" s="539"/>
      <c r="N41" s="540">
        <v>4.2610000000000002E-2</v>
      </c>
      <c r="O41" s="539"/>
      <c r="P41" s="540">
        <v>6.2584100000000004E-2</v>
      </c>
      <c r="Q41" s="539"/>
      <c r="R41" s="540">
        <v>4.7010000000000003E-2</v>
      </c>
      <c r="S41" s="539"/>
      <c r="T41" s="540"/>
      <c r="U41" s="522"/>
      <c r="V41" s="539" t="s">
        <v>199</v>
      </c>
      <c r="W41" s="524"/>
      <c r="X41" s="512"/>
    </row>
    <row r="42" spans="1:25" s="513" customFormat="1" x14ac:dyDescent="0.3">
      <c r="A42" s="521"/>
      <c r="B42" s="522" t="s">
        <v>449</v>
      </c>
      <c r="C42" s="522"/>
      <c r="D42" s="528" t="s">
        <v>442</v>
      </c>
      <c r="E42" s="522"/>
      <c r="F42" s="528" t="s">
        <v>442</v>
      </c>
      <c r="G42" s="528"/>
      <c r="H42" s="528" t="s">
        <v>445</v>
      </c>
      <c r="I42" s="528"/>
      <c r="J42" s="528" t="s">
        <v>446</v>
      </c>
      <c r="K42" s="528"/>
      <c r="L42" s="528" t="s">
        <v>443</v>
      </c>
      <c r="M42" s="528"/>
      <c r="N42" s="528" t="s">
        <v>448</v>
      </c>
      <c r="O42" s="528"/>
      <c r="P42" s="528" t="s">
        <v>444</v>
      </c>
      <c r="Q42" s="528"/>
      <c r="R42" s="528" t="s">
        <v>447</v>
      </c>
      <c r="S42" s="539"/>
      <c r="T42" s="540"/>
      <c r="U42" s="522"/>
      <c r="V42" s="522"/>
      <c r="W42" s="524"/>
      <c r="X42" s="512"/>
    </row>
    <row r="43" spans="1:25" s="513" customFormat="1" x14ac:dyDescent="0.3">
      <c r="A43" s="521"/>
      <c r="B43" s="522" t="s">
        <v>297</v>
      </c>
      <c r="C43" s="541"/>
      <c r="D43" s="540">
        <f>+D40</f>
        <v>5.5800500000000003E-2</v>
      </c>
      <c r="E43" s="540"/>
      <c r="F43" s="540">
        <f>+F40</f>
        <v>5.5800500000000003E-2</v>
      </c>
      <c r="G43" s="540"/>
      <c r="H43" s="540">
        <v>5.5722500000000001E-2</v>
      </c>
      <c r="I43" s="540"/>
      <c r="J43" s="540">
        <v>5.59645E-2</v>
      </c>
      <c r="K43" s="540"/>
      <c r="L43" s="540">
        <f>+L40</f>
        <v>5.8200500000000002E-2</v>
      </c>
      <c r="M43" s="540"/>
      <c r="N43" s="540">
        <v>5.8402500000000003E-2</v>
      </c>
      <c r="O43" s="540"/>
      <c r="P43" s="540">
        <f>+P40</f>
        <v>6.2600500000000003E-2</v>
      </c>
      <c r="Q43" s="539"/>
      <c r="R43" s="540">
        <v>6.3072500000000004E-2</v>
      </c>
      <c r="S43" s="528"/>
      <c r="T43" s="528"/>
      <c r="U43" s="522"/>
      <c r="V43" s="539">
        <f>SUMPRODUCT(D43:R43,D35:R35)/V35</f>
        <v>5.7051565585463995E-2</v>
      </c>
      <c r="W43" s="524"/>
      <c r="X43" s="512"/>
    </row>
    <row r="44" spans="1:25" s="513" customFormat="1" x14ac:dyDescent="0.3">
      <c r="A44" s="521"/>
      <c r="B44" s="522" t="s">
        <v>298</v>
      </c>
      <c r="C44" s="541"/>
      <c r="D44" s="540">
        <f>+D41</f>
        <v>5.5784100000000003E-2</v>
      </c>
      <c r="E44" s="540"/>
      <c r="F44" s="540">
        <f>+F41</f>
        <v>5.5784100000000003E-2</v>
      </c>
      <c r="G44" s="540"/>
      <c r="H44" s="540">
        <v>5.5706100000000001E-2</v>
      </c>
      <c r="I44" s="540"/>
      <c r="J44" s="540">
        <v>5.5948100000000001E-2</v>
      </c>
      <c r="K44" s="540"/>
      <c r="L44" s="540">
        <f>+L41</f>
        <v>5.8184100000000002E-2</v>
      </c>
      <c r="M44" s="540"/>
      <c r="N44" s="540">
        <v>5.8386100000000003E-2</v>
      </c>
      <c r="O44" s="540"/>
      <c r="P44" s="540">
        <f>+P41</f>
        <v>6.2584100000000004E-2</v>
      </c>
      <c r="Q44" s="539"/>
      <c r="R44" s="540">
        <v>6.3056100000000004E-2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450</v>
      </c>
      <c r="C47" s="522"/>
      <c r="D47" s="528" t="s">
        <v>442</v>
      </c>
      <c r="E47" s="522"/>
      <c r="F47" s="528" t="s">
        <v>442</v>
      </c>
      <c r="G47" s="528"/>
      <c r="H47" s="528" t="s">
        <v>237</v>
      </c>
      <c r="I47" s="528"/>
      <c r="J47" s="528" t="s">
        <v>239</v>
      </c>
      <c r="K47" s="528"/>
      <c r="L47" s="528" t="s">
        <v>443</v>
      </c>
      <c r="M47" s="528"/>
      <c r="N47" s="528" t="s">
        <v>240</v>
      </c>
      <c r="O47" s="528"/>
      <c r="P47" s="528" t="s">
        <v>444</v>
      </c>
      <c r="Q47" s="528"/>
      <c r="R47" s="528" t="s">
        <v>241</v>
      </c>
      <c r="S47" s="542"/>
      <c r="T47" s="542"/>
      <c r="U47" s="542"/>
      <c r="V47" s="542"/>
      <c r="W47" s="524"/>
      <c r="X47" s="512"/>
    </row>
    <row r="48" spans="1:25" s="513" customFormat="1" x14ac:dyDescent="0.3">
      <c r="A48" s="521"/>
      <c r="B48" s="522" t="s">
        <v>452</v>
      </c>
      <c r="C48" s="522"/>
      <c r="D48" s="528" t="s">
        <v>442</v>
      </c>
      <c r="E48" s="522"/>
      <c r="F48" s="528" t="s">
        <v>442</v>
      </c>
      <c r="G48" s="528"/>
      <c r="H48" s="528" t="s">
        <v>445</v>
      </c>
      <c r="I48" s="528"/>
      <c r="J48" s="528" t="s">
        <v>446</v>
      </c>
      <c r="K48" s="528"/>
      <c r="L48" s="528" t="s">
        <v>443</v>
      </c>
      <c r="M48" s="528"/>
      <c r="N48" s="528" t="s">
        <v>448</v>
      </c>
      <c r="O48" s="528"/>
      <c r="P48" s="528" t="s">
        <v>444</v>
      </c>
      <c r="Q48" s="528"/>
      <c r="R48" s="528" t="s">
        <v>447</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40"/>
      <c r="E50" s="540"/>
      <c r="F50" s="540"/>
      <c r="G50" s="540"/>
      <c r="H50" s="540"/>
      <c r="I50" s="540"/>
      <c r="J50" s="540"/>
      <c r="K50" s="540"/>
      <c r="L50" s="540"/>
      <c r="M50" s="540"/>
      <c r="N50" s="540"/>
      <c r="O50" s="540"/>
      <c r="P50" s="540"/>
      <c r="Q50" s="540"/>
      <c r="R50" s="540"/>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0.36799074541712301</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45337</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45153</v>
      </c>
      <c r="U57" s="550"/>
      <c r="V57" s="549">
        <v>45244</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45245</v>
      </c>
      <c r="U58" s="550"/>
      <c r="V58" s="549">
        <v>45336</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45323</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465</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349020</v>
      </c>
      <c r="O68" s="562"/>
      <c r="P68" s="562">
        <v>12948</v>
      </c>
      <c r="Q68" s="562"/>
      <c r="R68" s="562">
        <v>0</v>
      </c>
      <c r="S68" s="562"/>
      <c r="T68" s="562">
        <v>0</v>
      </c>
      <c r="U68" s="562"/>
      <c r="V68" s="563">
        <f>+N68-P68+R68-T68</f>
        <v>336072</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349020</v>
      </c>
      <c r="O71" s="562"/>
      <c r="P71" s="562">
        <f>SUM(P68:P70)</f>
        <v>12948</v>
      </c>
      <c r="Q71" s="562"/>
      <c r="R71" s="562">
        <f>SUM(R68:R70)</f>
        <v>0</v>
      </c>
      <c r="S71" s="562"/>
      <c r="T71" s="562">
        <f>SUM(T68:T70)</f>
        <v>0</v>
      </c>
      <c r="U71" s="562"/>
      <c r="V71" s="562">
        <f>SUM(V68:V70)</f>
        <v>336072</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349020</v>
      </c>
      <c r="O84" s="562"/>
      <c r="P84" s="562"/>
      <c r="Q84" s="562"/>
      <c r="R84" s="562"/>
      <c r="S84" s="562"/>
      <c r="T84" s="562"/>
      <c r="U84" s="562"/>
      <c r="V84" s="562">
        <f>SUM(V71:V83)</f>
        <v>336072</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45322</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12948-119</f>
        <v>12829</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5188+2621-1113-871</f>
        <v>5825</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25+68</f>
        <v>93</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454</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0</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12829</v>
      </c>
      <c r="U96" s="522"/>
      <c r="V96" s="562">
        <f>SUM(V88:V95)</f>
        <v>6372</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12829</v>
      </c>
      <c r="U100" s="522"/>
      <c r="V100" s="562">
        <f>V96+V98+V97+V99</f>
        <v>6372</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-135-97-6</f>
        <v>-238</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v>-3188</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-401</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-595</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-170</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-540</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-125</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-13</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119</v>
      </c>
      <c r="U114" s="522"/>
      <c r="V114" s="563">
        <v>-119</v>
      </c>
      <c r="W114" s="422"/>
      <c r="X114" s="405"/>
    </row>
    <row r="115" spans="1:24" x14ac:dyDescent="0.3">
      <c r="A115" s="521">
        <f t="shared" si="0"/>
        <v>10</v>
      </c>
      <c r="B115" s="522" t="s">
        <v>460</v>
      </c>
      <c r="C115" s="522"/>
      <c r="D115" s="522"/>
      <c r="E115" s="522"/>
      <c r="F115" s="522"/>
      <c r="G115" s="522"/>
      <c r="H115" s="522"/>
      <c r="I115" s="522"/>
      <c r="J115" s="522"/>
      <c r="K115" s="522"/>
      <c r="L115" s="522"/>
      <c r="M115" s="522"/>
      <c r="N115" s="522"/>
      <c r="O115" s="522"/>
      <c r="P115" s="522"/>
      <c r="Q115" s="522"/>
      <c r="R115" s="522"/>
      <c r="S115" s="522"/>
      <c r="T115" s="522"/>
      <c r="U115" s="522"/>
      <c r="V115" s="563">
        <v>-981</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0</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0</v>
      </c>
      <c r="W119" s="615"/>
      <c r="X119" s="679"/>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0</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0</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0</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0</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-5944</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-1057</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-1232</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-1232</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-431</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-1498</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-293</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-1261</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-12948</v>
      </c>
      <c r="U137" s="562"/>
      <c r="V137" s="562">
        <f>SUM(V102:V134)</f>
        <v>-6372</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JANUARY 2024</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f>+'Oct 23'!V155</f>
        <v>21529</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463</v>
      </c>
      <c r="C152" s="522"/>
      <c r="D152" s="522"/>
      <c r="E152" s="522"/>
      <c r="F152" s="522"/>
      <c r="G152" s="522"/>
      <c r="H152" s="522"/>
      <c r="I152" s="522"/>
      <c r="J152" s="522"/>
      <c r="K152" s="522"/>
      <c r="L152" s="522"/>
      <c r="M152" s="522"/>
      <c r="N152" s="522"/>
      <c r="O152" s="522"/>
      <c r="P152" s="522"/>
      <c r="Q152" s="522"/>
      <c r="R152" s="522"/>
      <c r="S152" s="522"/>
      <c r="T152" s="522"/>
      <c r="U152" s="522"/>
      <c r="V152" s="563">
        <f>-V115</f>
        <v>981</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461</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22510</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119</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119</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-119</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336072</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336072</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+'Oct 23'!S188</f>
        <v>57078</v>
      </c>
      <c r="T186" s="563">
        <f>+'Oct 23'!T188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1.7085539147394817</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2.0499999999999998</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3.3241830065359479</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7.56</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2.6736842105263157</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6.81</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JANUARY 2024</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45322</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6.9393580325621956E-2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5.7051565585463995E-2</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1.2342014740157961E-2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1.8256833419288292E-2</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5.7014935053930538</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3.7098160563864536E-2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8.4500000000000006E-2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8</v>
      </c>
      <c r="T221" s="577">
        <v>2816</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43</v>
      </c>
      <c r="T222" s="579">
        <f>+T274</f>
        <v>8113</v>
      </c>
      <c r="U222" s="424"/>
      <c r="V222" s="474"/>
      <c r="W222" s="475"/>
      <c r="X222" s="405"/>
    </row>
    <row r="223" spans="1:24" x14ac:dyDescent="0.3">
      <c r="A223" s="471"/>
      <c r="B223" s="522" t="s">
        <v>466</v>
      </c>
      <c r="C223" s="562"/>
      <c r="D223" s="562"/>
      <c r="E223" s="562"/>
      <c r="F223" s="522"/>
      <c r="G223" s="522"/>
      <c r="H223" s="528"/>
      <c r="I223" s="528"/>
      <c r="J223" s="528"/>
      <c r="K223" s="528"/>
      <c r="L223" s="528"/>
      <c r="M223" s="528"/>
      <c r="N223" s="528"/>
      <c r="O223" s="528"/>
      <c r="P223" s="528"/>
      <c r="Q223" s="528"/>
      <c r="R223" s="528"/>
      <c r="S223" s="578">
        <f>+R296</f>
        <v>18</v>
      </c>
      <c r="T223" s="579">
        <f>+T296</f>
        <v>1669</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119</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'Oct 23'!T228+'Jan 24'!T227</f>
        <v>9676</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3</v>
      </c>
      <c r="T234" s="579">
        <v>282</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6.42</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2483</v>
      </c>
      <c r="S241" s="588">
        <f t="shared" ref="S241:S248" si="2">R241/$R$250</f>
        <v>0.94843391902215435</v>
      </c>
      <c r="T241" s="589">
        <f t="shared" ref="T241:T247" si="3">+T253+T265+T287</f>
        <v>314040</v>
      </c>
      <c r="U241" s="588">
        <f t="shared" ref="U241:U248" si="4">T241/$T$250</f>
        <v>0.93444261943869167</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18</v>
      </c>
      <c r="S242" s="593">
        <f t="shared" si="2"/>
        <v>6.8754774637127579E-3</v>
      </c>
      <c r="T242" s="563">
        <f t="shared" si="3"/>
        <v>2653</v>
      </c>
      <c r="U242" s="593">
        <f t="shared" si="4"/>
        <v>7.8941417315337194E-3</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39</v>
      </c>
      <c r="S243" s="593">
        <f t="shared" si="2"/>
        <v>1.4896867838044309E-2</v>
      </c>
      <c r="T243" s="563">
        <f t="shared" si="3"/>
        <v>4979</v>
      </c>
      <c r="U243" s="593">
        <f t="shared" si="4"/>
        <v>1.4815277678592682E-2</v>
      </c>
      <c r="V243" s="582"/>
      <c r="W243" s="583"/>
      <c r="X243" s="682"/>
      <c r="Y243" s="680"/>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40</v>
      </c>
      <c r="S244" s="593">
        <f t="shared" si="2"/>
        <v>1.5278838808250574E-2</v>
      </c>
      <c r="T244" s="563">
        <f t="shared" si="3"/>
        <v>7759</v>
      </c>
      <c r="U244" s="593">
        <f t="shared" si="4"/>
        <v>2.3087314623056965E-2</v>
      </c>
      <c r="V244" s="582"/>
      <c r="W244" s="583"/>
      <c r="X244" s="68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4</v>
      </c>
      <c r="S245" s="593">
        <f t="shared" si="2"/>
        <v>1.5278838808250573E-3</v>
      </c>
      <c r="T245" s="563">
        <f t="shared" si="3"/>
        <v>783</v>
      </c>
      <c r="U245" s="593">
        <f t="shared" si="4"/>
        <v>2.3298578875955152E-3</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5</v>
      </c>
      <c r="S246" s="593">
        <f t="shared" si="2"/>
        <v>1.9098548510313217E-3</v>
      </c>
      <c r="T246" s="563">
        <f t="shared" si="3"/>
        <v>725</v>
      </c>
      <c r="U246" s="593">
        <f t="shared" si="4"/>
        <v>2.1572758218476994E-3</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9</v>
      </c>
      <c r="S247" s="593">
        <f t="shared" si="2"/>
        <v>3.437738731856379E-3</v>
      </c>
      <c r="T247" s="563">
        <f t="shared" si="3"/>
        <v>3155</v>
      </c>
      <c r="U247" s="593">
        <f t="shared" si="4"/>
        <v>9.3878692661096431E-3</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20</v>
      </c>
      <c r="S248" s="593">
        <f t="shared" si="2"/>
        <v>7.6394194041252868E-3</v>
      </c>
      <c r="T248" s="563">
        <f>+T260+T272+T294</f>
        <v>1978</v>
      </c>
      <c r="U248" s="593">
        <f t="shared" si="4"/>
        <v>5.8856435525720683E-3</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2618</v>
      </c>
      <c r="S250" s="593">
        <f>SUM(S241:S249)</f>
        <v>1</v>
      </c>
      <c r="T250" s="563">
        <f>SUM(T241:T249)</f>
        <v>336072</v>
      </c>
      <c r="U250" s="593">
        <f>SUM(U241:U249)</f>
        <v>0.99999999999999989</v>
      </c>
      <c r="V250" s="522"/>
      <c r="W250" s="683"/>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2461</v>
      </c>
      <c r="S253" s="595">
        <f t="shared" ref="S253:S260" si="5">R253/$R$262</f>
        <v>0.96245600312866642</v>
      </c>
      <c r="T253" s="596">
        <v>311517</v>
      </c>
      <c r="U253" s="595">
        <f t="shared" ref="U253:U260" si="6">T253/$T$262</f>
        <v>0.95472432498697479</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16</v>
      </c>
      <c r="S254" s="593">
        <f t="shared" si="5"/>
        <v>6.257332811888932E-3</v>
      </c>
      <c r="T254" s="563">
        <v>2345</v>
      </c>
      <c r="U254" s="593">
        <f t="shared" si="6"/>
        <v>7.1868583162217657E-3</v>
      </c>
      <c r="V254" s="582"/>
      <c r="W254" s="583"/>
      <c r="X254" s="681"/>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35</v>
      </c>
      <c r="S255" s="593">
        <f t="shared" si="5"/>
        <v>1.368791552600704E-2</v>
      </c>
      <c r="T255" s="563">
        <v>3920</v>
      </c>
      <c r="U255" s="593">
        <f t="shared" si="6"/>
        <v>1.2013852707713997E-2</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39</v>
      </c>
      <c r="S256" s="593">
        <f t="shared" si="5"/>
        <v>1.5252248728979272E-2</v>
      </c>
      <c r="T256" s="563">
        <v>7686</v>
      </c>
      <c r="U256" s="593">
        <f t="shared" si="6"/>
        <v>2.3555732630482086E-2</v>
      </c>
      <c r="V256" s="582"/>
      <c r="W256" s="583"/>
      <c r="X256" s="512"/>
      <c r="Y256" s="570"/>
    </row>
    <row r="257" spans="1:26"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2</v>
      </c>
      <c r="S257" s="593">
        <f t="shared" si="5"/>
        <v>7.8216660148611649E-4</v>
      </c>
      <c r="T257" s="563">
        <v>190</v>
      </c>
      <c r="U257" s="593">
        <f t="shared" si="6"/>
        <v>5.8230408532287232E-4</v>
      </c>
      <c r="V257" s="582"/>
      <c r="W257" s="583"/>
      <c r="X257" s="512"/>
    </row>
    <row r="258" spans="1:26"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4</v>
      </c>
      <c r="S258" s="593">
        <f t="shared" si="5"/>
        <v>1.564333202972233E-3</v>
      </c>
      <c r="T258" s="563">
        <v>632</v>
      </c>
      <c r="U258" s="593">
        <f t="shared" si="6"/>
        <v>1.9369272732845015E-3</v>
      </c>
      <c r="V258" s="582"/>
      <c r="W258" s="583"/>
      <c r="X258" s="512"/>
      <c r="Y258" s="570"/>
    </row>
    <row r="259" spans="1:26"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0</v>
      </c>
      <c r="S259" s="593">
        <f t="shared" si="5"/>
        <v>0</v>
      </c>
      <c r="T259" s="563">
        <v>0</v>
      </c>
      <c r="U259" s="593">
        <f t="shared" si="6"/>
        <v>0</v>
      </c>
      <c r="V259" s="582"/>
      <c r="W259" s="583"/>
      <c r="X259" s="512"/>
    </row>
    <row r="260" spans="1:26"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0</v>
      </c>
      <c r="S260" s="593">
        <f t="shared" si="5"/>
        <v>0</v>
      </c>
      <c r="T260" s="563">
        <v>0</v>
      </c>
      <c r="U260" s="593">
        <f t="shared" si="6"/>
        <v>0</v>
      </c>
      <c r="V260" s="582"/>
      <c r="W260" s="583"/>
      <c r="X260" s="512"/>
      <c r="Y260" s="570"/>
    </row>
    <row r="261" spans="1:26"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6"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2557</v>
      </c>
      <c r="S262" s="593">
        <f>SUM(S253:S261)</f>
        <v>0.99999999999999989</v>
      </c>
      <c r="T262" s="563">
        <f>SUM(T253:T261)</f>
        <v>326290</v>
      </c>
      <c r="U262" s="593">
        <f>SUM(U253:U261)</f>
        <v>1</v>
      </c>
      <c r="V262" s="522"/>
      <c r="W262" s="524"/>
      <c r="X262" s="512"/>
      <c r="Y262" s="570"/>
      <c r="Z262" s="570"/>
    </row>
    <row r="263" spans="1:26"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6"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6"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22</v>
      </c>
      <c r="S265" s="595">
        <f t="shared" ref="S265:S272" si="7">R265/$R$274</f>
        <v>0.51162790697674421</v>
      </c>
      <c r="T265" s="596">
        <v>2523</v>
      </c>
      <c r="U265" s="595">
        <f t="shared" ref="U265:U271" si="8">T265/$T$274</f>
        <v>0.31098237396770617</v>
      </c>
      <c r="V265" s="552"/>
      <c r="W265" s="552"/>
      <c r="X265" s="512"/>
    </row>
    <row r="266" spans="1:26"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2</v>
      </c>
      <c r="S266" s="593">
        <f t="shared" si="7"/>
        <v>4.6511627906976744E-2</v>
      </c>
      <c r="T266" s="563">
        <v>308</v>
      </c>
      <c r="U266" s="593">
        <f t="shared" si="8"/>
        <v>3.7963761863675581E-2</v>
      </c>
      <c r="V266" s="522"/>
      <c r="W266" s="524"/>
      <c r="X266" s="512"/>
    </row>
    <row r="267" spans="1:26"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4</v>
      </c>
      <c r="S267" s="593">
        <f t="shared" si="7"/>
        <v>9.3023255813953487E-2</v>
      </c>
      <c r="T267" s="563">
        <v>1059</v>
      </c>
      <c r="U267" s="593">
        <f t="shared" si="8"/>
        <v>0.13053124614815728</v>
      </c>
      <c r="V267" s="522"/>
      <c r="W267" s="524"/>
      <c r="X267" s="512"/>
    </row>
    <row r="268" spans="1:26"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1</v>
      </c>
      <c r="S268" s="593">
        <f t="shared" si="7"/>
        <v>2.3255813953488372E-2</v>
      </c>
      <c r="T268" s="563">
        <v>73</v>
      </c>
      <c r="U268" s="593">
        <f t="shared" si="8"/>
        <v>8.9979045975594717E-3</v>
      </c>
      <c r="V268" s="522"/>
      <c r="W268" s="524"/>
      <c r="X268" s="512"/>
    </row>
    <row r="269" spans="1:26"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2</v>
      </c>
      <c r="S269" s="593">
        <f t="shared" si="7"/>
        <v>4.6511627906976744E-2</v>
      </c>
      <c r="T269" s="563">
        <v>593</v>
      </c>
      <c r="U269" s="593">
        <f t="shared" si="8"/>
        <v>7.3092567484284485E-2</v>
      </c>
      <c r="V269" s="522"/>
      <c r="W269" s="524"/>
      <c r="X269" s="512"/>
    </row>
    <row r="270" spans="1:26"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1</v>
      </c>
      <c r="S270" s="593">
        <f t="shared" si="7"/>
        <v>2.3255813953488372E-2</v>
      </c>
      <c r="T270" s="563">
        <v>93</v>
      </c>
      <c r="U270" s="593">
        <f t="shared" si="8"/>
        <v>1.1463083939356588E-2</v>
      </c>
      <c r="V270" s="522"/>
      <c r="W270" s="524"/>
      <c r="X270" s="512"/>
    </row>
    <row r="271" spans="1:26"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9</v>
      </c>
      <c r="S271" s="593">
        <f t="shared" si="7"/>
        <v>0.20930232558139536</v>
      </c>
      <c r="T271" s="563">
        <v>3155</v>
      </c>
      <c r="U271" s="593">
        <f t="shared" si="8"/>
        <v>0.38888204116849501</v>
      </c>
      <c r="V271" s="522"/>
      <c r="W271" s="524"/>
      <c r="X271" s="512"/>
    </row>
    <row r="272" spans="1:26"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2</v>
      </c>
      <c r="S272" s="593">
        <f t="shared" si="7"/>
        <v>4.6511627906976744E-2</v>
      </c>
      <c r="T272" s="563">
        <v>309</v>
      </c>
      <c r="U272" s="593">
        <f>T272/$T$274</f>
        <v>3.8087020830765435E-2</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43</v>
      </c>
      <c r="S274" s="593">
        <f>SUM(S265:S273)</f>
        <v>1.0000000000000002</v>
      </c>
      <c r="T274" s="563">
        <f>SUM(T265:T273)</f>
        <v>8113</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15</v>
      </c>
      <c r="S277" s="593">
        <f>R277/R284</f>
        <v>0.34883720930232559</v>
      </c>
      <c r="T277" s="563">
        <v>1988</v>
      </c>
      <c r="U277" s="593">
        <f>T277/T284</f>
        <v>0.2450388265746333</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2</v>
      </c>
      <c r="S278" s="593">
        <f>R278/R284</f>
        <v>4.6511627906976744E-2</v>
      </c>
      <c r="T278" s="563">
        <v>725</v>
      </c>
      <c r="U278" s="593">
        <f>T278/T284</f>
        <v>8.9362751140145441E-2</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3</v>
      </c>
      <c r="S279" s="593">
        <f>R279/R284</f>
        <v>6.9767441860465115E-2</v>
      </c>
      <c r="T279" s="563">
        <v>337</v>
      </c>
      <c r="U279" s="593">
        <f>T279/T284</f>
        <v>4.1538271909281402E-2</v>
      </c>
      <c r="V279" s="522"/>
      <c r="W279" s="524"/>
      <c r="X279" s="512"/>
    </row>
    <row r="280" spans="1:24" s="513" customFormat="1" x14ac:dyDescent="0.3">
      <c r="A280" s="521"/>
      <c r="B280" s="522" t="s">
        <v>413</v>
      </c>
      <c r="C280" s="522"/>
      <c r="D280" s="522"/>
      <c r="E280" s="522"/>
      <c r="F280" s="522"/>
      <c r="G280" s="522"/>
      <c r="H280" s="594"/>
      <c r="I280" s="594"/>
      <c r="J280" s="594"/>
      <c r="K280" s="594"/>
      <c r="L280" s="594"/>
      <c r="M280" s="594"/>
      <c r="N280" s="594"/>
      <c r="O280" s="594"/>
      <c r="P280" s="594"/>
      <c r="Q280" s="594"/>
      <c r="R280" s="562">
        <v>9</v>
      </c>
      <c r="S280" s="593">
        <f>R280/R284</f>
        <v>0.20930232558139536</v>
      </c>
      <c r="T280" s="563">
        <v>2418</v>
      </c>
      <c r="U280" s="593">
        <f>T280/T284</f>
        <v>0.29804018242327129</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9</v>
      </c>
      <c r="S281" s="593">
        <f>R281/R284</f>
        <v>0.20930232558139536</v>
      </c>
      <c r="T281" s="563">
        <v>1601</v>
      </c>
      <c r="U281" s="593">
        <f>T281/T284</f>
        <v>0.19733760631085911</v>
      </c>
      <c r="V281" s="522"/>
      <c r="W281" s="524"/>
      <c r="X281" s="512"/>
    </row>
    <row r="282" spans="1:24" s="513" customFormat="1" x14ac:dyDescent="0.3">
      <c r="A282" s="521"/>
      <c r="B282" s="424" t="s">
        <v>440</v>
      </c>
      <c r="C282" s="522"/>
      <c r="D282" s="522"/>
      <c r="E282" s="522"/>
      <c r="F282" s="522"/>
      <c r="G282" s="522"/>
      <c r="H282" s="594"/>
      <c r="I282" s="594"/>
      <c r="J282" s="594"/>
      <c r="K282" s="594"/>
      <c r="L282" s="594"/>
      <c r="M282" s="594"/>
      <c r="N282" s="594"/>
      <c r="O282" s="594"/>
      <c r="P282" s="594"/>
      <c r="Q282" s="594"/>
      <c r="R282" s="562">
        <v>5</v>
      </c>
      <c r="S282" s="593">
        <f>R282/R284</f>
        <v>0.11627906976744186</v>
      </c>
      <c r="T282" s="563">
        <v>1044</v>
      </c>
      <c r="U282" s="593">
        <f>T282/T284</f>
        <v>0.12868236164180943</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43</v>
      </c>
      <c r="S284" s="593">
        <f>SUM(S277:S282)</f>
        <v>1.0000000000000002</v>
      </c>
      <c r="T284" s="563">
        <f>SUM(T277:T282)</f>
        <v>8113</v>
      </c>
      <c r="U284" s="593">
        <f>SUM(U277:U283)</f>
        <v>1</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18</v>
      </c>
      <c r="S294" s="593">
        <v>1</v>
      </c>
      <c r="T294" s="563">
        <v>1669</v>
      </c>
      <c r="U294" s="593">
        <v>1</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18</v>
      </c>
      <c r="S296" s="593">
        <f>SUM(S287:S295)</f>
        <v>1</v>
      </c>
      <c r="T296" s="563">
        <f>SUM(T287:T294)</f>
        <v>1669</v>
      </c>
      <c r="U296" s="593">
        <f>SUM(U287:U295)</f>
        <v>1</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2618</v>
      </c>
      <c r="S298" s="593"/>
      <c r="T298" s="599">
        <f>+T296+T274+T262</f>
        <v>336072</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509"/>
      <c r="B300" s="510"/>
      <c r="C300" s="510"/>
      <c r="D300" s="510"/>
      <c r="E300" s="510"/>
      <c r="F300" s="510"/>
      <c r="G300" s="510"/>
      <c r="H300" s="600"/>
      <c r="I300" s="600"/>
      <c r="J300" s="600"/>
      <c r="K300" s="600"/>
      <c r="L300" s="600"/>
      <c r="M300" s="600"/>
      <c r="N300" s="600"/>
      <c r="O300" s="600"/>
      <c r="P300" s="600"/>
      <c r="Q300" s="600"/>
      <c r="R300" s="600"/>
      <c r="S300" s="600"/>
      <c r="T300" s="601"/>
      <c r="U300" s="600"/>
      <c r="V300" s="510"/>
      <c r="W300" s="510"/>
      <c r="X300" s="512"/>
    </row>
    <row r="301" spans="1:24" s="513" customFormat="1" x14ac:dyDescent="0.3">
      <c r="A301" s="509"/>
      <c r="B301" s="508" t="s">
        <v>93</v>
      </c>
      <c r="C301" s="510"/>
      <c r="D301" s="510"/>
      <c r="E301" s="510"/>
      <c r="F301" s="516" t="s">
        <v>99</v>
      </c>
      <c r="G301" s="510"/>
      <c r="H301" s="508" t="s">
        <v>101</v>
      </c>
      <c r="I301" s="510"/>
      <c r="J301" s="510"/>
      <c r="K301" s="510"/>
      <c r="L301" s="510"/>
      <c r="M301" s="510"/>
      <c r="N301" s="510"/>
      <c r="O301" s="510"/>
      <c r="P301" s="510"/>
      <c r="Q301" s="510"/>
      <c r="R301" s="510"/>
      <c r="S301" s="510"/>
      <c r="T301" s="510"/>
      <c r="U301" s="510"/>
      <c r="V301" s="510"/>
      <c r="W301" s="510"/>
      <c r="X301" s="512"/>
    </row>
    <row r="302" spans="1:24" s="513" customFormat="1" x14ac:dyDescent="0.3">
      <c r="A302" s="509"/>
      <c r="B302" s="508" t="s">
        <v>327</v>
      </c>
      <c r="C302" s="508"/>
      <c r="D302" s="508"/>
      <c r="E302" s="508"/>
      <c r="F302" s="602" t="s">
        <v>278</v>
      </c>
      <c r="G302" s="508"/>
      <c r="H302" s="402" t="s">
        <v>350</v>
      </c>
      <c r="I302" s="510"/>
      <c r="J302" s="510"/>
      <c r="K302" s="510"/>
      <c r="L302" s="510"/>
      <c r="M302" s="510"/>
      <c r="N302" s="510"/>
      <c r="O302" s="510"/>
      <c r="P302" s="510"/>
      <c r="Q302" s="510"/>
      <c r="R302" s="510"/>
      <c r="S302" s="510"/>
      <c r="T302" s="510"/>
      <c r="U302" s="510"/>
      <c r="V302" s="510"/>
      <c r="W302" s="510"/>
      <c r="X302" s="512"/>
    </row>
    <row r="303" spans="1:24" s="513" customFormat="1" x14ac:dyDescent="0.3">
      <c r="A303" s="509"/>
      <c r="B303" s="508" t="s">
        <v>328</v>
      </c>
      <c r="C303" s="508"/>
      <c r="D303" s="508"/>
      <c r="E303" s="508"/>
      <c r="F303" s="602" t="s">
        <v>152</v>
      </c>
      <c r="G303" s="508"/>
      <c r="H303" s="402" t="s">
        <v>351</v>
      </c>
      <c r="I303" s="510"/>
      <c r="J303" s="510"/>
      <c r="K303" s="510"/>
      <c r="L303" s="510"/>
      <c r="M303" s="510"/>
      <c r="N303" s="510"/>
      <c r="O303" s="510"/>
      <c r="P303" s="510"/>
      <c r="Q303" s="510"/>
      <c r="R303" s="510"/>
      <c r="S303" s="510"/>
      <c r="T303" s="510"/>
      <c r="U303" s="510"/>
      <c r="V303" s="510"/>
      <c r="W303" s="510"/>
      <c r="X303" s="512"/>
    </row>
    <row r="304" spans="1:24" s="513" customFormat="1" x14ac:dyDescent="0.3">
      <c r="A304" s="509"/>
      <c r="B304" s="508"/>
      <c r="C304" s="508"/>
      <c r="D304" s="508"/>
      <c r="E304" s="508"/>
      <c r="F304" s="602"/>
      <c r="G304" s="508"/>
      <c r="H304" s="402"/>
      <c r="I304" s="510"/>
      <c r="J304" s="510"/>
      <c r="K304" s="510"/>
      <c r="L304" s="510"/>
      <c r="M304" s="510"/>
      <c r="N304" s="510"/>
      <c r="O304" s="510"/>
      <c r="P304" s="510"/>
      <c r="Q304" s="510"/>
      <c r="R304" s="510"/>
      <c r="S304" s="510"/>
      <c r="T304" s="510"/>
      <c r="U304" s="510"/>
      <c r="V304" s="510"/>
      <c r="W304" s="510"/>
      <c r="X304" s="512"/>
    </row>
    <row r="305" spans="1:24" s="513" customFormat="1" ht="18" x14ac:dyDescent="0.35">
      <c r="A305" s="509"/>
      <c r="B305" s="647" t="s">
        <v>174</v>
      </c>
      <c r="C305" s="508"/>
      <c r="D305" s="508"/>
      <c r="E305" s="508"/>
      <c r="F305" s="602"/>
      <c r="G305" s="508"/>
      <c r="H305" s="402"/>
      <c r="I305" s="510"/>
      <c r="J305" s="510"/>
      <c r="K305" s="510"/>
      <c r="L305" s="552"/>
      <c r="M305" s="552"/>
      <c r="N305" s="552"/>
      <c r="O305" s="552"/>
      <c r="P305" s="648" t="s">
        <v>349</v>
      </c>
      <c r="Q305" s="552"/>
      <c r="R305" s="552"/>
      <c r="S305" s="552"/>
      <c r="T305" s="510"/>
      <c r="U305" s="510"/>
      <c r="V305" s="510"/>
      <c r="W305" s="510"/>
      <c r="X305" s="512"/>
    </row>
    <row r="306" spans="1:24" s="513" customFormat="1" x14ac:dyDescent="0.3">
      <c r="A306" s="509"/>
      <c r="B306" s="508"/>
      <c r="C306" s="508"/>
      <c r="D306" s="508"/>
      <c r="E306" s="508"/>
      <c r="F306" s="508"/>
      <c r="G306" s="508"/>
      <c r="H306" s="510"/>
      <c r="I306" s="510"/>
      <c r="J306" s="510"/>
      <c r="K306" s="510"/>
      <c r="L306" s="510"/>
      <c r="M306" s="510"/>
      <c r="N306" s="510"/>
      <c r="O306" s="510"/>
      <c r="P306" s="510"/>
      <c r="Q306" s="510"/>
      <c r="R306" s="510"/>
      <c r="S306" s="510"/>
      <c r="T306" s="510"/>
      <c r="U306" s="510"/>
      <c r="V306" s="510"/>
      <c r="W306" s="510"/>
      <c r="X306" s="512"/>
    </row>
    <row r="307" spans="1:24" s="513" customFormat="1" ht="18.600000000000001" thickBot="1" x14ac:dyDescent="0.4">
      <c r="A307" s="509"/>
      <c r="B307" s="603" t="str">
        <f>B202</f>
        <v>PM12 INVESTOR REPORT QUARTER ENDING JANUARY 2024</v>
      </c>
      <c r="C307" s="508"/>
      <c r="D307" s="508"/>
      <c r="E307" s="508"/>
      <c r="F307" s="508"/>
      <c r="G307" s="508"/>
      <c r="H307" s="510"/>
      <c r="I307" s="510"/>
      <c r="J307" s="510"/>
      <c r="K307" s="510"/>
      <c r="L307" s="510"/>
      <c r="M307" s="510"/>
      <c r="N307" s="510"/>
      <c r="O307" s="510"/>
      <c r="P307" s="510"/>
      <c r="Q307" s="510"/>
      <c r="R307" s="510"/>
      <c r="S307" s="510"/>
      <c r="T307" s="510"/>
      <c r="U307" s="510"/>
      <c r="V307" s="510"/>
      <c r="W307" s="510"/>
      <c r="X307" s="512"/>
    </row>
    <row r="308" spans="1:24" x14ac:dyDescent="0.3">
      <c r="A308" s="492"/>
      <c r="B308" s="492"/>
      <c r="C308" s="492"/>
      <c r="D308" s="492"/>
      <c r="E308" s="492"/>
      <c r="F308" s="492"/>
      <c r="G308" s="492"/>
      <c r="H308" s="492"/>
      <c r="I308" s="492"/>
      <c r="J308" s="492"/>
      <c r="K308" s="492"/>
      <c r="L308" s="492"/>
      <c r="M308" s="492"/>
      <c r="N308" s="492"/>
      <c r="O308" s="492"/>
      <c r="P308" s="492"/>
      <c r="Q308" s="492"/>
      <c r="R308" s="492"/>
      <c r="S308" s="492"/>
      <c r="T308" s="492"/>
      <c r="U308" s="492"/>
      <c r="V308" s="492"/>
      <c r="W308" s="492"/>
    </row>
    <row r="309" spans="1:24" x14ac:dyDescent="0.3">
      <c r="B309" s="406" t="s">
        <v>384</v>
      </c>
    </row>
    <row r="310" spans="1:24" x14ac:dyDescent="0.3">
      <c r="B310" s="623" t="s">
        <v>378</v>
      </c>
    </row>
    <row r="312" spans="1:24" x14ac:dyDescent="0.3">
      <c r="B312" s="649" t="s">
        <v>432</v>
      </c>
    </row>
    <row r="313" spans="1:24" x14ac:dyDescent="0.3">
      <c r="B313" s="406" t="s">
        <v>433</v>
      </c>
    </row>
    <row r="314" spans="1:24" x14ac:dyDescent="0.3">
      <c r="B314" s="677" t="s">
        <v>430</v>
      </c>
    </row>
    <row r="315" spans="1:24" x14ac:dyDescent="0.3">
      <c r="B315" s="406" t="s">
        <v>428</v>
      </c>
    </row>
    <row r="316" spans="1:24" x14ac:dyDescent="0.3">
      <c r="B316" s="406" t="s">
        <v>436</v>
      </c>
    </row>
    <row r="317" spans="1:24" x14ac:dyDescent="0.3">
      <c r="B317" s="406" t="s">
        <v>431</v>
      </c>
    </row>
    <row r="318" spans="1:24" x14ac:dyDescent="0.3">
      <c r="B318" s="677" t="s">
        <v>429</v>
      </c>
    </row>
    <row r="319" spans="1:24" x14ac:dyDescent="0.3">
      <c r="B319" s="677"/>
    </row>
    <row r="320" spans="1:24" x14ac:dyDescent="0.3">
      <c r="B320" s="678" t="s">
        <v>453</v>
      </c>
    </row>
    <row r="322" spans="2:2" x14ac:dyDescent="0.3">
      <c r="B322" s="649" t="s">
        <v>421</v>
      </c>
    </row>
    <row r="323" spans="2:2" x14ac:dyDescent="0.3">
      <c r="B323" s="406" t="s">
        <v>423</v>
      </c>
    </row>
    <row r="324" spans="2:2" x14ac:dyDescent="0.3">
      <c r="B324" s="676" t="s">
        <v>422</v>
      </c>
    </row>
    <row r="325" spans="2:2" x14ac:dyDescent="0.3">
      <c r="B325" s="676"/>
    </row>
    <row r="326" spans="2:2" x14ac:dyDescent="0.3">
      <c r="B326" s="406" t="s">
        <v>462</v>
      </c>
    </row>
    <row r="327" spans="2:2" x14ac:dyDescent="0.3">
      <c r="B327" s="406" t="s">
        <v>464</v>
      </c>
    </row>
  </sheetData>
  <hyperlinks>
    <hyperlink ref="I9" r:id="rId1" xr:uid="{C3A1B6C0-EF84-4078-B8D9-E97A6BD2686A}"/>
    <hyperlink ref="P238" r:id="rId2" xr:uid="{6769DE44-29CE-43A7-8F31-CD3632210431}"/>
    <hyperlink ref="B310" r:id="rId3" xr:uid="{C5D941F9-D072-498D-85D5-AA99201889E7}"/>
    <hyperlink ref="P305" r:id="rId4" xr:uid="{4E5DD272-06D4-499A-8F6E-2134E5955CD2}"/>
    <hyperlink ref="B324" r:id="rId5" display="https://investorreporting.paragonbankinggroup.co.uk/bondinvestor_viewer/resources/bondinvestor/pdf/investornews/2021/libor-mortgages-transition-july-19" xr:uid="{AFEB100C-4B60-4A96-9AF7-D198A87D2246}"/>
    <hyperlink ref="B318" r:id="rId6" display="https://protect-eu.mimecast.com/s/wcu_C4934SBRnRxHOTIMr?domain=londonstockexchange.com" xr:uid="{9623CBB1-5F6B-469A-8860-1D21DCAE529F}"/>
    <hyperlink ref="B314" r:id="rId7" display="https://protect-eu.mimecast.com/s/GQAHC60N2crGn7VHp3gPx?domain=londonstockexchange.com" xr:uid="{3FB1975E-4101-4C43-B090-503B6B5C0B20}"/>
  </hyperlinks>
  <printOptions horizontalCentered="1" verticalCentered="1"/>
  <pageMargins left="0.19685039370078741" right="0.19685039370078741" top="0.27559055118110237" bottom="0.27559055118110237" header="0" footer="0"/>
  <pageSetup scale="37" orientation="landscape" r:id="rId8"/>
  <headerFooter alignWithMargins="0"/>
  <rowBreaks count="3" manualBreakCount="3">
    <brk id="64" max="23" man="1"/>
    <brk id="141" max="14" man="1"/>
    <brk id="202" max="14" man="1"/>
  </rowBreaks>
  <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2D2926"/>
  </sheetPr>
  <dimension ref="A1:Y279"/>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0.63549999999999995</v>
      </c>
      <c r="T16" s="17" t="s">
        <v>145</v>
      </c>
      <c r="U16" s="137">
        <v>0.36449999999999999</v>
      </c>
      <c r="V16" s="16"/>
      <c r="W16" s="15"/>
      <c r="X16" s="5"/>
    </row>
    <row r="17" spans="1:25"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5" ht="15.6" x14ac:dyDescent="0.3">
      <c r="A18" s="6"/>
      <c r="B18" s="14" t="s">
        <v>5</v>
      </c>
      <c r="C18" s="15"/>
      <c r="D18" s="15"/>
      <c r="E18" s="15"/>
      <c r="F18" s="15"/>
      <c r="G18" s="15"/>
      <c r="H18" s="15"/>
      <c r="I18" s="15"/>
      <c r="J18" s="15"/>
      <c r="K18" s="15"/>
      <c r="L18" s="15"/>
      <c r="M18" s="15"/>
      <c r="N18" s="15"/>
      <c r="O18" s="15"/>
      <c r="P18" s="15"/>
      <c r="Q18" s="15"/>
      <c r="R18" s="15"/>
      <c r="S18" s="15"/>
      <c r="T18" s="15"/>
      <c r="U18" s="15"/>
      <c r="V18" s="19">
        <v>39681</v>
      </c>
      <c r="W18" s="15"/>
      <c r="X18" s="5"/>
      <c r="Y18" s="170"/>
    </row>
    <row r="19" spans="1:25"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5"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5"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5"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5"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5"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5"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5"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5"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5"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5"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5"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5"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5" ht="15.6" x14ac:dyDescent="0.3">
      <c r="A32" s="24"/>
      <c r="B32" s="25" t="s">
        <v>137</v>
      </c>
      <c r="C32" s="32"/>
      <c r="D32" s="146">
        <f>D31*D38</f>
        <v>1225024.05</v>
      </c>
      <c r="E32" s="32"/>
      <c r="F32" s="31">
        <f>F31*F38</f>
        <v>118419.035</v>
      </c>
      <c r="G32" s="31"/>
      <c r="H32" s="124">
        <f>H31*H38</f>
        <v>200087.33500000002</v>
      </c>
      <c r="I32" s="124"/>
      <c r="J32" s="146">
        <f>J31*J38</f>
        <v>253988.31969999999</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1085176.6499999999</v>
      </c>
      <c r="E33" s="36"/>
      <c r="F33" s="35">
        <f>F37*F31</f>
        <v>104900.45299999999</v>
      </c>
      <c r="G33" s="35"/>
      <c r="H33" s="125">
        <f>H31*H37</f>
        <v>177245.59299999999</v>
      </c>
      <c r="I33" s="125"/>
      <c r="J33" s="151">
        <f>J37*J31</f>
        <v>224993.29209999999</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665773.62064590002</v>
      </c>
      <c r="E35" s="32"/>
      <c r="F35" s="31">
        <f>F34*F38</f>
        <v>118419.035</v>
      </c>
      <c r="G35" s="31"/>
      <c r="H35" s="31">
        <f>H34*H38</f>
        <v>137991.659778</v>
      </c>
      <c r="I35" s="31"/>
      <c r="J35" s="31">
        <f>J34*J38</f>
        <v>138037.34331940001</v>
      </c>
      <c r="K35" s="31"/>
      <c r="L35" s="31">
        <f>+L34</f>
        <v>25000</v>
      </c>
      <c r="M35" s="31"/>
      <c r="N35" s="31">
        <f>+N34</f>
        <v>86897</v>
      </c>
      <c r="O35" s="31"/>
      <c r="P35" s="31">
        <f>+P34</f>
        <v>17000</v>
      </c>
      <c r="Q35" s="31"/>
      <c r="R35" s="31">
        <f>+R34</f>
        <v>73103</v>
      </c>
      <c r="S35" s="31"/>
      <c r="T35" s="31"/>
      <c r="U35" s="164"/>
      <c r="V35" s="154">
        <f>SUM(C35:R35)-1</f>
        <v>1262220.6587433</v>
      </c>
      <c r="W35" s="34"/>
      <c r="X35" s="5"/>
    </row>
    <row r="36" spans="1:24" ht="15.6" x14ac:dyDescent="0.3">
      <c r="A36" s="28"/>
      <c r="B36" s="29" t="s">
        <v>295</v>
      </c>
      <c r="C36" s="126"/>
      <c r="D36" s="35">
        <f>D34*D37</f>
        <v>589769.63538870006</v>
      </c>
      <c r="E36" s="36"/>
      <c r="F36" s="35">
        <f>F34*F37</f>
        <v>104900.45299999999</v>
      </c>
      <c r="G36" s="35"/>
      <c r="H36" s="35">
        <f>H34*H37</f>
        <v>122238.6892524</v>
      </c>
      <c r="I36" s="35"/>
      <c r="J36" s="35">
        <f>J34*J37</f>
        <v>122279.1518242</v>
      </c>
      <c r="K36" s="35"/>
      <c r="L36" s="35">
        <f>+L34</f>
        <v>25000</v>
      </c>
      <c r="M36" s="35"/>
      <c r="N36" s="35">
        <f>+N34</f>
        <v>86897</v>
      </c>
      <c r="O36" s="35"/>
      <c r="P36" s="35">
        <f>+P34</f>
        <v>17000</v>
      </c>
      <c r="Q36" s="35"/>
      <c r="R36" s="35">
        <f>+R34</f>
        <v>73103</v>
      </c>
      <c r="S36" s="128"/>
      <c r="T36" s="128"/>
      <c r="U36" s="164"/>
      <c r="V36" s="155">
        <f>SUM(C36:R36)-1</f>
        <v>1141186.9294652999</v>
      </c>
      <c r="W36" s="34"/>
      <c r="X36" s="5"/>
    </row>
    <row r="37" spans="1:24" ht="15.6" x14ac:dyDescent="0.3">
      <c r="A37" s="24"/>
      <c r="B37" s="122" t="s">
        <v>135</v>
      </c>
      <c r="C37" s="25"/>
      <c r="D37" s="168">
        <v>0.72345110000000001</v>
      </c>
      <c r="E37" s="169"/>
      <c r="F37" s="168">
        <v>0.72345139999999997</v>
      </c>
      <c r="G37" s="168"/>
      <c r="H37" s="168">
        <v>0.72345139999999997</v>
      </c>
      <c r="I37" s="168"/>
      <c r="J37" s="168">
        <v>0.72345110000000001</v>
      </c>
      <c r="K37" s="168"/>
      <c r="L37" s="168">
        <v>1</v>
      </c>
      <c r="M37" s="168"/>
      <c r="N37" s="168">
        <v>1</v>
      </c>
      <c r="O37" s="168"/>
      <c r="P37" s="168">
        <v>1</v>
      </c>
      <c r="Q37" s="168"/>
      <c r="R37" s="168">
        <v>1</v>
      </c>
      <c r="S37" s="30"/>
      <c r="T37" s="30"/>
      <c r="U37" s="163"/>
      <c r="V37" s="163"/>
      <c r="W37" s="25"/>
      <c r="X37" s="5"/>
    </row>
    <row r="38" spans="1:24" ht="15.6" x14ac:dyDescent="0.3">
      <c r="A38" s="24"/>
      <c r="B38" s="122" t="s">
        <v>136</v>
      </c>
      <c r="C38" s="25"/>
      <c r="D38" s="168">
        <v>0.81668269999999998</v>
      </c>
      <c r="E38" s="169"/>
      <c r="F38" s="168">
        <v>0.81668300000000005</v>
      </c>
      <c r="G38" s="168"/>
      <c r="H38" s="168">
        <v>0.81668300000000005</v>
      </c>
      <c r="I38" s="168"/>
      <c r="J38" s="168">
        <v>0.81668269999999998</v>
      </c>
      <c r="K38" s="168"/>
      <c r="L38" s="168">
        <v>1</v>
      </c>
      <c r="M38" s="168"/>
      <c r="N38" s="168">
        <v>1</v>
      </c>
      <c r="O38" s="168"/>
      <c r="P38" s="168">
        <v>1</v>
      </c>
      <c r="Q38" s="168"/>
      <c r="R38" s="168">
        <v>1</v>
      </c>
      <c r="S38" s="39"/>
      <c r="T38" s="38"/>
      <c r="U38" s="163"/>
      <c r="V38" s="39"/>
      <c r="W38" s="25"/>
      <c r="X38" s="5"/>
    </row>
    <row r="39" spans="1:24" ht="15.6" x14ac:dyDescent="0.3">
      <c r="A39" s="24"/>
      <c r="B39" s="25" t="s">
        <v>11</v>
      </c>
      <c r="C39" s="25"/>
      <c r="D39" s="30" t="s">
        <v>235</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2.5774999999999999E-2</v>
      </c>
      <c r="E40" s="25"/>
      <c r="F40" s="38">
        <v>5.96E-2</v>
      </c>
      <c r="G40" s="39"/>
      <c r="H40" s="38">
        <v>4.9759999999999999E-2</v>
      </c>
      <c r="I40" s="38"/>
      <c r="J40" s="38">
        <v>2.7856300000000001E-2</v>
      </c>
      <c r="K40" s="39"/>
      <c r="L40" s="38">
        <v>6.08E-2</v>
      </c>
      <c r="M40" s="39"/>
      <c r="N40" s="38">
        <v>5.0959999999999998E-2</v>
      </c>
      <c r="O40" s="39"/>
      <c r="P40" s="38">
        <v>6.3E-2</v>
      </c>
      <c r="Q40" s="39"/>
      <c r="R40" s="38">
        <v>5.3159999999999999E-2</v>
      </c>
      <c r="S40" s="39"/>
      <c r="T40" s="38"/>
      <c r="U40" s="163"/>
      <c r="V40" s="30"/>
      <c r="W40" s="25"/>
      <c r="X40" s="5"/>
    </row>
    <row r="41" spans="1:24" ht="15.6" x14ac:dyDescent="0.3">
      <c r="A41" s="24"/>
      <c r="B41" s="25" t="s">
        <v>13</v>
      </c>
      <c r="C41" s="25"/>
      <c r="D41" s="38">
        <v>2.7059400000000001E-2</v>
      </c>
      <c r="E41" s="25"/>
      <c r="F41" s="38">
        <v>5.77125E-2</v>
      </c>
      <c r="G41" s="39"/>
      <c r="H41" s="38">
        <v>4.4600000000000001E-2</v>
      </c>
      <c r="I41" s="38"/>
      <c r="J41" s="38">
        <v>3.175E-2</v>
      </c>
      <c r="K41" s="39"/>
      <c r="L41" s="38">
        <v>5.89125E-2</v>
      </c>
      <c r="M41" s="39"/>
      <c r="N41" s="38">
        <v>4.58E-2</v>
      </c>
      <c r="O41" s="39"/>
      <c r="P41" s="38">
        <v>6.11125E-2</v>
      </c>
      <c r="Q41" s="39"/>
      <c r="R41" s="38">
        <v>4.8000000000000001E-2</v>
      </c>
      <c r="S41" s="39"/>
      <c r="T41" s="38"/>
      <c r="U41" s="163"/>
      <c r="V41" s="39" t="s">
        <v>199</v>
      </c>
      <c r="W41" s="25"/>
      <c r="X41" s="5"/>
    </row>
    <row r="42" spans="1:24" ht="15.6" x14ac:dyDescent="0.3">
      <c r="A42" s="24"/>
      <c r="B42" s="25" t="s">
        <v>296</v>
      </c>
      <c r="C42" s="25"/>
      <c r="D42" s="30" t="s">
        <v>286</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5.9803299999999997E-2</v>
      </c>
      <c r="E43" s="38"/>
      <c r="F43" s="38">
        <f>+F40</f>
        <v>5.96E-2</v>
      </c>
      <c r="G43" s="38"/>
      <c r="H43" s="38">
        <v>5.9561000000000003E-2</v>
      </c>
      <c r="I43" s="38"/>
      <c r="J43" s="38">
        <v>5.9681999999999999E-2</v>
      </c>
      <c r="K43" s="38"/>
      <c r="L43" s="38">
        <f>+L40</f>
        <v>6.08E-2</v>
      </c>
      <c r="M43" s="38"/>
      <c r="N43" s="38">
        <v>6.0900999999999997E-2</v>
      </c>
      <c r="O43" s="38"/>
      <c r="P43" s="38">
        <f>+P40</f>
        <v>6.3E-2</v>
      </c>
      <c r="Q43" s="39"/>
      <c r="R43" s="38">
        <v>6.3236000000000001E-2</v>
      </c>
      <c r="S43" s="30"/>
      <c r="T43" s="30"/>
      <c r="U43" s="163"/>
      <c r="V43" s="39">
        <f>SUMPRODUCT(D43:R43,D35:R35)/V35</f>
        <v>6.0081694120030886E-2</v>
      </c>
      <c r="W43" s="25"/>
      <c r="X43" s="5"/>
    </row>
    <row r="44" spans="1:24" ht="15.6" x14ac:dyDescent="0.3">
      <c r="A44" s="24"/>
      <c r="B44" s="25" t="s">
        <v>298</v>
      </c>
      <c r="C44" s="110"/>
      <c r="D44" s="38">
        <v>5.6604000000000002E-2</v>
      </c>
      <c r="E44" s="38"/>
      <c r="F44" s="38">
        <f>+F41</f>
        <v>5.77125E-2</v>
      </c>
      <c r="G44" s="38"/>
      <c r="H44" s="38">
        <v>5.7673500000000003E-2</v>
      </c>
      <c r="I44" s="38"/>
      <c r="J44" s="38">
        <v>5.7794499999999999E-2</v>
      </c>
      <c r="K44" s="38"/>
      <c r="L44" s="38">
        <f>+L41</f>
        <v>5.89125E-2</v>
      </c>
      <c r="M44" s="38"/>
      <c r="N44" s="38">
        <v>5.9013500000000003E-2</v>
      </c>
      <c r="O44" s="38"/>
      <c r="P44" s="38">
        <f>+P41</f>
        <v>6.11125E-2</v>
      </c>
      <c r="Q44" s="39"/>
      <c r="R44" s="38">
        <v>6.13485E-2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0.21507942517425982</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39675</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90</v>
      </c>
      <c r="S57" s="25"/>
      <c r="T57" s="45">
        <v>39493</v>
      </c>
      <c r="U57" s="46"/>
      <c r="V57" s="45">
        <v>39582</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92</v>
      </c>
      <c r="S58" s="25"/>
      <c r="T58" s="45">
        <v>39583</v>
      </c>
      <c r="U58" s="46"/>
      <c r="V58" s="45">
        <v>39674</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39661</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285</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1262221</v>
      </c>
      <c r="O69" s="34"/>
      <c r="P69" s="34">
        <f>121034+4228+857</f>
        <v>126119</v>
      </c>
      <c r="Q69" s="34"/>
      <c r="R69" s="34">
        <f>4228+857</f>
        <v>5085</v>
      </c>
      <c r="S69" s="34"/>
      <c r="T69" s="34">
        <v>0</v>
      </c>
      <c r="U69" s="34"/>
      <c r="V69" s="53">
        <f>+N69-P69+R69-T69</f>
        <v>1141187</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1262221</v>
      </c>
      <c r="O72" s="34"/>
      <c r="P72" s="34">
        <f>SUM(P69:P71)</f>
        <v>126119</v>
      </c>
      <c r="Q72" s="34"/>
      <c r="R72" s="34">
        <f>SUM(R69:R71)</f>
        <v>5085</v>
      </c>
      <c r="S72" s="34"/>
      <c r="T72" s="34">
        <f>SUM(T69:T71)</f>
        <v>0</v>
      </c>
      <c r="U72" s="34"/>
      <c r="V72" s="54">
        <f>SUM(V69:V71)</f>
        <v>1141187</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1262221</v>
      </c>
      <c r="O85" s="34"/>
      <c r="P85" s="34"/>
      <c r="Q85" s="34"/>
      <c r="R85" s="34"/>
      <c r="S85" s="34"/>
      <c r="T85" s="54"/>
      <c r="U85" s="34"/>
      <c r="V85" s="54">
        <f>SUM(V72:V84)</f>
        <v>1141187</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+T196</f>
        <v>39660</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126119-1</f>
        <v>126118</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12311+7669-1697-1745</f>
        <v>16538</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256+552</f>
        <v>808</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1236</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f>9+1414</f>
        <v>1423</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3125</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126118</v>
      </c>
      <c r="U97" s="25"/>
      <c r="V97" s="54">
        <f>SUM(V89:V96)</f>
        <v>23130</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-220</v>
      </c>
      <c r="U98" s="25"/>
      <c r="V98" s="54">
        <v>220</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282</v>
      </c>
      <c r="C100" s="25"/>
      <c r="D100" s="25"/>
      <c r="E100" s="25"/>
      <c r="F100" s="25"/>
      <c r="G100" s="25"/>
      <c r="H100" s="25"/>
      <c r="I100" s="25"/>
      <c r="J100" s="25"/>
      <c r="K100" s="25"/>
      <c r="L100" s="25"/>
      <c r="M100" s="25"/>
      <c r="N100" s="25"/>
      <c r="O100" s="25"/>
      <c r="P100" s="25"/>
      <c r="Q100" s="25"/>
      <c r="R100" s="25"/>
      <c r="S100" s="25"/>
      <c r="T100" s="34"/>
      <c r="U100" s="25"/>
      <c r="V100" s="53">
        <v>-41</v>
      </c>
      <c r="W100" s="25"/>
      <c r="X100" s="5"/>
    </row>
    <row r="101" spans="1:25"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125898</v>
      </c>
      <c r="U101" s="25"/>
      <c r="V101" s="54">
        <f>V97+V99+V98+V100</f>
        <v>23309</v>
      </c>
      <c r="W101" s="25"/>
      <c r="X101" s="5"/>
    </row>
    <row r="102" spans="1:25"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5"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5" ht="15.6" x14ac:dyDescent="0.3">
      <c r="A104" s="24">
        <f>+A103+1</f>
        <v>2</v>
      </c>
      <c r="B104" s="25" t="s">
        <v>259</v>
      </c>
      <c r="C104" s="25"/>
      <c r="D104" s="25"/>
      <c r="E104" s="25"/>
      <c r="F104" s="25"/>
      <c r="G104" s="25"/>
      <c r="H104" s="25"/>
      <c r="I104" s="25"/>
      <c r="J104" s="25"/>
      <c r="K104" s="25"/>
      <c r="L104" s="25"/>
      <c r="M104" s="25"/>
      <c r="N104" s="25"/>
      <c r="O104" s="25"/>
      <c r="P104" s="25"/>
      <c r="Q104" s="25"/>
      <c r="R104" s="25"/>
      <c r="S104" s="25"/>
      <c r="T104" s="25"/>
      <c r="U104" s="25"/>
      <c r="V104" s="53">
        <v>-2</v>
      </c>
      <c r="W104" s="25"/>
      <c r="X104" s="5"/>
    </row>
    <row r="105" spans="1:25" ht="15.6" x14ac:dyDescent="0.3">
      <c r="A105" s="24">
        <f>+A104+1</f>
        <v>3</v>
      </c>
      <c r="B105" s="25" t="s">
        <v>210</v>
      </c>
      <c r="C105" s="25"/>
      <c r="D105" s="25"/>
      <c r="E105" s="25"/>
      <c r="F105" s="25"/>
      <c r="G105" s="25"/>
      <c r="H105" s="25"/>
      <c r="I105" s="25"/>
      <c r="J105" s="25"/>
      <c r="K105" s="25"/>
      <c r="L105" s="25"/>
      <c r="M105" s="25"/>
      <c r="N105" s="25"/>
      <c r="O105" s="25"/>
      <c r="P105" s="25"/>
      <c r="Q105" s="25"/>
      <c r="R105" s="25"/>
      <c r="S105" s="25"/>
      <c r="T105" s="25"/>
      <c r="U105" s="25"/>
      <c r="V105" s="53">
        <f>-477-84-15</f>
        <v>-576</v>
      </c>
      <c r="W105" s="25"/>
      <c r="X105" s="5"/>
    </row>
    <row r="106" spans="1:25" ht="15.6" x14ac:dyDescent="0.3">
      <c r="A106" s="24" t="s">
        <v>132</v>
      </c>
      <c r="B106" s="25" t="s">
        <v>121</v>
      </c>
      <c r="C106" s="25"/>
      <c r="D106" s="25"/>
      <c r="E106" s="25"/>
      <c r="F106" s="25"/>
      <c r="G106" s="25"/>
      <c r="H106" s="25"/>
      <c r="I106" s="25"/>
      <c r="J106" s="25"/>
      <c r="K106" s="25"/>
      <c r="L106" s="25"/>
      <c r="M106" s="25"/>
      <c r="N106" s="25"/>
      <c r="O106" s="25"/>
      <c r="P106" s="25"/>
      <c r="Q106" s="25"/>
      <c r="R106" s="25"/>
      <c r="S106" s="25"/>
      <c r="T106" s="25"/>
      <c r="U106" s="25"/>
      <c r="V106" s="53">
        <v>0</v>
      </c>
      <c r="W106" s="25"/>
      <c r="X106" s="5"/>
    </row>
    <row r="107" spans="1:25" ht="15.6" x14ac:dyDescent="0.3">
      <c r="A107" s="24" t="s">
        <v>133</v>
      </c>
      <c r="B107" s="25" t="s">
        <v>256</v>
      </c>
      <c r="C107" s="25"/>
      <c r="D107" s="25"/>
      <c r="E107" s="25"/>
      <c r="F107" s="25"/>
      <c r="G107" s="25"/>
      <c r="H107" s="25"/>
      <c r="I107" s="25"/>
      <c r="J107" s="25"/>
      <c r="K107" s="25"/>
      <c r="L107" s="25"/>
      <c r="M107" s="25"/>
      <c r="N107" s="25"/>
      <c r="O107" s="25"/>
      <c r="P107" s="25"/>
      <c r="Q107" s="25"/>
      <c r="R107" s="25"/>
      <c r="S107" s="25"/>
      <c r="T107" s="25"/>
      <c r="U107" s="25"/>
      <c r="V107" s="53">
        <f>-15963+1779</f>
        <v>-14184</v>
      </c>
      <c r="W107" s="25"/>
      <c r="X107" s="171"/>
      <c r="Y107" s="109"/>
    </row>
    <row r="108" spans="1:25" ht="15.6" x14ac:dyDescent="0.3">
      <c r="A108" s="24" t="s">
        <v>155</v>
      </c>
      <c r="B108" s="25" t="s">
        <v>190</v>
      </c>
      <c r="C108" s="25"/>
      <c r="D108" s="25"/>
      <c r="E108" s="25"/>
      <c r="F108" s="25"/>
      <c r="G108" s="25"/>
      <c r="H108" s="25"/>
      <c r="I108" s="25"/>
      <c r="J108" s="25"/>
      <c r="K108" s="25"/>
      <c r="L108" s="25"/>
      <c r="M108" s="25"/>
      <c r="N108" s="25"/>
      <c r="O108" s="25"/>
      <c r="P108" s="25"/>
      <c r="Q108" s="25"/>
      <c r="R108" s="25"/>
      <c r="S108" s="25"/>
      <c r="T108" s="25"/>
      <c r="U108" s="25"/>
      <c r="V108" s="53">
        <v>-1779</v>
      </c>
      <c r="W108" s="25"/>
      <c r="X108" s="5"/>
      <c r="Y108" s="109"/>
    </row>
    <row r="109" spans="1:25" ht="15.6" x14ac:dyDescent="0.3">
      <c r="A109" s="24" t="s">
        <v>211</v>
      </c>
      <c r="B109" s="25" t="s">
        <v>191</v>
      </c>
      <c r="C109" s="25"/>
      <c r="D109" s="25"/>
      <c r="E109" s="25"/>
      <c r="F109" s="25"/>
      <c r="G109" s="25"/>
      <c r="H109" s="25"/>
      <c r="I109" s="25"/>
      <c r="J109" s="25"/>
      <c r="K109" s="25"/>
      <c r="L109" s="25"/>
      <c r="M109" s="25"/>
      <c r="N109" s="25"/>
      <c r="O109" s="25"/>
      <c r="P109" s="25"/>
      <c r="Q109" s="25"/>
      <c r="R109" s="25"/>
      <c r="S109" s="25"/>
      <c r="T109" s="25"/>
      <c r="U109" s="25"/>
      <c r="V109" s="53">
        <v>-1334</v>
      </c>
      <c r="W109" s="25"/>
      <c r="X109" s="5"/>
      <c r="Y109" s="109"/>
    </row>
    <row r="110" spans="1:25" ht="15.6" x14ac:dyDescent="0.3">
      <c r="A110" s="24" t="s">
        <v>212</v>
      </c>
      <c r="B110" s="25" t="s">
        <v>192</v>
      </c>
      <c r="C110" s="25"/>
      <c r="D110" s="25"/>
      <c r="E110" s="25"/>
      <c r="F110" s="25"/>
      <c r="G110" s="25"/>
      <c r="H110" s="25"/>
      <c r="I110" s="25"/>
      <c r="J110" s="25"/>
      <c r="K110" s="25"/>
      <c r="L110" s="25"/>
      <c r="M110" s="25"/>
      <c r="N110" s="25"/>
      <c r="O110" s="25"/>
      <c r="P110" s="25"/>
      <c r="Q110" s="25"/>
      <c r="R110" s="25"/>
      <c r="S110" s="25"/>
      <c r="T110" s="25"/>
      <c r="U110" s="25"/>
      <c r="V110" s="53">
        <v>-383</v>
      </c>
      <c r="W110" s="25"/>
      <c r="X110" s="5"/>
      <c r="Y110" s="109"/>
    </row>
    <row r="111" spans="1:25" ht="15.6" x14ac:dyDescent="0.3">
      <c r="A111" s="24" t="s">
        <v>213</v>
      </c>
      <c r="B111" s="25" t="s">
        <v>202</v>
      </c>
      <c r="C111" s="25"/>
      <c r="D111" s="25"/>
      <c r="E111" s="25"/>
      <c r="F111" s="25"/>
      <c r="G111" s="25"/>
      <c r="H111" s="25"/>
      <c r="I111" s="25"/>
      <c r="J111" s="25"/>
      <c r="K111" s="25"/>
      <c r="L111" s="25"/>
      <c r="M111" s="25"/>
      <c r="N111" s="25"/>
      <c r="O111" s="25"/>
      <c r="P111" s="25"/>
      <c r="Q111" s="25"/>
      <c r="R111" s="25"/>
      <c r="S111" s="25"/>
      <c r="T111" s="25"/>
      <c r="U111" s="25"/>
      <c r="V111" s="53">
        <v>-1165</v>
      </c>
      <c r="W111" s="25"/>
      <c r="X111" s="5"/>
      <c r="Y111" s="109"/>
    </row>
    <row r="112" spans="1:25" ht="15.6" x14ac:dyDescent="0.3">
      <c r="A112" s="24" t="s">
        <v>258</v>
      </c>
      <c r="B112" s="25" t="s">
        <v>257</v>
      </c>
      <c r="C112" s="25"/>
      <c r="D112" s="25"/>
      <c r="E112" s="25"/>
      <c r="F112" s="25"/>
      <c r="G112" s="25"/>
      <c r="H112" s="25"/>
      <c r="I112" s="25"/>
      <c r="J112" s="25"/>
      <c r="K112" s="25"/>
      <c r="L112" s="25"/>
      <c r="M112" s="25"/>
      <c r="N112" s="25"/>
      <c r="O112" s="25"/>
      <c r="P112" s="25"/>
      <c r="Q112" s="25"/>
      <c r="R112" s="25"/>
      <c r="S112" s="25"/>
      <c r="T112" s="25"/>
      <c r="U112" s="25"/>
      <c r="V112" s="53">
        <v>-270</v>
      </c>
      <c r="W112" s="25"/>
      <c r="X112" s="5"/>
      <c r="Y112" s="109"/>
    </row>
    <row r="113" spans="1:24" ht="15.6" x14ac:dyDescent="0.3">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-10</v>
      </c>
      <c r="W113" s="25"/>
      <c r="X113" s="5"/>
    </row>
    <row r="114" spans="1:24" ht="15.6" x14ac:dyDescent="0.3">
      <c r="A114" s="24">
        <f t="shared" ref="A114:A119" si="0">+A113+1</f>
        <v>8</v>
      </c>
      <c r="B114" s="25" t="s">
        <v>46</v>
      </c>
      <c r="C114" s="25"/>
      <c r="D114" s="25"/>
      <c r="E114" s="25"/>
      <c r="F114" s="25"/>
      <c r="G114" s="25"/>
      <c r="H114" s="25"/>
      <c r="I114" s="25"/>
      <c r="J114" s="25"/>
      <c r="K114" s="25"/>
      <c r="L114" s="25"/>
      <c r="M114" s="25"/>
      <c r="N114" s="25"/>
      <c r="O114" s="25"/>
      <c r="P114" s="25"/>
      <c r="Q114" s="25"/>
      <c r="R114" s="25"/>
      <c r="S114" s="25"/>
      <c r="T114" s="34">
        <f>-V114</f>
        <v>1</v>
      </c>
      <c r="U114" s="25"/>
      <c r="V114" s="53">
        <v>-1</v>
      </c>
      <c r="W114" s="25"/>
      <c r="X114" s="5"/>
    </row>
    <row r="115" spans="1:24" ht="15.6" x14ac:dyDescent="0.3">
      <c r="A115" s="24">
        <f t="shared" si="0"/>
        <v>9</v>
      </c>
      <c r="B115" s="25" t="s">
        <v>130</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10</v>
      </c>
      <c r="B116" s="25" t="s">
        <v>36</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11</v>
      </c>
      <c r="B117" s="25" t="s">
        <v>37</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6" x14ac:dyDescent="0.3">
      <c r="A118" s="24">
        <f t="shared" si="0"/>
        <v>12</v>
      </c>
      <c r="B118" s="25" t="s">
        <v>154</v>
      </c>
      <c r="C118" s="25"/>
      <c r="D118" s="25"/>
      <c r="E118" s="25"/>
      <c r="F118" s="25"/>
      <c r="G118" s="25"/>
      <c r="H118" s="25"/>
      <c r="I118" s="25"/>
      <c r="J118" s="25"/>
      <c r="K118" s="25"/>
      <c r="L118" s="25"/>
      <c r="M118" s="25"/>
      <c r="N118" s="25"/>
      <c r="O118" s="25"/>
      <c r="P118" s="25"/>
      <c r="Q118" s="25"/>
      <c r="R118" s="25"/>
      <c r="S118" s="25"/>
      <c r="T118" s="25"/>
      <c r="U118" s="25"/>
      <c r="V118" s="53">
        <v>-478</v>
      </c>
      <c r="W118" s="25"/>
      <c r="X118" s="5"/>
    </row>
    <row r="119" spans="1:24" ht="15.6" x14ac:dyDescent="0.3">
      <c r="A119" s="24">
        <f t="shared" si="0"/>
        <v>13</v>
      </c>
      <c r="B119" s="25" t="s">
        <v>131</v>
      </c>
      <c r="C119" s="25"/>
      <c r="D119" s="25"/>
      <c r="E119" s="25"/>
      <c r="F119" s="25"/>
      <c r="G119" s="25"/>
      <c r="H119" s="25"/>
      <c r="I119" s="25"/>
      <c r="J119" s="25"/>
      <c r="K119" s="25"/>
      <c r="L119" s="25"/>
      <c r="M119" s="25"/>
      <c r="N119" s="25"/>
      <c r="O119" s="25"/>
      <c r="P119" s="25"/>
      <c r="Q119" s="25"/>
      <c r="R119" s="25"/>
      <c r="S119" s="25"/>
      <c r="T119" s="25"/>
      <c r="U119" s="25"/>
      <c r="V119" s="53">
        <f>-V101-SUM(V103:V118)</f>
        <v>-3127</v>
      </c>
      <c r="W119" s="25"/>
      <c r="X119" s="5"/>
    </row>
    <row r="120" spans="1:24" ht="15.6" x14ac:dyDescent="0.3">
      <c r="A120" s="24"/>
      <c r="B120" s="118" t="s">
        <v>38</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6" x14ac:dyDescent="0.3">
      <c r="A121" s="24"/>
      <c r="B121" s="25" t="s">
        <v>179</v>
      </c>
      <c r="C121" s="25"/>
      <c r="D121" s="25"/>
      <c r="E121" s="25"/>
      <c r="F121" s="25"/>
      <c r="G121" s="25"/>
      <c r="H121" s="25"/>
      <c r="I121" s="25"/>
      <c r="J121" s="25"/>
      <c r="K121" s="25"/>
      <c r="L121" s="25"/>
      <c r="M121" s="25"/>
      <c r="N121" s="25"/>
      <c r="O121" s="25"/>
      <c r="P121" s="25"/>
      <c r="Q121" s="25"/>
      <c r="R121" s="25"/>
      <c r="S121" s="25"/>
      <c r="T121" s="34">
        <f>-T180</f>
        <v>-185</v>
      </c>
      <c r="U121" s="34"/>
      <c r="V121" s="53"/>
      <c r="W121" s="25"/>
      <c r="X121" s="5"/>
    </row>
    <row r="122" spans="1:24" ht="15.6" x14ac:dyDescent="0.3">
      <c r="A122" s="24"/>
      <c r="B122" s="25" t="s">
        <v>180</v>
      </c>
      <c r="C122" s="25"/>
      <c r="D122" s="25"/>
      <c r="E122" s="25"/>
      <c r="F122" s="25"/>
      <c r="G122" s="25"/>
      <c r="H122" s="25"/>
      <c r="I122" s="25"/>
      <c r="J122" s="25"/>
      <c r="K122" s="25"/>
      <c r="L122" s="25"/>
      <c r="M122" s="25"/>
      <c r="N122" s="25"/>
      <c r="O122" s="25"/>
      <c r="P122" s="25"/>
      <c r="Q122" s="25"/>
      <c r="R122" s="25"/>
      <c r="S122" s="25"/>
      <c r="T122" s="34">
        <v>-25</v>
      </c>
      <c r="U122" s="34"/>
      <c r="V122" s="53"/>
      <c r="W122" s="25"/>
      <c r="X122" s="5"/>
    </row>
    <row r="123" spans="1:24" ht="15.6" x14ac:dyDescent="0.3">
      <c r="A123" s="24"/>
      <c r="B123" s="25" t="s">
        <v>39</v>
      </c>
      <c r="C123" s="25"/>
      <c r="D123" s="25"/>
      <c r="E123" s="25"/>
      <c r="F123" s="25"/>
      <c r="G123" s="25"/>
      <c r="H123" s="25"/>
      <c r="I123" s="25"/>
      <c r="J123" s="25"/>
      <c r="K123" s="25"/>
      <c r="L123" s="25"/>
      <c r="M123" s="25"/>
      <c r="N123" s="25"/>
      <c r="O123" s="25"/>
      <c r="P123" s="25"/>
      <c r="Q123" s="25"/>
      <c r="R123" s="25"/>
      <c r="S123" s="25"/>
      <c r="T123" s="34">
        <f>-S180</f>
        <v>-4655</v>
      </c>
      <c r="U123" s="34"/>
      <c r="V123" s="53"/>
      <c r="W123" s="25"/>
      <c r="X123" s="5"/>
    </row>
    <row r="124" spans="1:24" ht="15.6" x14ac:dyDescent="0.3">
      <c r="A124" s="24"/>
      <c r="B124" s="25" t="s">
        <v>203</v>
      </c>
      <c r="C124" s="25"/>
      <c r="D124" s="25"/>
      <c r="E124" s="25"/>
      <c r="F124" s="25"/>
      <c r="G124" s="25"/>
      <c r="H124" s="25"/>
      <c r="I124" s="25"/>
      <c r="J124" s="25"/>
      <c r="K124" s="25"/>
      <c r="L124" s="25"/>
      <c r="M124" s="25"/>
      <c r="N124" s="25"/>
      <c r="O124" s="25"/>
      <c r="P124" s="25"/>
      <c r="Q124" s="25"/>
      <c r="R124" s="25"/>
      <c r="S124" s="25"/>
      <c r="T124" s="34">
        <v>-76004</v>
      </c>
      <c r="U124" s="34"/>
      <c r="V124" s="53"/>
      <c r="W124" s="25"/>
      <c r="X124" s="5"/>
    </row>
    <row r="125" spans="1:24" ht="15.6" x14ac:dyDescent="0.3">
      <c r="A125" s="24"/>
      <c r="B125" s="25" t="s">
        <v>201</v>
      </c>
      <c r="C125" s="25"/>
      <c r="D125" s="25"/>
      <c r="E125" s="25"/>
      <c r="F125" s="25"/>
      <c r="G125" s="25"/>
      <c r="H125" s="25"/>
      <c r="I125" s="25"/>
      <c r="J125" s="25"/>
      <c r="K125" s="25"/>
      <c r="L125" s="25"/>
      <c r="M125" s="25"/>
      <c r="N125" s="25"/>
      <c r="O125" s="25"/>
      <c r="P125" s="25"/>
      <c r="Q125" s="25"/>
      <c r="R125" s="25"/>
      <c r="S125" s="25"/>
      <c r="T125" s="34">
        <v>-13519</v>
      </c>
      <c r="U125" s="34"/>
      <c r="V125" s="53"/>
      <c r="W125" s="25"/>
      <c r="X125" s="5"/>
    </row>
    <row r="126" spans="1:24" ht="15.6" x14ac:dyDescent="0.3">
      <c r="A126" s="24"/>
      <c r="B126" s="25" t="s">
        <v>200</v>
      </c>
      <c r="C126" s="25"/>
      <c r="D126" s="25"/>
      <c r="E126" s="25"/>
      <c r="F126" s="25"/>
      <c r="G126" s="25"/>
      <c r="H126" s="25"/>
      <c r="I126" s="25"/>
      <c r="J126" s="25"/>
      <c r="K126" s="25"/>
      <c r="L126" s="25"/>
      <c r="M126" s="25"/>
      <c r="N126" s="25"/>
      <c r="O126" s="25"/>
      <c r="P126" s="25"/>
      <c r="Q126" s="25"/>
      <c r="R126" s="25"/>
      <c r="S126" s="25"/>
      <c r="T126" s="34">
        <v>-15753</v>
      </c>
      <c r="U126" s="34"/>
      <c r="V126" s="53"/>
      <c r="W126" s="25"/>
      <c r="X126" s="5"/>
    </row>
    <row r="127" spans="1:24" ht="15.6" x14ac:dyDescent="0.3">
      <c r="A127" s="24"/>
      <c r="B127" s="25" t="s">
        <v>260</v>
      </c>
      <c r="C127" s="25"/>
      <c r="D127" s="25"/>
      <c r="E127" s="25"/>
      <c r="F127" s="25"/>
      <c r="G127" s="25"/>
      <c r="H127" s="25"/>
      <c r="I127" s="25"/>
      <c r="J127" s="25"/>
      <c r="K127" s="25"/>
      <c r="L127" s="25"/>
      <c r="M127" s="25"/>
      <c r="N127" s="25"/>
      <c r="O127" s="25"/>
      <c r="P127" s="25"/>
      <c r="Q127" s="25"/>
      <c r="R127" s="25"/>
      <c r="S127" s="25"/>
      <c r="T127" s="34">
        <v>-15758</v>
      </c>
      <c r="U127" s="34"/>
      <c r="V127" s="53"/>
      <c r="W127" s="25"/>
      <c r="X127" s="5"/>
    </row>
    <row r="128" spans="1:24" ht="15.6" x14ac:dyDescent="0.3">
      <c r="A128" s="24"/>
      <c r="B128" s="25" t="s">
        <v>195</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261</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193</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40</v>
      </c>
      <c r="C132" s="25"/>
      <c r="D132" s="25"/>
      <c r="E132" s="25"/>
      <c r="F132" s="25"/>
      <c r="G132" s="25"/>
      <c r="H132" s="25"/>
      <c r="I132" s="25"/>
      <c r="J132" s="25"/>
      <c r="K132" s="25"/>
      <c r="L132" s="25"/>
      <c r="M132" s="25"/>
      <c r="N132" s="25"/>
      <c r="O132" s="25"/>
      <c r="P132" s="25"/>
      <c r="Q132" s="25"/>
      <c r="R132" s="25"/>
      <c r="S132" s="25"/>
      <c r="T132" s="34">
        <f>SUM(T121:T131)</f>
        <v>-125899</v>
      </c>
      <c r="U132" s="34"/>
      <c r="V132" s="34">
        <f>SUM(V102:V129)</f>
        <v>-23309</v>
      </c>
      <c r="W132" s="25"/>
      <c r="X132" s="5"/>
    </row>
    <row r="133" spans="1:24" ht="15.6" x14ac:dyDescent="0.3">
      <c r="A133" s="24"/>
      <c r="B133" s="25" t="s">
        <v>41</v>
      </c>
      <c r="C133" s="25"/>
      <c r="D133" s="25"/>
      <c r="E133" s="25"/>
      <c r="F133" s="25"/>
      <c r="G133" s="25"/>
      <c r="H133" s="25"/>
      <c r="I133" s="25"/>
      <c r="J133" s="25"/>
      <c r="K133" s="25"/>
      <c r="L133" s="25"/>
      <c r="M133" s="25"/>
      <c r="N133" s="25"/>
      <c r="O133" s="25"/>
      <c r="P133" s="25"/>
      <c r="Q133" s="25"/>
      <c r="R133" s="25"/>
      <c r="S133" s="25"/>
      <c r="T133" s="34">
        <f>T101+T132+T114</f>
        <v>0</v>
      </c>
      <c r="U133" s="34"/>
      <c r="V133" s="34">
        <f>V101+V132</f>
        <v>0</v>
      </c>
      <c r="W133" s="25"/>
      <c r="X133" s="5"/>
    </row>
    <row r="134" spans="1:24" ht="15.6" x14ac:dyDescent="0.3">
      <c r="A134" s="24"/>
      <c r="B134" s="25"/>
      <c r="C134" s="25"/>
      <c r="D134" s="25"/>
      <c r="E134" s="25"/>
      <c r="F134" s="25"/>
      <c r="G134" s="25"/>
      <c r="H134" s="25"/>
      <c r="I134" s="25"/>
      <c r="J134" s="25"/>
      <c r="K134" s="25"/>
      <c r="L134" s="25"/>
      <c r="M134" s="25"/>
      <c r="N134" s="25"/>
      <c r="O134" s="25"/>
      <c r="P134" s="25"/>
      <c r="Q134" s="25"/>
      <c r="R134" s="25"/>
      <c r="S134" s="25"/>
      <c r="T134" s="34"/>
      <c r="U134" s="34"/>
      <c r="V134" s="34"/>
      <c r="W134" s="25"/>
      <c r="X134" s="5"/>
    </row>
    <row r="135" spans="1:24" ht="15.6" x14ac:dyDescent="0.3">
      <c r="A135" s="6"/>
      <c r="B135" s="8"/>
      <c r="C135" s="8"/>
      <c r="D135" s="8"/>
      <c r="E135" s="8"/>
      <c r="F135" s="8"/>
      <c r="G135" s="8"/>
      <c r="H135" s="8"/>
      <c r="I135" s="8"/>
      <c r="J135" s="8"/>
      <c r="K135" s="8"/>
      <c r="L135" s="8"/>
      <c r="M135" s="8"/>
      <c r="N135" s="8"/>
      <c r="O135" s="8"/>
      <c r="P135" s="8"/>
      <c r="Q135" s="8"/>
      <c r="R135" s="8"/>
      <c r="S135" s="8"/>
      <c r="T135" s="8"/>
      <c r="U135" s="8"/>
      <c r="V135" s="52"/>
      <c r="W135" s="8"/>
      <c r="X135" s="5"/>
    </row>
    <row r="136" spans="1:24" ht="18" thickBot="1" x14ac:dyDescent="0.35">
      <c r="A136" s="101"/>
      <c r="B136" s="102" t="str">
        <f>B64</f>
        <v>PM12 INVESTOR REPORT QUARTER ENDING JULY 2008</v>
      </c>
      <c r="C136" s="103"/>
      <c r="D136" s="103"/>
      <c r="E136" s="103"/>
      <c r="F136" s="103"/>
      <c r="G136" s="103"/>
      <c r="H136" s="103"/>
      <c r="I136" s="103"/>
      <c r="J136" s="103"/>
      <c r="K136" s="103"/>
      <c r="L136" s="103"/>
      <c r="M136" s="103"/>
      <c r="N136" s="103"/>
      <c r="O136" s="103"/>
      <c r="P136" s="103"/>
      <c r="Q136" s="103"/>
      <c r="R136" s="103"/>
      <c r="S136" s="103"/>
      <c r="T136" s="103"/>
      <c r="U136" s="103"/>
      <c r="V136" s="106"/>
      <c r="W136" s="105"/>
      <c r="X136" s="5"/>
    </row>
    <row r="137" spans="1:24" ht="15.6" x14ac:dyDescent="0.3">
      <c r="A137" s="2"/>
      <c r="B137" s="60" t="s">
        <v>42</v>
      </c>
      <c r="C137" s="4"/>
      <c r="D137" s="4"/>
      <c r="E137" s="4"/>
      <c r="F137" s="4"/>
      <c r="G137" s="4"/>
      <c r="H137" s="4"/>
      <c r="I137" s="4"/>
      <c r="J137" s="4"/>
      <c r="K137" s="4"/>
      <c r="L137" s="4"/>
      <c r="M137" s="4"/>
      <c r="N137" s="4"/>
      <c r="O137" s="4"/>
      <c r="P137" s="4"/>
      <c r="Q137" s="4"/>
      <c r="R137" s="4"/>
      <c r="S137" s="4"/>
      <c r="T137" s="4"/>
      <c r="U137" s="4"/>
      <c r="V137" s="50"/>
      <c r="W137" s="4"/>
      <c r="X137" s="5"/>
    </row>
    <row r="138" spans="1:24" ht="15.6" x14ac:dyDescent="0.3">
      <c r="A138" s="6"/>
      <c r="B138" s="21"/>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6"/>
      <c r="B139" s="119" t="s">
        <v>43</v>
      </c>
      <c r="C139" s="8"/>
      <c r="D139" s="8"/>
      <c r="E139" s="8"/>
      <c r="F139" s="8"/>
      <c r="G139" s="8"/>
      <c r="H139" s="8"/>
      <c r="I139" s="8"/>
      <c r="J139" s="8"/>
      <c r="K139" s="8"/>
      <c r="L139" s="8"/>
      <c r="M139" s="8"/>
      <c r="N139" s="8"/>
      <c r="O139" s="8"/>
      <c r="P139" s="8"/>
      <c r="Q139" s="8"/>
      <c r="R139" s="8"/>
      <c r="S139" s="8"/>
      <c r="T139" s="8"/>
      <c r="U139" s="8"/>
      <c r="V139" s="52"/>
      <c r="W139" s="8"/>
      <c r="X139" s="5"/>
    </row>
    <row r="140" spans="1:24" ht="15.6" x14ac:dyDescent="0.3">
      <c r="A140" s="24"/>
      <c r="B140" s="25" t="s">
        <v>44</v>
      </c>
      <c r="C140" s="25"/>
      <c r="D140" s="25"/>
      <c r="E140" s="25"/>
      <c r="F140" s="25"/>
      <c r="G140" s="25"/>
      <c r="H140" s="25"/>
      <c r="I140" s="25"/>
      <c r="J140" s="25"/>
      <c r="K140" s="25"/>
      <c r="L140" s="25"/>
      <c r="M140" s="25"/>
      <c r="N140" s="25"/>
      <c r="O140" s="25"/>
      <c r="P140" s="25"/>
      <c r="Q140" s="25"/>
      <c r="R140" s="25"/>
      <c r="S140" s="25"/>
      <c r="T140" s="25"/>
      <c r="U140" s="25"/>
      <c r="V140" s="53">
        <f>+V34*0.019</f>
        <v>28503.895</v>
      </c>
      <c r="W140" s="25"/>
      <c r="X140" s="5"/>
    </row>
    <row r="141" spans="1:24" ht="15.6" x14ac:dyDescent="0.3">
      <c r="A141" s="24"/>
      <c r="B141" s="25" t="s">
        <v>45</v>
      </c>
      <c r="C141" s="25"/>
      <c r="D141" s="25"/>
      <c r="E141" s="25"/>
      <c r="F141" s="25"/>
      <c r="G141" s="25"/>
      <c r="H141" s="25"/>
      <c r="I141" s="25"/>
      <c r="J141" s="25"/>
      <c r="K141" s="25"/>
      <c r="L141" s="25"/>
      <c r="M141" s="25"/>
      <c r="N141" s="25"/>
      <c r="O141" s="25"/>
      <c r="P141" s="25"/>
      <c r="Q141" s="25"/>
      <c r="R141" s="25"/>
      <c r="S141" s="25"/>
      <c r="T141" s="25"/>
      <c r="U141" s="25"/>
      <c r="V141" s="53">
        <v>28504</v>
      </c>
      <c r="W141" s="25"/>
      <c r="X141" s="5"/>
    </row>
    <row r="142" spans="1:24" ht="15.6" x14ac:dyDescent="0.3">
      <c r="A142" s="24"/>
      <c r="B142" s="25" t="s">
        <v>141</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128</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129</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181</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46</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134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230</v>
      </c>
      <c r="C148" s="25"/>
      <c r="D148" s="25"/>
      <c r="E148" s="25"/>
      <c r="F148" s="25"/>
      <c r="G148" s="25"/>
      <c r="H148" s="25"/>
      <c r="I148" s="25"/>
      <c r="J148" s="25"/>
      <c r="K148" s="25"/>
      <c r="L148" s="25"/>
      <c r="M148" s="25"/>
      <c r="N148" s="25"/>
      <c r="O148" s="25"/>
      <c r="P148" s="25"/>
      <c r="Q148" s="25"/>
      <c r="R148" s="25"/>
      <c r="S148" s="25"/>
      <c r="T148" s="25"/>
      <c r="U148" s="25"/>
      <c r="V148" s="53">
        <v>0</v>
      </c>
      <c r="W148" s="25"/>
      <c r="X148" s="5"/>
      <c r="Y148" s="109"/>
    </row>
    <row r="149" spans="1:25" ht="15.6" x14ac:dyDescent="0.3">
      <c r="A149" s="24"/>
      <c r="B149" s="25" t="s">
        <v>47</v>
      </c>
      <c r="C149" s="25"/>
      <c r="D149" s="25"/>
      <c r="E149" s="25"/>
      <c r="F149" s="25"/>
      <c r="G149" s="25"/>
      <c r="H149" s="25"/>
      <c r="I149" s="25"/>
      <c r="J149" s="25"/>
      <c r="K149" s="25"/>
      <c r="L149" s="25"/>
      <c r="M149" s="25"/>
      <c r="N149" s="25"/>
      <c r="O149" s="25"/>
      <c r="P149" s="25"/>
      <c r="Q149" s="25"/>
      <c r="R149" s="25"/>
      <c r="S149" s="25"/>
      <c r="T149" s="25"/>
      <c r="U149" s="25"/>
      <c r="V149" s="53">
        <f>SUM(V141:V148)</f>
        <v>28504</v>
      </c>
      <c r="W149" s="25"/>
      <c r="X149" s="5"/>
    </row>
    <row r="150" spans="1:25" ht="15.6" x14ac:dyDescent="0.3">
      <c r="A150" s="24"/>
      <c r="B150" s="25"/>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138" t="s">
        <v>269</v>
      </c>
      <c r="C151" s="25"/>
      <c r="D151" s="25"/>
      <c r="E151" s="25"/>
      <c r="F151" s="25"/>
      <c r="G151" s="25"/>
      <c r="H151" s="25"/>
      <c r="I151" s="25"/>
      <c r="J151" s="25"/>
      <c r="K151" s="25"/>
      <c r="L151" s="25"/>
      <c r="M151" s="25"/>
      <c r="N151" s="25"/>
      <c r="O151" s="25"/>
      <c r="P151" s="25"/>
      <c r="Q151" s="25"/>
      <c r="R151" s="25"/>
      <c r="S151" s="25"/>
      <c r="T151" s="25"/>
      <c r="U151" s="25"/>
      <c r="V151" s="53"/>
      <c r="W151" s="25"/>
      <c r="X151" s="5"/>
    </row>
    <row r="152" spans="1:25" ht="15.6" x14ac:dyDescent="0.3">
      <c r="A152" s="24"/>
      <c r="B152" s="25" t="s">
        <v>160</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178</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t="s">
        <v>270</v>
      </c>
      <c r="C154" s="25"/>
      <c r="D154" s="25"/>
      <c r="E154" s="25"/>
      <c r="F154" s="25"/>
      <c r="G154" s="25"/>
      <c r="H154" s="25"/>
      <c r="I154" s="25"/>
      <c r="J154" s="25"/>
      <c r="K154" s="25"/>
      <c r="L154" s="25"/>
      <c r="M154" s="25"/>
      <c r="N154" s="25"/>
      <c r="O154" s="25"/>
      <c r="P154" s="25"/>
      <c r="Q154" s="25"/>
      <c r="R154" s="25"/>
      <c r="S154" s="25"/>
      <c r="T154" s="25"/>
      <c r="U154" s="25"/>
      <c r="V154" s="53">
        <v>0</v>
      </c>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53"/>
      <c r="W155" s="25"/>
      <c r="X155" s="5"/>
    </row>
    <row r="156" spans="1:25" ht="15.6" x14ac:dyDescent="0.3">
      <c r="A156" s="24"/>
      <c r="B156" s="25"/>
      <c r="C156" s="25"/>
      <c r="D156" s="25"/>
      <c r="E156" s="25"/>
      <c r="F156" s="25"/>
      <c r="G156" s="25"/>
      <c r="H156" s="25"/>
      <c r="I156" s="25"/>
      <c r="J156" s="25"/>
      <c r="K156" s="25"/>
      <c r="L156" s="25"/>
      <c r="M156" s="25"/>
      <c r="N156" s="25"/>
      <c r="O156" s="25"/>
      <c r="P156" s="25"/>
      <c r="Q156" s="25"/>
      <c r="R156" s="25"/>
      <c r="S156" s="25"/>
      <c r="T156" s="25"/>
      <c r="U156" s="25"/>
      <c r="V156" s="61"/>
      <c r="W156" s="25"/>
      <c r="X156" s="5"/>
    </row>
    <row r="157" spans="1:25" ht="15.6" x14ac:dyDescent="0.3">
      <c r="A157" s="6"/>
      <c r="B157" s="119" t="s">
        <v>24</v>
      </c>
      <c r="C157" s="8"/>
      <c r="D157" s="8"/>
      <c r="E157" s="8"/>
      <c r="F157" s="8"/>
      <c r="G157" s="8"/>
      <c r="H157" s="8"/>
      <c r="I157" s="8"/>
      <c r="J157" s="8"/>
      <c r="K157" s="8"/>
      <c r="L157" s="8"/>
      <c r="M157" s="8"/>
      <c r="N157" s="8"/>
      <c r="O157" s="8"/>
      <c r="P157" s="8"/>
      <c r="Q157" s="8"/>
      <c r="R157" s="8"/>
      <c r="S157" s="8"/>
      <c r="T157" s="8"/>
      <c r="U157" s="8"/>
      <c r="V157" s="52"/>
      <c r="W157" s="8"/>
      <c r="X157" s="5"/>
    </row>
    <row r="158" spans="1:25" ht="15.6" x14ac:dyDescent="0.3">
      <c r="A158" s="24"/>
      <c r="B158" s="25" t="s">
        <v>48</v>
      </c>
      <c r="C158" s="25"/>
      <c r="D158" s="25"/>
      <c r="E158" s="25"/>
      <c r="F158" s="25"/>
      <c r="G158" s="25"/>
      <c r="H158" s="25"/>
      <c r="I158" s="25"/>
      <c r="J158" s="25"/>
      <c r="K158" s="25"/>
      <c r="L158" s="25"/>
      <c r="M158" s="25"/>
      <c r="N158" s="25"/>
      <c r="O158" s="25"/>
      <c r="P158" s="25"/>
      <c r="Q158" s="25"/>
      <c r="R158" s="25"/>
      <c r="S158" s="25"/>
      <c r="T158" s="25"/>
      <c r="U158" s="25"/>
      <c r="V158" s="59" t="s">
        <v>123</v>
      </c>
      <c r="W158" s="25"/>
      <c r="X158" s="5"/>
    </row>
    <row r="159" spans="1:25" ht="15.6" x14ac:dyDescent="0.3">
      <c r="A159" s="24"/>
      <c r="B159" s="25" t="s">
        <v>49</v>
      </c>
      <c r="C159" s="163"/>
      <c r="D159" s="163"/>
      <c r="E159" s="163"/>
      <c r="F159" s="163"/>
      <c r="G159" s="163"/>
      <c r="H159" s="163"/>
      <c r="I159" s="163"/>
      <c r="J159" s="163"/>
      <c r="K159" s="163"/>
      <c r="L159" s="163"/>
      <c r="M159" s="163"/>
      <c r="N159" s="163"/>
      <c r="O159" s="163"/>
      <c r="P159" s="163"/>
      <c r="Q159" s="163"/>
      <c r="R159" s="163"/>
      <c r="S159" s="163"/>
      <c r="T159" s="163"/>
      <c r="U159" s="163"/>
      <c r="V159" s="59" t="s">
        <v>123</v>
      </c>
      <c r="W159" s="25"/>
      <c r="X159" s="5"/>
    </row>
    <row r="160" spans="1:25" ht="15.6" x14ac:dyDescent="0.3">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t="s">
        <v>51</v>
      </c>
      <c r="C161" s="25"/>
      <c r="D161" s="25"/>
      <c r="E161" s="25"/>
      <c r="F161" s="25"/>
      <c r="G161" s="25"/>
      <c r="H161" s="25"/>
      <c r="I161" s="25"/>
      <c r="J161" s="25"/>
      <c r="K161" s="25"/>
      <c r="L161" s="25"/>
      <c r="M161" s="25"/>
      <c r="N161" s="25"/>
      <c r="O161" s="25"/>
      <c r="P161" s="25"/>
      <c r="Q161" s="25"/>
      <c r="R161" s="25"/>
      <c r="S161" s="25"/>
      <c r="T161" s="25"/>
      <c r="U161" s="25"/>
      <c r="V161" s="59" t="s">
        <v>123</v>
      </c>
      <c r="W161" s="25"/>
      <c r="X161" s="5"/>
    </row>
    <row r="162" spans="1:24" ht="15.6" x14ac:dyDescent="0.3">
      <c r="A162" s="24"/>
      <c r="B162" s="25"/>
      <c r="C162" s="25"/>
      <c r="D162" s="25"/>
      <c r="E162" s="25"/>
      <c r="F162" s="25"/>
      <c r="G162" s="25"/>
      <c r="H162" s="25"/>
      <c r="I162" s="25"/>
      <c r="J162" s="25"/>
      <c r="K162" s="25"/>
      <c r="L162" s="25"/>
      <c r="M162" s="25"/>
      <c r="N162" s="25"/>
      <c r="O162" s="25"/>
      <c r="P162" s="25"/>
      <c r="Q162" s="25"/>
      <c r="R162" s="25"/>
      <c r="S162" s="25"/>
      <c r="T162" s="25"/>
      <c r="U162" s="25"/>
      <c r="V162" s="61"/>
      <c r="W162" s="25"/>
      <c r="X162" s="5"/>
    </row>
    <row r="163" spans="1:24" ht="15.6" x14ac:dyDescent="0.3">
      <c r="A163" s="6"/>
      <c r="B163" s="119" t="s">
        <v>52</v>
      </c>
      <c r="C163" s="8"/>
      <c r="D163" s="8"/>
      <c r="E163" s="8"/>
      <c r="F163" s="8"/>
      <c r="G163" s="8"/>
      <c r="H163" s="8"/>
      <c r="I163" s="8"/>
      <c r="J163" s="8"/>
      <c r="K163" s="8"/>
      <c r="L163" s="8"/>
      <c r="M163" s="8"/>
      <c r="N163" s="8"/>
      <c r="O163" s="8"/>
      <c r="P163" s="8"/>
      <c r="Q163" s="8"/>
      <c r="R163" s="8"/>
      <c r="S163" s="8"/>
      <c r="T163" s="8"/>
      <c r="U163" s="8"/>
      <c r="V163" s="63"/>
      <c r="W163" s="8"/>
      <c r="X163" s="5"/>
    </row>
    <row r="164" spans="1:24" ht="15.6" x14ac:dyDescent="0.3">
      <c r="A164" s="24"/>
      <c r="B164" s="25" t="s">
        <v>53</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4" ht="15.6" x14ac:dyDescent="0.3">
      <c r="A165" s="24"/>
      <c r="B165" s="25" t="s">
        <v>54</v>
      </c>
      <c r="C165" s="25"/>
      <c r="D165" s="25"/>
      <c r="E165" s="25"/>
      <c r="F165" s="25"/>
      <c r="G165" s="25"/>
      <c r="H165" s="25"/>
      <c r="I165" s="25"/>
      <c r="J165" s="25"/>
      <c r="K165" s="25"/>
      <c r="L165" s="25"/>
      <c r="M165" s="25"/>
      <c r="N165" s="25"/>
      <c r="O165" s="25"/>
      <c r="P165" s="25"/>
      <c r="Q165" s="25"/>
      <c r="R165" s="25"/>
      <c r="S165" s="25"/>
      <c r="T165" s="25"/>
      <c r="U165" s="25"/>
      <c r="V165" s="53">
        <f>-V114</f>
        <v>1</v>
      </c>
      <c r="W165" s="25"/>
      <c r="X165" s="5"/>
    </row>
    <row r="166" spans="1:24" ht="15.6" x14ac:dyDescent="0.3">
      <c r="A166" s="24"/>
      <c r="B166" s="25" t="s">
        <v>55</v>
      </c>
      <c r="C166" s="25"/>
      <c r="D166" s="25"/>
      <c r="E166" s="25"/>
      <c r="F166" s="25"/>
      <c r="G166" s="25"/>
      <c r="H166" s="25"/>
      <c r="I166" s="25"/>
      <c r="J166" s="25"/>
      <c r="K166" s="25"/>
      <c r="L166" s="25"/>
      <c r="M166" s="25"/>
      <c r="N166" s="25"/>
      <c r="O166" s="25"/>
      <c r="P166" s="25"/>
      <c r="Q166" s="25"/>
      <c r="R166" s="25"/>
      <c r="S166" s="25"/>
      <c r="T166" s="25"/>
      <c r="U166" s="25"/>
      <c r="V166" s="53">
        <f>V165+V164</f>
        <v>1</v>
      </c>
      <c r="W166" s="25"/>
      <c r="X166" s="5"/>
    </row>
    <row r="167" spans="1:24" ht="15.6" x14ac:dyDescent="0.3">
      <c r="A167" s="24"/>
      <c r="B167" s="25" t="s">
        <v>310</v>
      </c>
      <c r="C167" s="25"/>
      <c r="D167" s="25"/>
      <c r="E167" s="25"/>
      <c r="F167" s="25"/>
      <c r="G167" s="25"/>
      <c r="H167" s="25"/>
      <c r="I167" s="25"/>
      <c r="J167" s="25"/>
      <c r="K167" s="25"/>
      <c r="L167" s="25"/>
      <c r="M167" s="25"/>
      <c r="N167" s="25"/>
      <c r="O167" s="25"/>
      <c r="P167" s="25"/>
      <c r="Q167" s="25"/>
      <c r="R167" s="25"/>
      <c r="S167" s="25"/>
      <c r="T167" s="25"/>
      <c r="U167" s="25"/>
      <c r="V167" s="53">
        <f>V114</f>
        <v>-1</v>
      </c>
      <c r="W167" s="25"/>
      <c r="X167" s="5"/>
    </row>
    <row r="168" spans="1:24" ht="15.6" x14ac:dyDescent="0.3">
      <c r="A168" s="24"/>
      <c r="B168" s="25" t="s">
        <v>56</v>
      </c>
      <c r="C168" s="25"/>
      <c r="D168" s="25"/>
      <c r="E168" s="25"/>
      <c r="F168" s="25"/>
      <c r="G168" s="25"/>
      <c r="H168" s="25"/>
      <c r="I168" s="25"/>
      <c r="J168" s="25"/>
      <c r="K168" s="25"/>
      <c r="L168" s="25"/>
      <c r="M168" s="25"/>
      <c r="N168" s="25"/>
      <c r="O168" s="25"/>
      <c r="P168" s="25"/>
      <c r="Q168" s="25"/>
      <c r="R168" s="25"/>
      <c r="S168" s="25"/>
      <c r="T168" s="25"/>
      <c r="U168" s="25"/>
      <c r="V168" s="53">
        <f>V166+V167</f>
        <v>0</v>
      </c>
      <c r="W168" s="25"/>
      <c r="X168" s="5"/>
    </row>
    <row r="169" spans="1:24" ht="16.2" thickBot="1" x14ac:dyDescent="0.35">
      <c r="A169" s="24"/>
      <c r="B169" s="25"/>
      <c r="C169" s="25"/>
      <c r="D169" s="25"/>
      <c r="E169" s="25"/>
      <c r="F169" s="25"/>
      <c r="G169" s="25"/>
      <c r="H169" s="25"/>
      <c r="I169" s="25"/>
      <c r="J169" s="25"/>
      <c r="K169" s="25"/>
      <c r="L169" s="25"/>
      <c r="M169" s="25"/>
      <c r="N169" s="25"/>
      <c r="O169" s="25"/>
      <c r="P169" s="25"/>
      <c r="Q169" s="25"/>
      <c r="R169" s="25"/>
      <c r="S169" s="25"/>
      <c r="T169" s="25"/>
      <c r="U169" s="25"/>
      <c r="V169" s="61"/>
      <c r="W169" s="25"/>
      <c r="X169" s="5"/>
    </row>
    <row r="170" spans="1:24" ht="15.6" x14ac:dyDescent="0.3">
      <c r="A170" s="2"/>
      <c r="B170" s="4"/>
      <c r="C170" s="4"/>
      <c r="D170" s="4"/>
      <c r="E170" s="4"/>
      <c r="F170" s="4"/>
      <c r="G170" s="4"/>
      <c r="H170" s="4"/>
      <c r="I170" s="4"/>
      <c r="J170" s="4"/>
      <c r="K170" s="4"/>
      <c r="L170" s="4"/>
      <c r="M170" s="4"/>
      <c r="N170" s="4"/>
      <c r="O170" s="4"/>
      <c r="P170" s="4"/>
      <c r="Q170" s="4"/>
      <c r="R170" s="4"/>
      <c r="S170" s="4"/>
      <c r="T170" s="4"/>
      <c r="U170" s="4"/>
      <c r="V170" s="50"/>
      <c r="W170" s="4"/>
      <c r="X170" s="5"/>
    </row>
    <row r="171" spans="1:24" ht="15.6" x14ac:dyDescent="0.3">
      <c r="A171" s="6"/>
      <c r="B171" s="119" t="s">
        <v>57</v>
      </c>
      <c r="C171" s="8"/>
      <c r="D171" s="8"/>
      <c r="E171" s="8"/>
      <c r="F171" s="8"/>
      <c r="G171" s="8"/>
      <c r="H171" s="8"/>
      <c r="I171" s="8"/>
      <c r="J171" s="8"/>
      <c r="K171" s="8"/>
      <c r="L171" s="8"/>
      <c r="M171" s="8"/>
      <c r="N171" s="8"/>
      <c r="O171" s="8"/>
      <c r="P171" s="8"/>
      <c r="Q171" s="8"/>
      <c r="R171" s="8"/>
      <c r="S171" s="8"/>
      <c r="T171" s="8"/>
      <c r="U171" s="8"/>
      <c r="V171" s="52"/>
      <c r="W171" s="8"/>
      <c r="X171" s="5"/>
    </row>
    <row r="172" spans="1:24" ht="15.6" x14ac:dyDescent="0.3">
      <c r="A172" s="6"/>
      <c r="B172" s="21"/>
      <c r="C172" s="8"/>
      <c r="D172" s="8"/>
      <c r="E172" s="8"/>
      <c r="F172" s="8"/>
      <c r="G172" s="8"/>
      <c r="H172" s="8"/>
      <c r="I172" s="8"/>
      <c r="J172" s="8"/>
      <c r="K172" s="8"/>
      <c r="L172" s="8"/>
      <c r="M172" s="8"/>
      <c r="N172" s="8"/>
      <c r="O172" s="8"/>
      <c r="P172" s="8"/>
      <c r="Q172" s="8"/>
      <c r="R172" s="8"/>
      <c r="S172" s="8"/>
      <c r="T172" s="8"/>
      <c r="U172" s="8"/>
      <c r="V172" s="52"/>
      <c r="W172" s="8"/>
      <c r="X172" s="5"/>
    </row>
    <row r="173" spans="1:24" ht="15.6" x14ac:dyDescent="0.3">
      <c r="A173" s="24"/>
      <c r="B173" s="25" t="s">
        <v>58</v>
      </c>
      <c r="C173" s="25"/>
      <c r="D173" s="25"/>
      <c r="E173" s="25"/>
      <c r="F173" s="25"/>
      <c r="G173" s="25"/>
      <c r="H173" s="25"/>
      <c r="I173" s="25"/>
      <c r="J173" s="25"/>
      <c r="K173" s="25"/>
      <c r="L173" s="25"/>
      <c r="M173" s="25"/>
      <c r="N173" s="25"/>
      <c r="O173" s="25"/>
      <c r="P173" s="25"/>
      <c r="Q173" s="25"/>
      <c r="R173" s="25"/>
      <c r="S173" s="25"/>
      <c r="T173" s="25"/>
      <c r="U173" s="25"/>
      <c r="V173" s="53">
        <f>V72</f>
        <v>1141187</v>
      </c>
      <c r="W173" s="25"/>
      <c r="X173" s="5"/>
    </row>
    <row r="174" spans="1:24" ht="15.6" x14ac:dyDescent="0.3">
      <c r="A174" s="24"/>
      <c r="B174" s="25" t="s">
        <v>59</v>
      </c>
      <c r="C174" s="25"/>
      <c r="D174" s="25"/>
      <c r="E174" s="25"/>
      <c r="F174" s="25"/>
      <c r="G174" s="25"/>
      <c r="H174" s="25"/>
      <c r="I174" s="25"/>
      <c r="J174" s="25"/>
      <c r="K174" s="25"/>
      <c r="L174" s="25"/>
      <c r="M174" s="25"/>
      <c r="N174" s="25"/>
      <c r="O174" s="25"/>
      <c r="P174" s="25"/>
      <c r="Q174" s="25"/>
      <c r="R174" s="25"/>
      <c r="S174" s="25"/>
      <c r="T174" s="25"/>
      <c r="U174" s="25"/>
      <c r="V174" s="53">
        <f>V85</f>
        <v>1141187</v>
      </c>
      <c r="W174" s="25"/>
      <c r="X174" s="5"/>
    </row>
    <row r="175" spans="1:24" ht="16.2" thickBot="1" x14ac:dyDescent="0.35">
      <c r="A175" s="24"/>
      <c r="B175" s="25"/>
      <c r="C175" s="25"/>
      <c r="D175" s="25"/>
      <c r="E175" s="25"/>
      <c r="F175" s="25"/>
      <c r="G175" s="25"/>
      <c r="H175" s="25"/>
      <c r="I175" s="25"/>
      <c r="J175" s="25"/>
      <c r="K175" s="25"/>
      <c r="L175" s="25"/>
      <c r="M175" s="25"/>
      <c r="N175" s="25"/>
      <c r="O175" s="25"/>
      <c r="P175" s="25"/>
      <c r="Q175" s="25"/>
      <c r="R175" s="25"/>
      <c r="S175" s="25"/>
      <c r="T175" s="25"/>
      <c r="U175" s="25"/>
      <c r="V175" s="61"/>
      <c r="W175" s="25"/>
      <c r="X175" s="5"/>
    </row>
    <row r="176" spans="1:24" ht="15.6" x14ac:dyDescent="0.3">
      <c r="A176" s="2"/>
      <c r="B176" s="4"/>
      <c r="C176" s="4"/>
      <c r="D176" s="4"/>
      <c r="E176" s="4"/>
      <c r="F176" s="4"/>
      <c r="G176" s="4"/>
      <c r="H176" s="4"/>
      <c r="I176" s="4"/>
      <c r="J176" s="4"/>
      <c r="K176" s="4"/>
      <c r="L176" s="4"/>
      <c r="M176" s="4"/>
      <c r="N176" s="4"/>
      <c r="O176" s="4"/>
      <c r="P176" s="4"/>
      <c r="Q176" s="4"/>
      <c r="R176" s="4"/>
      <c r="S176" s="4"/>
      <c r="T176" s="4"/>
      <c r="U176" s="4"/>
      <c r="V176" s="50"/>
      <c r="W176" s="4"/>
      <c r="X176" s="5"/>
    </row>
    <row r="177" spans="1:24" ht="15.6" x14ac:dyDescent="0.3">
      <c r="A177" s="6"/>
      <c r="B177" s="119" t="s">
        <v>60</v>
      </c>
      <c r="C177" s="117"/>
      <c r="D177" s="117"/>
      <c r="E177" s="117"/>
      <c r="F177" s="117"/>
      <c r="G177" s="117"/>
      <c r="H177" s="120"/>
      <c r="I177" s="120"/>
      <c r="J177" s="120"/>
      <c r="K177" s="120"/>
      <c r="L177" s="120"/>
      <c r="M177" s="120"/>
      <c r="N177" s="120"/>
      <c r="O177" s="120"/>
      <c r="P177" s="120"/>
      <c r="Q177" s="120"/>
      <c r="R177" s="120"/>
      <c r="S177" s="120" t="s">
        <v>103</v>
      </c>
      <c r="T177" s="120" t="s">
        <v>182</v>
      </c>
      <c r="U177" s="111"/>
      <c r="V177" s="121" t="s">
        <v>119</v>
      </c>
      <c r="W177" s="10"/>
      <c r="X177" s="5"/>
    </row>
    <row r="178" spans="1:24" ht="15.6" x14ac:dyDescent="0.3">
      <c r="A178" s="24"/>
      <c r="B178" s="25" t="s">
        <v>61</v>
      </c>
      <c r="C178" s="25"/>
      <c r="D178" s="25"/>
      <c r="E178" s="25"/>
      <c r="F178" s="25"/>
      <c r="G178" s="25"/>
      <c r="H178" s="25"/>
      <c r="I178" s="25"/>
      <c r="J178" s="25"/>
      <c r="K178" s="25"/>
      <c r="L178" s="25"/>
      <c r="M178" s="25"/>
      <c r="N178" s="25"/>
      <c r="O178" s="25"/>
      <c r="P178" s="25"/>
      <c r="Q178" s="25"/>
      <c r="R178" s="25"/>
      <c r="S178" s="53">
        <f>+V34*0.16</f>
        <v>240032.80000000002</v>
      </c>
      <c r="T178" s="40"/>
      <c r="U178" s="25"/>
      <c r="V178" s="53"/>
      <c r="W178" s="25"/>
      <c r="X178" s="5"/>
    </row>
    <row r="179" spans="1:24" ht="15.6" x14ac:dyDescent="0.3">
      <c r="A179" s="24"/>
      <c r="B179" s="25" t="s">
        <v>62</v>
      </c>
      <c r="C179" s="25"/>
      <c r="D179" s="25"/>
      <c r="E179" s="25"/>
      <c r="F179" s="25"/>
      <c r="G179" s="25"/>
      <c r="H179" s="25"/>
      <c r="I179" s="25"/>
      <c r="J179" s="25"/>
      <c r="K179" s="25"/>
      <c r="L179" s="25"/>
      <c r="M179" s="25"/>
      <c r="N179" s="25"/>
      <c r="O179" s="25"/>
      <c r="P179" s="25"/>
      <c r="Q179" s="25"/>
      <c r="R179" s="25"/>
      <c r="S179" s="53">
        <f>+'April 08'!S181</f>
        <v>36266</v>
      </c>
      <c r="T179" s="53">
        <f>+'April 08'!T181</f>
        <v>5709</v>
      </c>
      <c r="U179" s="25"/>
      <c r="V179" s="53">
        <f>S179+T179</f>
        <v>41975</v>
      </c>
      <c r="W179" s="25"/>
      <c r="X179" s="5"/>
    </row>
    <row r="180" spans="1:24" ht="15.6" x14ac:dyDescent="0.3">
      <c r="A180" s="24"/>
      <c r="B180" s="25" t="s">
        <v>63</v>
      </c>
      <c r="C180" s="25"/>
      <c r="D180" s="25"/>
      <c r="E180" s="25"/>
      <c r="F180" s="25"/>
      <c r="G180" s="25"/>
      <c r="H180" s="25"/>
      <c r="I180" s="25"/>
      <c r="J180" s="25"/>
      <c r="K180" s="25"/>
      <c r="L180" s="25"/>
      <c r="M180" s="25"/>
      <c r="N180" s="25"/>
      <c r="O180" s="25"/>
      <c r="P180" s="25"/>
      <c r="Q180" s="25"/>
      <c r="R180" s="25"/>
      <c r="S180" s="34">
        <f>4043+612</f>
        <v>4655</v>
      </c>
      <c r="T180" s="34">
        <v>185</v>
      </c>
      <c r="U180" s="25"/>
      <c r="V180" s="53">
        <f>S180+T180</f>
        <v>4840</v>
      </c>
      <c r="W180" s="25"/>
      <c r="X180" s="5"/>
    </row>
    <row r="181" spans="1:24" ht="15.6" x14ac:dyDescent="0.3">
      <c r="A181" s="24"/>
      <c r="B181" s="25" t="s">
        <v>64</v>
      </c>
      <c r="C181" s="25"/>
      <c r="D181" s="25"/>
      <c r="E181" s="25"/>
      <c r="F181" s="25"/>
      <c r="G181" s="25"/>
      <c r="H181" s="25"/>
      <c r="I181" s="25"/>
      <c r="J181" s="25"/>
      <c r="K181" s="25"/>
      <c r="L181" s="25"/>
      <c r="M181" s="25"/>
      <c r="N181" s="25"/>
      <c r="O181" s="25"/>
      <c r="P181" s="25"/>
      <c r="Q181" s="25"/>
      <c r="R181" s="25"/>
      <c r="S181" s="53">
        <f>S179+S180</f>
        <v>40921</v>
      </c>
      <c r="T181" s="53">
        <f>T180+T179</f>
        <v>5894</v>
      </c>
      <c r="U181" s="25"/>
      <c r="V181" s="53">
        <f>S181+T181</f>
        <v>46815</v>
      </c>
      <c r="W181" s="25"/>
      <c r="X181" s="5"/>
    </row>
    <row r="182" spans="1:24" ht="15.6" x14ac:dyDescent="0.3">
      <c r="A182" s="24"/>
      <c r="B182" s="25" t="s">
        <v>65</v>
      </c>
      <c r="C182" s="25"/>
      <c r="D182" s="25"/>
      <c r="E182" s="25"/>
      <c r="F182" s="25"/>
      <c r="G182" s="25"/>
      <c r="H182" s="25"/>
      <c r="I182" s="25"/>
      <c r="J182" s="25"/>
      <c r="K182" s="25"/>
      <c r="L182" s="25"/>
      <c r="M182" s="25"/>
      <c r="N182" s="25"/>
      <c r="O182" s="25"/>
      <c r="P182" s="25"/>
      <c r="Q182" s="25"/>
      <c r="R182" s="25"/>
      <c r="S182" s="53">
        <f>S178-S181-T181</f>
        <v>193217.80000000002</v>
      </c>
      <c r="T182" s="40"/>
      <c r="U182" s="25"/>
      <c r="V182" s="53"/>
      <c r="W182" s="25"/>
      <c r="X182" s="5"/>
    </row>
    <row r="183" spans="1:24" ht="16.2" thickBot="1" x14ac:dyDescent="0.35">
      <c r="A183" s="24"/>
      <c r="B183" s="25"/>
      <c r="C183" s="25"/>
      <c r="D183" s="25"/>
      <c r="E183" s="25"/>
      <c r="F183" s="25"/>
      <c r="G183" s="25"/>
      <c r="H183" s="25"/>
      <c r="I183" s="25"/>
      <c r="J183" s="25"/>
      <c r="K183" s="25"/>
      <c r="L183" s="25"/>
      <c r="M183" s="25"/>
      <c r="N183" s="25"/>
      <c r="O183" s="25"/>
      <c r="P183" s="25"/>
      <c r="Q183" s="25"/>
      <c r="R183" s="25"/>
      <c r="S183" s="25"/>
      <c r="T183" s="25"/>
      <c r="U183" s="25"/>
      <c r="V183" s="61"/>
      <c r="W183" s="25"/>
      <c r="X183" s="5"/>
    </row>
    <row r="184" spans="1:24" ht="15.6" x14ac:dyDescent="0.3">
      <c r="A184" s="2"/>
      <c r="B184" s="4"/>
      <c r="C184" s="4"/>
      <c r="D184" s="4"/>
      <c r="E184" s="4"/>
      <c r="F184" s="4"/>
      <c r="G184" s="4"/>
      <c r="H184" s="4"/>
      <c r="I184" s="4"/>
      <c r="J184" s="4"/>
      <c r="K184" s="4"/>
      <c r="L184" s="4"/>
      <c r="M184" s="4"/>
      <c r="N184" s="4"/>
      <c r="O184" s="4"/>
      <c r="P184" s="4"/>
      <c r="Q184" s="4"/>
      <c r="R184" s="4"/>
      <c r="S184" s="4"/>
      <c r="T184" s="4"/>
      <c r="U184" s="4"/>
      <c r="V184" s="50"/>
      <c r="W184" s="4"/>
      <c r="X184" s="5"/>
    </row>
    <row r="185" spans="1:24" ht="15.6" x14ac:dyDescent="0.3">
      <c r="A185" s="6"/>
      <c r="B185" s="119" t="s">
        <v>66</v>
      </c>
      <c r="C185" s="8"/>
      <c r="D185" s="8"/>
      <c r="E185" s="8"/>
      <c r="F185" s="8"/>
      <c r="G185" s="8"/>
      <c r="H185" s="8"/>
      <c r="I185" s="8"/>
      <c r="J185" s="8"/>
      <c r="K185" s="8"/>
      <c r="L185" s="8"/>
      <c r="M185" s="8"/>
      <c r="N185" s="8"/>
      <c r="O185" s="8"/>
      <c r="P185" s="8"/>
      <c r="Q185" s="8"/>
      <c r="R185" s="8"/>
      <c r="S185" s="8"/>
      <c r="T185" s="8"/>
      <c r="U185" s="8"/>
      <c r="V185" s="65"/>
      <c r="W185" s="8"/>
      <c r="X185" s="5"/>
    </row>
    <row r="186" spans="1:24" ht="15.6" x14ac:dyDescent="0.3">
      <c r="A186" s="24"/>
      <c r="B186" s="25" t="s">
        <v>67</v>
      </c>
      <c r="C186" s="25"/>
      <c r="D186" s="25"/>
      <c r="E186" s="25"/>
      <c r="F186" s="25"/>
      <c r="G186" s="25"/>
      <c r="H186" s="25"/>
      <c r="I186" s="25"/>
      <c r="J186" s="25"/>
      <c r="K186" s="25"/>
      <c r="L186" s="25"/>
      <c r="M186" s="25"/>
      <c r="N186" s="25"/>
      <c r="O186" s="25"/>
      <c r="P186" s="25"/>
      <c r="Q186" s="25"/>
      <c r="R186" s="25"/>
      <c r="S186" s="25"/>
      <c r="T186" s="25"/>
      <c r="U186" s="25"/>
      <c r="V186" s="59">
        <f>(V101+V103+V104+V105+V106)/-(V107+V108)</f>
        <v>1.423980454801729</v>
      </c>
      <c r="W186" s="25" t="s">
        <v>120</v>
      </c>
      <c r="X186" s="5"/>
    </row>
    <row r="187" spans="1:24" ht="15.6" x14ac:dyDescent="0.3">
      <c r="A187" s="24"/>
      <c r="B187" s="25" t="s">
        <v>68</v>
      </c>
      <c r="C187" s="25"/>
      <c r="D187" s="25"/>
      <c r="E187" s="25"/>
      <c r="F187" s="25"/>
      <c r="G187" s="25"/>
      <c r="H187" s="25"/>
      <c r="I187" s="25"/>
      <c r="J187" s="25"/>
      <c r="K187" s="25"/>
      <c r="L187" s="25"/>
      <c r="M187" s="25"/>
      <c r="N187" s="25"/>
      <c r="O187" s="25"/>
      <c r="P187" s="25"/>
      <c r="Q187" s="25"/>
      <c r="R187" s="25"/>
      <c r="S187" s="25"/>
      <c r="T187" s="25"/>
      <c r="U187" s="25"/>
      <c r="V187" s="66">
        <v>1.4</v>
      </c>
      <c r="W187" s="25" t="s">
        <v>120</v>
      </c>
      <c r="X187" s="5"/>
    </row>
    <row r="188" spans="1:24" ht="15.6" x14ac:dyDescent="0.3">
      <c r="A188" s="24"/>
      <c r="B188" s="25" t="s">
        <v>69</v>
      </c>
      <c r="C188" s="25"/>
      <c r="D188" s="25"/>
      <c r="E188" s="25"/>
      <c r="F188" s="25"/>
      <c r="G188" s="25"/>
      <c r="H188" s="25"/>
      <c r="I188" s="25"/>
      <c r="J188" s="25"/>
      <c r="K188" s="25"/>
      <c r="L188" s="25"/>
      <c r="M188" s="25"/>
      <c r="N188" s="25"/>
      <c r="O188" s="25"/>
      <c r="P188" s="25"/>
      <c r="Q188" s="25"/>
      <c r="R188" s="25"/>
      <c r="S188" s="25"/>
      <c r="T188" s="25"/>
      <c r="U188" s="25"/>
      <c r="V188" s="59">
        <f>(V101+V103+V104+V105+V106+V107+V108)/-(V109+V110)</f>
        <v>3.94175888177053</v>
      </c>
      <c r="W188" s="25" t="s">
        <v>120</v>
      </c>
      <c r="X188" s="5"/>
    </row>
    <row r="189" spans="1:24" ht="15.6" x14ac:dyDescent="0.3">
      <c r="A189" s="24"/>
      <c r="B189" s="25" t="s">
        <v>70</v>
      </c>
      <c r="C189" s="25"/>
      <c r="D189" s="25"/>
      <c r="E189" s="25"/>
      <c r="F189" s="25"/>
      <c r="G189" s="25"/>
      <c r="H189" s="25"/>
      <c r="I189" s="25"/>
      <c r="J189" s="25"/>
      <c r="K189" s="25"/>
      <c r="L189" s="25"/>
      <c r="M189" s="25"/>
      <c r="N189" s="25"/>
      <c r="O189" s="25"/>
      <c r="P189" s="25"/>
      <c r="Q189" s="25"/>
      <c r="R189" s="25"/>
      <c r="S189" s="25"/>
      <c r="T189" s="25"/>
      <c r="U189" s="25"/>
      <c r="V189" s="66">
        <v>4.1900000000000004</v>
      </c>
      <c r="W189" s="25" t="s">
        <v>120</v>
      </c>
      <c r="X189" s="5"/>
    </row>
    <row r="190" spans="1:24" ht="15.6" x14ac:dyDescent="0.3">
      <c r="A190" s="24"/>
      <c r="B190" s="25" t="s">
        <v>204</v>
      </c>
      <c r="C190" s="25"/>
      <c r="D190" s="25"/>
      <c r="E190" s="25"/>
      <c r="F190" s="25"/>
      <c r="G190" s="25"/>
      <c r="H190" s="25"/>
      <c r="I190" s="25"/>
      <c r="J190" s="25"/>
      <c r="K190" s="25"/>
      <c r="L190" s="25"/>
      <c r="M190" s="25"/>
      <c r="N190" s="25"/>
      <c r="O190" s="25"/>
      <c r="P190" s="25"/>
      <c r="Q190" s="25"/>
      <c r="R190" s="25"/>
      <c r="S190" s="25"/>
      <c r="T190" s="25"/>
      <c r="U190" s="25"/>
      <c r="V190" s="59">
        <f>(V101+V103+V104+V105+V106+V107+V108+V109+V110)/-(V111+V112)</f>
        <v>3.5198606271777004</v>
      </c>
      <c r="W190" s="25" t="s">
        <v>120</v>
      </c>
      <c r="X190" s="5"/>
    </row>
    <row r="191" spans="1:24" ht="15.6" x14ac:dyDescent="0.3">
      <c r="A191" s="24"/>
      <c r="B191" s="25" t="s">
        <v>205</v>
      </c>
      <c r="C191" s="25"/>
      <c r="D191" s="25"/>
      <c r="E191" s="25"/>
      <c r="F191" s="25"/>
      <c r="G191" s="25"/>
      <c r="H191" s="25"/>
      <c r="I191" s="25"/>
      <c r="J191" s="25"/>
      <c r="K191" s="25"/>
      <c r="L191" s="25"/>
      <c r="M191" s="25"/>
      <c r="N191" s="25"/>
      <c r="O191" s="25"/>
      <c r="P191" s="25"/>
      <c r="Q191" s="25"/>
      <c r="R191" s="25"/>
      <c r="S191" s="25"/>
      <c r="T191" s="25"/>
      <c r="U191" s="25"/>
      <c r="V191" s="66">
        <v>3.81</v>
      </c>
      <c r="W191" s="25" t="s">
        <v>120</v>
      </c>
      <c r="X191" s="5"/>
    </row>
    <row r="192" spans="1:24"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25"/>
      <c r="W192" s="25"/>
      <c r="X192" s="5"/>
    </row>
    <row r="193" spans="1:24" ht="15.6" x14ac:dyDescent="0.3">
      <c r="A193" s="24"/>
      <c r="B193" s="25"/>
      <c r="C193" s="25"/>
      <c r="D193" s="25"/>
      <c r="E193" s="25"/>
      <c r="F193" s="25"/>
      <c r="G193" s="25"/>
      <c r="H193" s="25"/>
      <c r="I193" s="25"/>
      <c r="J193" s="25"/>
      <c r="K193" s="25"/>
      <c r="L193" s="25"/>
      <c r="M193" s="25"/>
      <c r="N193" s="25"/>
      <c r="O193" s="25"/>
      <c r="P193" s="25"/>
      <c r="Q193" s="25"/>
      <c r="R193" s="25"/>
      <c r="S193" s="25"/>
      <c r="T193" s="25"/>
      <c r="U193" s="25"/>
      <c r="V193" s="25"/>
      <c r="W193" s="25"/>
      <c r="X193" s="5"/>
    </row>
    <row r="194" spans="1:24" ht="15.6" x14ac:dyDescent="0.3">
      <c r="A194" s="6"/>
      <c r="B194" s="8"/>
      <c r="C194" s="8"/>
      <c r="D194" s="8"/>
      <c r="E194" s="8"/>
      <c r="F194" s="8"/>
      <c r="G194" s="8"/>
      <c r="H194" s="8"/>
      <c r="I194" s="8"/>
      <c r="J194" s="8"/>
      <c r="K194" s="8"/>
      <c r="L194" s="8"/>
      <c r="M194" s="8"/>
      <c r="N194" s="8"/>
      <c r="O194" s="8"/>
      <c r="P194" s="8"/>
      <c r="Q194" s="8"/>
      <c r="R194" s="8"/>
      <c r="S194" s="8"/>
      <c r="T194" s="8"/>
      <c r="U194" s="8"/>
      <c r="V194" s="8"/>
      <c r="W194" s="8"/>
      <c r="X194" s="5"/>
    </row>
    <row r="195" spans="1:24" ht="18" thickBot="1" x14ac:dyDescent="0.35">
      <c r="A195" s="101"/>
      <c r="B195" s="102" t="str">
        <f>B136</f>
        <v>PM12 INVESTOR REPORT QUARTER ENDING JULY 2008</v>
      </c>
      <c r="C195" s="165"/>
      <c r="D195" s="165"/>
      <c r="E195" s="165"/>
      <c r="F195" s="165"/>
      <c r="G195" s="165"/>
      <c r="H195" s="165"/>
      <c r="I195" s="165"/>
      <c r="J195" s="165"/>
      <c r="K195" s="165"/>
      <c r="L195" s="165"/>
      <c r="M195" s="165"/>
      <c r="N195" s="165"/>
      <c r="O195" s="165"/>
      <c r="P195" s="165"/>
      <c r="Q195" s="165"/>
      <c r="R195" s="165"/>
      <c r="S195" s="165"/>
      <c r="T195" s="165"/>
      <c r="U195" s="165"/>
      <c r="V195" s="165"/>
      <c r="W195" s="166"/>
      <c r="X195" s="5"/>
    </row>
    <row r="196" spans="1:24" ht="15.6" x14ac:dyDescent="0.3">
      <c r="A196" s="67"/>
      <c r="B196" s="60" t="s">
        <v>71</v>
      </c>
      <c r="C196" s="68"/>
      <c r="D196" s="68"/>
      <c r="E196" s="68"/>
      <c r="F196" s="68"/>
      <c r="G196" s="69"/>
      <c r="H196" s="69"/>
      <c r="I196" s="69"/>
      <c r="J196" s="69"/>
      <c r="K196" s="69"/>
      <c r="L196" s="69"/>
      <c r="M196" s="69"/>
      <c r="N196" s="69"/>
      <c r="O196" s="69"/>
      <c r="P196" s="69"/>
      <c r="Q196" s="69"/>
      <c r="R196" s="69"/>
      <c r="S196" s="69"/>
      <c r="T196" s="70">
        <v>39660</v>
      </c>
      <c r="U196" s="4"/>
      <c r="V196" s="4"/>
      <c r="W196" s="4"/>
      <c r="X196" s="5"/>
    </row>
    <row r="197" spans="1:24" ht="15.6" x14ac:dyDescent="0.3">
      <c r="A197" s="71"/>
      <c r="B197" s="72"/>
      <c r="C197" s="73"/>
      <c r="D197" s="73"/>
      <c r="E197" s="73"/>
      <c r="F197" s="73"/>
      <c r="G197" s="74"/>
      <c r="H197" s="74"/>
      <c r="I197" s="74"/>
      <c r="J197" s="74"/>
      <c r="K197" s="74"/>
      <c r="L197" s="74"/>
      <c r="M197" s="74"/>
      <c r="N197" s="74"/>
      <c r="O197" s="74"/>
      <c r="P197" s="74"/>
      <c r="Q197" s="74"/>
      <c r="R197" s="74"/>
      <c r="S197" s="74"/>
      <c r="T197" s="74"/>
      <c r="U197" s="8"/>
      <c r="V197" s="8"/>
      <c r="W197" s="8"/>
      <c r="X197" s="5"/>
    </row>
    <row r="198" spans="1:24" ht="15.6" x14ac:dyDescent="0.3">
      <c r="A198" s="75"/>
      <c r="B198" s="76" t="s">
        <v>72</v>
      </c>
      <c r="C198" s="77"/>
      <c r="D198" s="77"/>
      <c r="E198" s="77"/>
      <c r="F198" s="77"/>
      <c r="G198" s="64"/>
      <c r="H198" s="64"/>
      <c r="I198" s="64"/>
      <c r="J198" s="64"/>
      <c r="K198" s="64"/>
      <c r="L198" s="64"/>
      <c r="M198" s="64"/>
      <c r="N198" s="64"/>
      <c r="O198" s="64"/>
      <c r="P198" s="64"/>
      <c r="Q198" s="64"/>
      <c r="R198" s="64"/>
      <c r="S198" s="64"/>
      <c r="T198" s="78">
        <v>5.2060000000000002E-2</v>
      </c>
      <c r="U198" s="25"/>
      <c r="V198" s="25"/>
      <c r="W198" s="25"/>
      <c r="X198" s="5"/>
    </row>
    <row r="199" spans="1:24" ht="15.6" x14ac:dyDescent="0.3">
      <c r="A199" s="75"/>
      <c r="B199" s="76" t="s">
        <v>156</v>
      </c>
      <c r="C199" s="77"/>
      <c r="D199" s="77"/>
      <c r="E199" s="77"/>
      <c r="F199" s="77"/>
      <c r="G199" s="64"/>
      <c r="H199" s="64"/>
      <c r="I199" s="64"/>
      <c r="J199" s="64"/>
      <c r="K199" s="64"/>
      <c r="L199" s="64"/>
      <c r="M199" s="64"/>
      <c r="N199" s="64"/>
      <c r="O199" s="64"/>
      <c r="P199" s="64"/>
      <c r="Q199" s="64"/>
      <c r="R199" s="64"/>
      <c r="S199" s="64"/>
      <c r="T199" s="39">
        <f>'Oct 06'!T197</f>
        <v>4.8538814772447772E-2</v>
      </c>
      <c r="U199" s="25"/>
      <c r="V199" s="25"/>
      <c r="W199" s="25"/>
      <c r="X199" s="5"/>
    </row>
    <row r="200" spans="1:24" ht="15.6" x14ac:dyDescent="0.3">
      <c r="A200" s="75"/>
      <c r="B200" s="76" t="s">
        <v>73</v>
      </c>
      <c r="C200" s="77"/>
      <c r="D200" s="77"/>
      <c r="E200" s="77"/>
      <c r="F200" s="77"/>
      <c r="G200" s="64"/>
      <c r="H200" s="64"/>
      <c r="I200" s="64"/>
      <c r="J200" s="64"/>
      <c r="K200" s="64"/>
      <c r="L200" s="64"/>
      <c r="M200" s="64"/>
      <c r="N200" s="64"/>
      <c r="O200" s="64"/>
      <c r="P200" s="64"/>
      <c r="Q200" s="64"/>
      <c r="R200" s="64"/>
      <c r="S200" s="64"/>
      <c r="T200" s="78">
        <f>T198-T199</f>
        <v>3.5211852275522301E-3</v>
      </c>
      <c r="U200" s="25"/>
      <c r="V200" s="25"/>
      <c r="W200" s="25"/>
      <c r="X200" s="5"/>
    </row>
    <row r="201" spans="1:24" ht="15.6" x14ac:dyDescent="0.3">
      <c r="A201" s="75"/>
      <c r="B201" s="76" t="s">
        <v>74</v>
      </c>
      <c r="C201" s="77"/>
      <c r="D201" s="77"/>
      <c r="E201" s="77"/>
      <c r="F201" s="77"/>
      <c r="G201" s="64"/>
      <c r="H201" s="64"/>
      <c r="I201" s="64"/>
      <c r="J201" s="64"/>
      <c r="K201" s="64"/>
      <c r="L201" s="64"/>
      <c r="M201" s="64"/>
      <c r="N201" s="64"/>
      <c r="O201" s="64"/>
      <c r="P201" s="64"/>
      <c r="Q201" s="64"/>
      <c r="R201" s="64"/>
      <c r="S201" s="64"/>
      <c r="T201" s="78">
        <v>5.9330000000000001E-2</v>
      </c>
      <c r="U201" s="25"/>
      <c r="V201" s="25"/>
      <c r="W201" s="25"/>
      <c r="X201" s="5"/>
    </row>
    <row r="202" spans="1:24" ht="15.6" x14ac:dyDescent="0.3">
      <c r="A202" s="75"/>
      <c r="B202" s="76" t="s">
        <v>225</v>
      </c>
      <c r="C202" s="77"/>
      <c r="D202" s="77"/>
      <c r="E202" s="77"/>
      <c r="F202" s="77"/>
      <c r="G202" s="64"/>
      <c r="H202" s="64"/>
      <c r="I202" s="64"/>
      <c r="J202" s="64"/>
      <c r="K202" s="64"/>
      <c r="L202" s="64"/>
      <c r="M202" s="64"/>
      <c r="N202" s="64"/>
      <c r="O202" s="64"/>
      <c r="P202" s="64"/>
      <c r="Q202" s="64"/>
      <c r="R202" s="64"/>
      <c r="S202" s="64"/>
      <c r="T202" s="78">
        <f>V43</f>
        <v>6.0081694120030886E-2</v>
      </c>
      <c r="U202" s="25"/>
      <c r="V202" s="25"/>
      <c r="W202" s="25"/>
      <c r="X202" s="5"/>
    </row>
    <row r="203" spans="1:24" ht="15.6" x14ac:dyDescent="0.3">
      <c r="A203" s="75"/>
      <c r="B203" s="76" t="s">
        <v>75</v>
      </c>
      <c r="C203" s="77"/>
      <c r="D203" s="77"/>
      <c r="E203" s="77"/>
      <c r="F203" s="77"/>
      <c r="G203" s="64"/>
      <c r="H203" s="64"/>
      <c r="I203" s="64"/>
      <c r="J203" s="64"/>
      <c r="K203" s="64"/>
      <c r="L203" s="64"/>
      <c r="M203" s="64"/>
      <c r="N203" s="64"/>
      <c r="O203" s="64"/>
      <c r="P203" s="64"/>
      <c r="Q203" s="64"/>
      <c r="R203" s="64"/>
      <c r="S203" s="64"/>
      <c r="T203" s="78">
        <f>T201-T202</f>
        <v>-7.516941200308852E-4</v>
      </c>
      <c r="U203" s="25"/>
      <c r="V203" s="25"/>
      <c r="W203" s="25"/>
      <c r="X203" s="5"/>
    </row>
    <row r="204" spans="1:24" ht="15.6" x14ac:dyDescent="0.3">
      <c r="A204" s="75"/>
      <c r="B204" s="76" t="s">
        <v>271</v>
      </c>
      <c r="C204" s="77"/>
      <c r="D204" s="77"/>
      <c r="E204" s="77"/>
      <c r="F204" s="77"/>
      <c r="G204" s="64"/>
      <c r="H204" s="64"/>
      <c r="I204" s="64"/>
      <c r="J204" s="64"/>
      <c r="K204" s="64"/>
      <c r="L204" s="64"/>
      <c r="M204" s="64"/>
      <c r="N204" s="64"/>
      <c r="O204" s="64"/>
      <c r="P204" s="64"/>
      <c r="Q204" s="64"/>
      <c r="R204" s="64"/>
      <c r="S204" s="64"/>
      <c r="T204" s="78">
        <f>+V101/N72</f>
        <v>1.8466655205387962E-2</v>
      </c>
      <c r="U204" s="25"/>
      <c r="V204" s="25"/>
      <c r="W204" s="25"/>
      <c r="X204" s="5"/>
    </row>
    <row r="205" spans="1:24" ht="15.6" x14ac:dyDescent="0.3">
      <c r="A205" s="75"/>
      <c r="B205" s="76" t="s">
        <v>214</v>
      </c>
      <c r="C205" s="77"/>
      <c r="D205" s="77"/>
      <c r="E205" s="77"/>
      <c r="F205" s="77"/>
      <c r="G205" s="64"/>
      <c r="H205" s="64"/>
      <c r="I205" s="64"/>
      <c r="J205" s="64"/>
      <c r="K205" s="64"/>
      <c r="L205" s="64"/>
      <c r="M205" s="64"/>
      <c r="N205" s="64"/>
      <c r="O205" s="64"/>
      <c r="P205" s="64"/>
      <c r="Q205" s="64"/>
      <c r="R205" s="64"/>
      <c r="S205" s="64"/>
      <c r="T205" s="129">
        <v>50710</v>
      </c>
      <c r="U205" s="25"/>
      <c r="V205" s="25"/>
      <c r="W205" s="25"/>
      <c r="X205" s="5"/>
    </row>
    <row r="206" spans="1:24" ht="15.6" x14ac:dyDescent="0.3">
      <c r="A206" s="75"/>
      <c r="B206" s="76" t="s">
        <v>215</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216</v>
      </c>
      <c r="C207" s="77"/>
      <c r="D207" s="77"/>
      <c r="E207" s="77"/>
      <c r="F207" s="77"/>
      <c r="G207" s="64"/>
      <c r="H207" s="64"/>
      <c r="I207" s="64"/>
      <c r="J207" s="64"/>
      <c r="K207" s="64"/>
      <c r="L207" s="64"/>
      <c r="M207" s="64"/>
      <c r="N207" s="64"/>
      <c r="O207" s="64"/>
      <c r="P207" s="64"/>
      <c r="Q207" s="64"/>
      <c r="R207" s="64"/>
      <c r="S207" s="64"/>
      <c r="T207" s="129">
        <v>50710</v>
      </c>
      <c r="U207" s="25"/>
      <c r="V207" s="25"/>
      <c r="W207" s="25"/>
      <c r="X207" s="5"/>
    </row>
    <row r="208" spans="1:24" ht="15.6" x14ac:dyDescent="0.3">
      <c r="A208" s="75"/>
      <c r="B208" s="76" t="s">
        <v>76</v>
      </c>
      <c r="C208" s="77"/>
      <c r="D208" s="77"/>
      <c r="E208" s="77"/>
      <c r="F208" s="77"/>
      <c r="G208" s="64"/>
      <c r="H208" s="64"/>
      <c r="I208" s="64"/>
      <c r="J208" s="64"/>
      <c r="K208" s="64"/>
      <c r="L208" s="64"/>
      <c r="M208" s="64"/>
      <c r="N208" s="64"/>
      <c r="O208" s="64"/>
      <c r="P208" s="64"/>
      <c r="Q208" s="64"/>
      <c r="R208" s="64"/>
      <c r="S208" s="64"/>
      <c r="T208" s="133">
        <v>21.06</v>
      </c>
      <c r="U208" s="25" t="s">
        <v>115</v>
      </c>
      <c r="V208" s="25"/>
      <c r="W208" s="25"/>
      <c r="X208" s="5"/>
    </row>
    <row r="209" spans="1:24" ht="15.6" x14ac:dyDescent="0.3">
      <c r="A209" s="75"/>
      <c r="B209" s="76" t="s">
        <v>77</v>
      </c>
      <c r="C209" s="77"/>
      <c r="D209" s="77"/>
      <c r="E209" s="77"/>
      <c r="F209" s="77"/>
      <c r="G209" s="64"/>
      <c r="H209" s="64"/>
      <c r="I209" s="64"/>
      <c r="J209" s="64"/>
      <c r="K209" s="64"/>
      <c r="L209" s="64"/>
      <c r="M209" s="64"/>
      <c r="N209" s="64"/>
      <c r="O209" s="64"/>
      <c r="P209" s="64"/>
      <c r="Q209" s="64"/>
      <c r="R209" s="64"/>
      <c r="S209" s="64"/>
      <c r="T209" s="133">
        <v>19.149999999999999</v>
      </c>
      <c r="U209" s="25" t="s">
        <v>115</v>
      </c>
      <c r="V209" s="25"/>
      <c r="W209" s="25"/>
      <c r="X209" s="5"/>
    </row>
    <row r="210" spans="1:24" ht="15.6" x14ac:dyDescent="0.3">
      <c r="A210" s="75"/>
      <c r="B210" s="76" t="s">
        <v>78</v>
      </c>
      <c r="C210" s="77"/>
      <c r="D210" s="77"/>
      <c r="E210" s="77"/>
      <c r="F210" s="77"/>
      <c r="G210" s="64"/>
      <c r="H210" s="64"/>
      <c r="I210" s="64"/>
      <c r="J210" s="64"/>
      <c r="K210" s="64"/>
      <c r="L210" s="64"/>
      <c r="M210" s="64"/>
      <c r="N210" s="64"/>
      <c r="O210" s="64"/>
      <c r="P210" s="64"/>
      <c r="Q210" s="64"/>
      <c r="R210" s="64"/>
      <c r="S210" s="64"/>
      <c r="T210" s="78">
        <f>+P69/N69</f>
        <v>9.9918318582878904E-2</v>
      </c>
      <c r="U210" s="25"/>
      <c r="V210" s="25"/>
      <c r="W210" s="25"/>
      <c r="X210" s="5"/>
    </row>
    <row r="211" spans="1:24" ht="15.6" x14ac:dyDescent="0.3">
      <c r="A211" s="75"/>
      <c r="B211" s="76" t="s">
        <v>79</v>
      </c>
      <c r="C211" s="77"/>
      <c r="D211" s="77"/>
      <c r="E211" s="77"/>
      <c r="F211" s="77"/>
      <c r="G211" s="64"/>
      <c r="H211" s="64"/>
      <c r="I211" s="64"/>
      <c r="J211" s="64"/>
      <c r="K211" s="64"/>
      <c r="L211" s="64"/>
      <c r="M211" s="64"/>
      <c r="N211" s="64"/>
      <c r="O211" s="64"/>
      <c r="P211" s="64"/>
      <c r="Q211" s="64"/>
      <c r="R211" s="64"/>
      <c r="S211" s="64"/>
      <c r="T211" s="78">
        <v>0.14069999999999999</v>
      </c>
      <c r="U211" s="25"/>
      <c r="V211" s="25"/>
      <c r="W211" s="25"/>
      <c r="X211" s="5"/>
    </row>
    <row r="212" spans="1:24" ht="15.6" x14ac:dyDescent="0.3">
      <c r="A212" s="75"/>
      <c r="B212" s="76"/>
      <c r="C212" s="76"/>
      <c r="D212" s="76"/>
      <c r="E212" s="76"/>
      <c r="F212" s="76"/>
      <c r="G212" s="25"/>
      <c r="H212" s="25"/>
      <c r="I212" s="25"/>
      <c r="J212" s="25"/>
      <c r="K212" s="25"/>
      <c r="L212" s="25"/>
      <c r="M212" s="25"/>
      <c r="N212" s="25"/>
      <c r="O212" s="25"/>
      <c r="P212" s="25"/>
      <c r="Q212" s="25"/>
      <c r="R212" s="25"/>
      <c r="S212" s="25"/>
      <c r="T212" s="61"/>
      <c r="U212" s="25"/>
      <c r="V212" s="79"/>
      <c r="W212" s="25"/>
      <c r="X212" s="5"/>
    </row>
    <row r="213" spans="1:24" ht="15.6" x14ac:dyDescent="0.3">
      <c r="A213" s="80"/>
      <c r="B213" s="14" t="s">
        <v>80</v>
      </c>
      <c r="C213" s="81"/>
      <c r="D213" s="81"/>
      <c r="E213" s="81"/>
      <c r="F213" s="82"/>
      <c r="G213" s="81"/>
      <c r="H213" s="17"/>
      <c r="I213" s="17"/>
      <c r="J213" s="17"/>
      <c r="K213" s="17"/>
      <c r="L213" s="17"/>
      <c r="M213" s="17"/>
      <c r="N213" s="17"/>
      <c r="O213" s="17"/>
      <c r="P213" s="17"/>
      <c r="Q213" s="17"/>
      <c r="R213" s="17"/>
      <c r="S213" s="17" t="s">
        <v>104</v>
      </c>
      <c r="T213" s="83" t="s">
        <v>111</v>
      </c>
      <c r="U213" s="8"/>
      <c r="V213" s="8"/>
      <c r="W213" s="8"/>
      <c r="X213" s="5"/>
    </row>
    <row r="214" spans="1:24" ht="15.6" x14ac:dyDescent="0.3">
      <c r="A214" s="84"/>
      <c r="B214" s="76" t="s">
        <v>81</v>
      </c>
      <c r="C214" s="54"/>
      <c r="D214" s="54"/>
      <c r="E214" s="54"/>
      <c r="F214" s="25"/>
      <c r="G214" s="25"/>
      <c r="H214" s="30"/>
      <c r="I214" s="30"/>
      <c r="J214" s="30"/>
      <c r="K214" s="30"/>
      <c r="L214" s="30"/>
      <c r="M214" s="30"/>
      <c r="N214" s="30"/>
      <c r="O214" s="30"/>
      <c r="P214" s="30"/>
      <c r="Q214" s="30"/>
      <c r="R214" s="30"/>
      <c r="S214" s="30">
        <v>2</v>
      </c>
      <c r="T214" s="85">
        <v>320</v>
      </c>
      <c r="U214" s="25"/>
      <c r="V214" s="79"/>
      <c r="W214" s="86"/>
      <c r="X214" s="5"/>
    </row>
    <row r="215" spans="1:24" ht="15.6" x14ac:dyDescent="0.3">
      <c r="A215" s="84"/>
      <c r="B215" s="76" t="s">
        <v>150</v>
      </c>
      <c r="C215" s="54"/>
      <c r="D215" s="54"/>
      <c r="E215" s="54"/>
      <c r="F215" s="25"/>
      <c r="G215" s="25"/>
      <c r="H215" s="30"/>
      <c r="I215" s="30"/>
      <c r="J215" s="30"/>
      <c r="K215" s="30"/>
      <c r="L215" s="30"/>
      <c r="M215" s="30"/>
      <c r="N215" s="30"/>
      <c r="O215" s="30"/>
      <c r="P215" s="30"/>
      <c r="Q215" s="30"/>
      <c r="R215" s="30"/>
      <c r="S215" s="152">
        <f>+R255</f>
        <v>76</v>
      </c>
      <c r="T215" s="85">
        <f>+T255</f>
        <v>10526</v>
      </c>
      <c r="U215" s="25"/>
      <c r="V215" s="79"/>
      <c r="W215" s="86"/>
      <c r="X215" s="5"/>
    </row>
    <row r="216" spans="1:24" ht="15.6" x14ac:dyDescent="0.3">
      <c r="A216" s="84"/>
      <c r="B216" s="76" t="s">
        <v>82</v>
      </c>
      <c r="C216" s="54"/>
      <c r="D216" s="54"/>
      <c r="E216" s="54"/>
      <c r="F216" s="25"/>
      <c r="G216" s="25"/>
      <c r="H216" s="30"/>
      <c r="I216" s="30"/>
      <c r="J216" s="30"/>
      <c r="K216" s="30"/>
      <c r="L216" s="30"/>
      <c r="M216" s="30"/>
      <c r="N216" s="30"/>
      <c r="O216" s="30"/>
      <c r="P216" s="30"/>
      <c r="Q216" s="30"/>
      <c r="R216" s="30"/>
      <c r="S216" s="152">
        <f>+R267</f>
        <v>0</v>
      </c>
      <c r="T216" s="85">
        <f>+T267</f>
        <v>0</v>
      </c>
      <c r="U216" s="25"/>
      <c r="V216" s="79"/>
      <c r="W216" s="86"/>
      <c r="X216" s="5"/>
    </row>
    <row r="217" spans="1:24" ht="15.6" x14ac:dyDescent="0.3">
      <c r="A217" s="84"/>
      <c r="B217" s="122" t="s">
        <v>83</v>
      </c>
      <c r="C217" s="54"/>
      <c r="D217" s="54"/>
      <c r="E217" s="54"/>
      <c r="F217" s="25"/>
      <c r="G217" s="25"/>
      <c r="H217" s="25"/>
      <c r="I217" s="25"/>
      <c r="J217" s="25"/>
      <c r="K217" s="25"/>
      <c r="L217" s="25"/>
      <c r="M217" s="25"/>
      <c r="N217" s="25"/>
      <c r="O217" s="25"/>
      <c r="P217" s="25"/>
      <c r="Q217" s="25"/>
      <c r="R217" s="25"/>
      <c r="S217" s="25"/>
      <c r="T217" s="85">
        <v>0</v>
      </c>
      <c r="U217" s="25"/>
      <c r="V217" s="79"/>
      <c r="W217" s="86"/>
      <c r="X217" s="5"/>
    </row>
    <row r="218" spans="1:24" ht="15.6" x14ac:dyDescent="0.3">
      <c r="A218" s="84"/>
      <c r="B218" s="122" t="s">
        <v>84</v>
      </c>
      <c r="C218" s="54"/>
      <c r="D218" s="54"/>
      <c r="E218" s="54"/>
      <c r="F218" s="25"/>
      <c r="G218" s="25"/>
      <c r="H218" s="25"/>
      <c r="I218" s="25"/>
      <c r="J218" s="25"/>
      <c r="K218" s="25"/>
      <c r="L218" s="25"/>
      <c r="M218" s="25"/>
      <c r="N218" s="25"/>
      <c r="O218" s="25"/>
      <c r="P218" s="25"/>
      <c r="Q218" s="25"/>
      <c r="R218" s="25"/>
      <c r="S218" s="25"/>
      <c r="T218" s="62" t="s">
        <v>112</v>
      </c>
      <c r="U218" s="25"/>
      <c r="V218" s="79"/>
      <c r="W218" s="86"/>
      <c r="X218" s="5"/>
    </row>
    <row r="219" spans="1:24" ht="15.6" x14ac:dyDescent="0.3">
      <c r="A219" s="87"/>
      <c r="B219" s="122" t="s">
        <v>85</v>
      </c>
      <c r="C219" s="76"/>
      <c r="D219" s="76"/>
      <c r="E219" s="76"/>
      <c r="F219" s="76"/>
      <c r="G219" s="25"/>
      <c r="H219" s="25"/>
      <c r="I219" s="25"/>
      <c r="J219" s="25"/>
      <c r="K219" s="25"/>
      <c r="L219" s="25"/>
      <c r="M219" s="25"/>
      <c r="N219" s="25"/>
      <c r="O219" s="25"/>
      <c r="P219" s="25"/>
      <c r="Q219" s="25"/>
      <c r="R219" s="25"/>
      <c r="S219" s="25"/>
      <c r="T219" s="85"/>
      <c r="U219" s="25"/>
      <c r="V219" s="79"/>
      <c r="W219" s="88"/>
      <c r="X219" s="5"/>
    </row>
    <row r="220" spans="1:24" ht="15.6" x14ac:dyDescent="0.3">
      <c r="A220" s="87"/>
      <c r="B220" s="131" t="s">
        <v>86</v>
      </c>
      <c r="C220" s="76"/>
      <c r="D220" s="76"/>
      <c r="E220" s="76"/>
      <c r="F220" s="76"/>
      <c r="G220" s="25"/>
      <c r="H220" s="25"/>
      <c r="I220" s="25"/>
      <c r="J220" s="25"/>
      <c r="K220" s="25"/>
      <c r="L220" s="25"/>
      <c r="M220" s="25"/>
      <c r="N220" s="25"/>
      <c r="O220" s="25"/>
      <c r="P220" s="25"/>
      <c r="Q220" s="25"/>
      <c r="R220" s="25"/>
      <c r="S220" s="30"/>
      <c r="T220" s="85">
        <f>+V165</f>
        <v>1</v>
      </c>
      <c r="U220" s="25"/>
      <c r="V220" s="79"/>
      <c r="W220" s="88"/>
      <c r="X220" s="5"/>
    </row>
    <row r="221" spans="1:24" ht="15.6" x14ac:dyDescent="0.3">
      <c r="A221" s="84"/>
      <c r="B221" s="76" t="s">
        <v>87</v>
      </c>
      <c r="C221" s="54"/>
      <c r="D221" s="54"/>
      <c r="E221" s="54"/>
      <c r="F221" s="54"/>
      <c r="G221" s="25"/>
      <c r="H221" s="25"/>
      <c r="I221" s="25"/>
      <c r="J221" s="25"/>
      <c r="K221" s="25"/>
      <c r="L221" s="25"/>
      <c r="M221" s="25"/>
      <c r="N221" s="25"/>
      <c r="O221" s="25"/>
      <c r="P221" s="25"/>
      <c r="Q221" s="25"/>
      <c r="R221" s="25"/>
      <c r="S221" s="30"/>
      <c r="T221" s="85">
        <f>'April 08'!T221+'July 08'!T220</f>
        <v>143</v>
      </c>
      <c r="U221" s="25"/>
      <c r="V221" s="79"/>
      <c r="W221" s="88"/>
      <c r="X221" s="5"/>
    </row>
    <row r="222" spans="1:24" ht="15.6" x14ac:dyDescent="0.3">
      <c r="A222" s="87"/>
      <c r="B222" s="122" t="s">
        <v>292</v>
      </c>
      <c r="C222" s="76"/>
      <c r="D222" s="76"/>
      <c r="E222" s="76"/>
      <c r="F222" s="76"/>
      <c r="G222" s="25"/>
      <c r="H222" s="25"/>
      <c r="I222" s="25"/>
      <c r="J222" s="25"/>
      <c r="K222" s="25"/>
      <c r="L222" s="25"/>
      <c r="M222" s="25"/>
      <c r="N222" s="25"/>
      <c r="O222" s="25"/>
      <c r="P222" s="25"/>
      <c r="Q222" s="25"/>
      <c r="R222" s="25"/>
      <c r="S222" s="30"/>
      <c r="T222" s="85"/>
      <c r="U222" s="25"/>
      <c r="V222" s="79"/>
      <c r="W222" s="88"/>
      <c r="X222" s="5"/>
    </row>
    <row r="223" spans="1:24" ht="15.6" x14ac:dyDescent="0.3">
      <c r="A223" s="87"/>
      <c r="B223" s="76" t="s">
        <v>290</v>
      </c>
      <c r="C223" s="76"/>
      <c r="D223" s="76"/>
      <c r="E223" s="76"/>
      <c r="F223" s="76"/>
      <c r="G223" s="25"/>
      <c r="H223" s="25"/>
      <c r="I223" s="25"/>
      <c r="J223" s="25"/>
      <c r="K223" s="25"/>
      <c r="L223" s="25"/>
      <c r="M223" s="25"/>
      <c r="N223" s="25"/>
      <c r="O223" s="25"/>
      <c r="P223" s="25"/>
      <c r="Q223" s="25"/>
      <c r="R223" s="25"/>
      <c r="S223" s="30">
        <v>0</v>
      </c>
      <c r="T223" s="85">
        <v>0</v>
      </c>
      <c r="U223" s="25"/>
      <c r="V223" s="79"/>
      <c r="W223" s="88"/>
      <c r="X223" s="5"/>
    </row>
    <row r="224" spans="1:24" ht="15.6" x14ac:dyDescent="0.3">
      <c r="A224" s="84"/>
      <c r="B224" s="76" t="s">
        <v>88</v>
      </c>
      <c r="C224" s="89"/>
      <c r="D224" s="89"/>
      <c r="E224" s="89"/>
      <c r="F224" s="90"/>
      <c r="G224" s="25"/>
      <c r="H224" s="25"/>
      <c r="I224" s="25"/>
      <c r="J224" s="25"/>
      <c r="K224" s="25"/>
      <c r="L224" s="25"/>
      <c r="M224" s="25"/>
      <c r="N224" s="25"/>
      <c r="O224" s="25"/>
      <c r="P224" s="25"/>
      <c r="Q224" s="25"/>
      <c r="R224" s="25"/>
      <c r="S224" s="25"/>
      <c r="T224" s="62">
        <v>0</v>
      </c>
      <c r="U224" s="25"/>
      <c r="V224" s="79"/>
      <c r="W224" s="88"/>
      <c r="X224" s="5"/>
    </row>
    <row r="225" spans="1:25" ht="15.6" x14ac:dyDescent="0.3">
      <c r="A225" s="84"/>
      <c r="B225" s="76" t="s">
        <v>89</v>
      </c>
      <c r="C225" s="89"/>
      <c r="D225" s="89"/>
      <c r="E225" s="89"/>
      <c r="F225" s="90"/>
      <c r="G225" s="25"/>
      <c r="H225" s="25"/>
      <c r="I225" s="25"/>
      <c r="J225" s="25"/>
      <c r="K225" s="25"/>
      <c r="L225" s="25"/>
      <c r="M225" s="25"/>
      <c r="N225" s="25"/>
      <c r="O225" s="25"/>
      <c r="P225" s="25"/>
      <c r="Q225" s="25"/>
      <c r="R225" s="25"/>
      <c r="S225" s="25"/>
      <c r="T225" s="62">
        <v>0</v>
      </c>
      <c r="U225" s="25"/>
      <c r="V225" s="79"/>
      <c r="W225" s="88"/>
      <c r="X225" s="5"/>
    </row>
    <row r="226" spans="1:25" ht="15.6" x14ac:dyDescent="0.3">
      <c r="A226" s="84"/>
      <c r="B226" s="122" t="s">
        <v>223</v>
      </c>
      <c r="C226" s="89"/>
      <c r="D226" s="89"/>
      <c r="E226" s="89"/>
      <c r="F226" s="90"/>
      <c r="G226" s="25"/>
      <c r="H226" s="25"/>
      <c r="I226" s="25"/>
      <c r="J226" s="25"/>
      <c r="K226" s="25"/>
      <c r="L226" s="25"/>
      <c r="M226" s="25"/>
      <c r="N226" s="25"/>
      <c r="O226" s="25"/>
      <c r="P226" s="25"/>
      <c r="Q226" s="25"/>
      <c r="R226" s="25"/>
      <c r="S226" s="25"/>
      <c r="T226" s="91"/>
      <c r="U226" s="25"/>
      <c r="V226" s="79"/>
      <c r="W226" s="88"/>
      <c r="X226" s="5"/>
    </row>
    <row r="227" spans="1:25" ht="15.6" x14ac:dyDescent="0.3">
      <c r="A227" s="84"/>
      <c r="B227" s="76" t="s">
        <v>290</v>
      </c>
      <c r="C227" s="89"/>
      <c r="D227" s="89"/>
      <c r="E227" s="89"/>
      <c r="F227" s="90"/>
      <c r="G227" s="25"/>
      <c r="H227" s="25"/>
      <c r="I227" s="25"/>
      <c r="J227" s="25"/>
      <c r="K227" s="25"/>
      <c r="L227" s="25"/>
      <c r="M227" s="25"/>
      <c r="N227" s="25"/>
      <c r="O227" s="25"/>
      <c r="P227" s="25"/>
      <c r="Q227" s="25"/>
      <c r="R227" s="25"/>
      <c r="S227" s="30">
        <v>2</v>
      </c>
      <c r="T227" s="85">
        <v>205</v>
      </c>
      <c r="U227" s="25"/>
      <c r="V227" s="79"/>
      <c r="W227" s="88"/>
      <c r="X227" s="5"/>
    </row>
    <row r="228" spans="1:25" ht="15.6" x14ac:dyDescent="0.3">
      <c r="A228" s="84"/>
      <c r="B228" s="76" t="s">
        <v>224</v>
      </c>
      <c r="C228" s="89"/>
      <c r="D228" s="89"/>
      <c r="E228" s="89"/>
      <c r="F228" s="90"/>
      <c r="G228" s="25"/>
      <c r="H228" s="25"/>
      <c r="I228" s="25"/>
      <c r="J228" s="25"/>
      <c r="K228" s="25"/>
      <c r="L228" s="25"/>
      <c r="M228" s="25"/>
      <c r="N228" s="25"/>
      <c r="O228" s="25"/>
      <c r="P228" s="25"/>
      <c r="Q228" s="25"/>
      <c r="R228" s="25"/>
      <c r="S228" s="25"/>
      <c r="T228" s="62">
        <v>2.48</v>
      </c>
      <c r="U228" s="25"/>
      <c r="V228" s="79"/>
      <c r="W228" s="88"/>
      <c r="X228" s="5"/>
    </row>
    <row r="229" spans="1:25" ht="15.6" x14ac:dyDescent="0.3">
      <c r="A229" s="84"/>
      <c r="B229" s="76"/>
      <c r="C229" s="89"/>
      <c r="D229" s="89"/>
      <c r="E229" s="89"/>
      <c r="F229" s="90"/>
      <c r="G229" s="25"/>
      <c r="H229" s="25"/>
      <c r="I229" s="25"/>
      <c r="J229" s="25"/>
      <c r="K229" s="25"/>
      <c r="L229" s="25"/>
      <c r="M229" s="25"/>
      <c r="N229" s="25"/>
      <c r="O229" s="25"/>
      <c r="P229" s="25"/>
      <c r="Q229" s="25"/>
      <c r="R229" s="25"/>
      <c r="S229" s="25"/>
      <c r="T229" s="91"/>
      <c r="U229" s="25"/>
      <c r="V229" s="79"/>
      <c r="W229" s="88"/>
      <c r="X229" s="5"/>
    </row>
    <row r="230" spans="1:25" ht="15.6" x14ac:dyDescent="0.3">
      <c r="A230" s="84"/>
      <c r="B230" s="76"/>
      <c r="C230" s="89"/>
      <c r="D230" s="89"/>
      <c r="E230" s="89"/>
      <c r="F230" s="90"/>
      <c r="G230" s="25"/>
      <c r="H230" s="25"/>
      <c r="I230" s="25"/>
      <c r="J230" s="25"/>
      <c r="K230" s="25"/>
      <c r="L230" s="25"/>
      <c r="M230" s="25"/>
      <c r="N230" s="25"/>
      <c r="O230" s="25"/>
      <c r="P230" s="25"/>
      <c r="Q230" s="25"/>
      <c r="R230" s="25"/>
      <c r="S230" s="25"/>
      <c r="T230" s="91"/>
      <c r="U230" s="25"/>
      <c r="V230" s="79"/>
      <c r="W230" s="88"/>
      <c r="X230" s="5"/>
    </row>
    <row r="231" spans="1:25" ht="17.399999999999999" x14ac:dyDescent="0.3">
      <c r="A231" s="84"/>
      <c r="B231" s="149" t="s">
        <v>174</v>
      </c>
      <c r="C231" s="89"/>
      <c r="D231" s="89"/>
      <c r="E231" s="89"/>
      <c r="F231" s="90"/>
      <c r="G231" s="25"/>
      <c r="H231" s="25"/>
      <c r="I231" s="25"/>
      <c r="J231" s="25"/>
      <c r="K231" s="25"/>
      <c r="L231" s="25"/>
      <c r="M231" s="25"/>
      <c r="N231" s="25"/>
      <c r="O231" s="25"/>
      <c r="P231" s="150" t="s">
        <v>173</v>
      </c>
      <c r="Q231" s="25"/>
      <c r="R231" s="25"/>
      <c r="S231" s="25"/>
      <c r="T231" s="91"/>
      <c r="U231" s="25"/>
      <c r="V231" s="79"/>
      <c r="W231" s="88"/>
      <c r="X231" s="5"/>
    </row>
    <row r="232" spans="1:25" ht="15.6" x14ac:dyDescent="0.3">
      <c r="A232" s="84"/>
      <c r="B232" s="76"/>
      <c r="C232" s="89"/>
      <c r="D232" s="89"/>
      <c r="E232" s="89"/>
      <c r="F232" s="90"/>
      <c r="G232" s="25"/>
      <c r="H232" s="25"/>
      <c r="I232" s="25"/>
      <c r="J232" s="25"/>
      <c r="K232" s="25"/>
      <c r="L232" s="25"/>
      <c r="M232" s="25"/>
      <c r="N232" s="25"/>
      <c r="O232" s="25"/>
      <c r="P232" s="25"/>
      <c r="Q232" s="25"/>
      <c r="R232" s="25"/>
      <c r="S232" s="25"/>
      <c r="T232" s="91"/>
      <c r="U232" s="25"/>
      <c r="V232" s="79"/>
      <c r="W232" s="88"/>
      <c r="X232" s="5"/>
    </row>
    <row r="233" spans="1:25" ht="15.6" x14ac:dyDescent="0.3">
      <c r="A233" s="6"/>
      <c r="B233" s="14" t="s">
        <v>167</v>
      </c>
      <c r="C233" s="81"/>
      <c r="D233" s="81"/>
      <c r="E233" s="81"/>
      <c r="F233" s="82"/>
      <c r="G233" s="81"/>
      <c r="H233" s="17"/>
      <c r="I233" s="17"/>
      <c r="J233" s="17"/>
      <c r="K233" s="17"/>
      <c r="L233" s="17"/>
      <c r="M233" s="17"/>
      <c r="N233" s="17"/>
      <c r="O233" s="17"/>
      <c r="P233" s="17"/>
      <c r="Q233" s="17"/>
      <c r="R233" s="83" t="s">
        <v>104</v>
      </c>
      <c r="S233" s="17" t="s">
        <v>105</v>
      </c>
      <c r="T233" s="83" t="s">
        <v>113</v>
      </c>
      <c r="U233" s="17" t="s">
        <v>105</v>
      </c>
      <c r="V233" s="8"/>
      <c r="W233" s="92"/>
      <c r="X233" s="5"/>
    </row>
    <row r="234" spans="1:25" ht="15.6" x14ac:dyDescent="0.3">
      <c r="A234" s="24"/>
      <c r="B234" s="54" t="s">
        <v>90</v>
      </c>
      <c r="C234" s="93"/>
      <c r="D234" s="93"/>
      <c r="E234" s="93"/>
      <c r="F234" s="25"/>
      <c r="G234" s="93"/>
      <c r="H234" s="93"/>
      <c r="I234" s="93"/>
      <c r="J234" s="93"/>
      <c r="K234" s="93"/>
      <c r="L234" s="93"/>
      <c r="M234" s="93"/>
      <c r="N234" s="93"/>
      <c r="O234" s="93"/>
      <c r="P234" s="93"/>
      <c r="Q234" s="93"/>
      <c r="R234" s="54">
        <v>8294</v>
      </c>
      <c r="S234" s="94">
        <f t="shared" ref="S234:S241" si="1">R234/$R$243</f>
        <v>0.99222395023328147</v>
      </c>
      <c r="T234" s="53">
        <v>1120332</v>
      </c>
      <c r="U234" s="132">
        <f t="shared" ref="U234:U241" si="2">T234/$T$243</f>
        <v>0.99086463581922435</v>
      </c>
      <c r="V234" s="79"/>
      <c r="W234" s="88"/>
      <c r="X234" s="5"/>
    </row>
    <row r="235" spans="1:25" ht="15.6" x14ac:dyDescent="0.3">
      <c r="A235" s="24"/>
      <c r="B235" s="54" t="s">
        <v>91</v>
      </c>
      <c r="C235" s="93"/>
      <c r="D235" s="93"/>
      <c r="E235" s="93"/>
      <c r="F235" s="25"/>
      <c r="G235" s="94"/>
      <c r="H235" s="93"/>
      <c r="I235" s="93"/>
      <c r="J235" s="93"/>
      <c r="K235" s="93"/>
      <c r="L235" s="93"/>
      <c r="M235" s="93"/>
      <c r="N235" s="93"/>
      <c r="O235" s="93"/>
      <c r="P235" s="93"/>
      <c r="Q235" s="93"/>
      <c r="R235" s="54">
        <v>36</v>
      </c>
      <c r="S235" s="94">
        <f t="shared" si="1"/>
        <v>4.3067352554133267E-3</v>
      </c>
      <c r="T235" s="53">
        <v>5242</v>
      </c>
      <c r="U235" s="132">
        <f t="shared" si="2"/>
        <v>4.6362260659914868E-3</v>
      </c>
      <c r="V235" s="79"/>
      <c r="W235" s="88"/>
      <c r="X235" s="5"/>
      <c r="Y235" s="109"/>
    </row>
    <row r="236" spans="1:25" ht="15.6" x14ac:dyDescent="0.3">
      <c r="A236" s="24"/>
      <c r="B236" s="54" t="s">
        <v>92</v>
      </c>
      <c r="C236" s="93"/>
      <c r="D236" s="93"/>
      <c r="E236" s="93"/>
      <c r="F236" s="25"/>
      <c r="G236" s="94"/>
      <c r="H236" s="93"/>
      <c r="I236" s="93"/>
      <c r="J236" s="93"/>
      <c r="K236" s="93"/>
      <c r="L236" s="93"/>
      <c r="M236" s="93"/>
      <c r="N236" s="93"/>
      <c r="O236" s="93"/>
      <c r="P236" s="93"/>
      <c r="Q236" s="93"/>
      <c r="R236" s="54">
        <v>26</v>
      </c>
      <c r="S236" s="94">
        <f t="shared" si="1"/>
        <v>3.1104199066874028E-3</v>
      </c>
      <c r="T236" s="53">
        <v>4775</v>
      </c>
      <c r="U236" s="132">
        <f t="shared" si="2"/>
        <v>4.2231933355798071E-3</v>
      </c>
      <c r="V236" s="79"/>
      <c r="W236" s="88"/>
      <c r="X236" s="5"/>
    </row>
    <row r="237" spans="1:25" ht="15.6" x14ac:dyDescent="0.3">
      <c r="A237" s="24"/>
      <c r="B237" s="54" t="s">
        <v>161</v>
      </c>
      <c r="C237" s="93"/>
      <c r="D237" s="93"/>
      <c r="E237" s="93"/>
      <c r="F237" s="25"/>
      <c r="G237" s="94"/>
      <c r="H237" s="93"/>
      <c r="I237" s="93"/>
      <c r="J237" s="93"/>
      <c r="K237" s="93"/>
      <c r="L237" s="93"/>
      <c r="M237" s="93"/>
      <c r="N237" s="93"/>
      <c r="O237" s="93"/>
      <c r="P237" s="93"/>
      <c r="Q237" s="93"/>
      <c r="R237" s="54">
        <v>1</v>
      </c>
      <c r="S237" s="94">
        <f t="shared" si="1"/>
        <v>1.1963153487259242E-4</v>
      </c>
      <c r="T237" s="53">
        <v>165</v>
      </c>
      <c r="U237" s="132">
        <f t="shared" si="2"/>
        <v>1.4593233515616087E-4</v>
      </c>
      <c r="V237" s="79"/>
      <c r="W237" s="88"/>
      <c r="X237" s="5"/>
      <c r="Y237" s="109"/>
    </row>
    <row r="238" spans="1:25" ht="15.6" x14ac:dyDescent="0.3">
      <c r="A238" s="24"/>
      <c r="B238" s="54" t="s">
        <v>162</v>
      </c>
      <c r="C238" s="93"/>
      <c r="D238" s="93"/>
      <c r="E238" s="93"/>
      <c r="F238" s="25"/>
      <c r="G238" s="94"/>
      <c r="H238" s="93"/>
      <c r="I238" s="93"/>
      <c r="J238" s="93"/>
      <c r="K238" s="93"/>
      <c r="L238" s="93"/>
      <c r="M238" s="93"/>
      <c r="N238" s="93"/>
      <c r="O238" s="93"/>
      <c r="P238" s="93"/>
      <c r="Q238" s="93"/>
      <c r="R238" s="54">
        <v>1</v>
      </c>
      <c r="S238" s="94">
        <f t="shared" si="1"/>
        <v>1.1963153487259242E-4</v>
      </c>
      <c r="T238" s="53">
        <v>77</v>
      </c>
      <c r="U238" s="132">
        <f t="shared" si="2"/>
        <v>6.8101756406208398E-5</v>
      </c>
      <c r="V238" s="79"/>
      <c r="W238" s="88"/>
      <c r="X238" s="5"/>
    </row>
    <row r="239" spans="1:25" ht="15.6" x14ac:dyDescent="0.3">
      <c r="A239" s="24"/>
      <c r="B239" s="54" t="s">
        <v>163</v>
      </c>
      <c r="C239" s="93"/>
      <c r="D239" s="93"/>
      <c r="E239" s="93"/>
      <c r="F239" s="25"/>
      <c r="G239" s="94"/>
      <c r="H239" s="93"/>
      <c r="I239" s="93"/>
      <c r="J239" s="93"/>
      <c r="K239" s="93"/>
      <c r="L239" s="93"/>
      <c r="M239" s="93"/>
      <c r="N239" s="93"/>
      <c r="O239" s="93"/>
      <c r="P239" s="93"/>
      <c r="Q239" s="93"/>
      <c r="R239" s="54">
        <v>0</v>
      </c>
      <c r="S239" s="94">
        <f t="shared" si="1"/>
        <v>0</v>
      </c>
      <c r="T239" s="53">
        <v>0</v>
      </c>
      <c r="U239" s="132">
        <f t="shared" si="2"/>
        <v>0</v>
      </c>
      <c r="V239" s="79"/>
      <c r="W239" s="88"/>
      <c r="X239" s="5"/>
      <c r="Y239" s="109"/>
    </row>
    <row r="240" spans="1:25" ht="15.6" x14ac:dyDescent="0.3">
      <c r="A240" s="24"/>
      <c r="B240" s="54" t="s">
        <v>164</v>
      </c>
      <c r="C240" s="93"/>
      <c r="D240" s="93"/>
      <c r="E240" s="93"/>
      <c r="F240" s="25"/>
      <c r="G240" s="94"/>
      <c r="H240" s="93"/>
      <c r="I240" s="93"/>
      <c r="J240" s="93"/>
      <c r="K240" s="93"/>
      <c r="L240" s="93"/>
      <c r="M240" s="93"/>
      <c r="N240" s="93"/>
      <c r="O240" s="93"/>
      <c r="P240" s="93"/>
      <c r="Q240" s="93"/>
      <c r="R240" s="54">
        <v>1</v>
      </c>
      <c r="S240" s="94">
        <f t="shared" si="1"/>
        <v>1.1963153487259242E-4</v>
      </c>
      <c r="T240" s="53">
        <v>70</v>
      </c>
      <c r="U240" s="132">
        <f t="shared" si="2"/>
        <v>6.1910687642007634E-5</v>
      </c>
      <c r="V240" s="79"/>
      <c r="W240" s="88"/>
      <c r="X240" s="5"/>
    </row>
    <row r="241" spans="1:25" ht="15.6" x14ac:dyDescent="0.3">
      <c r="A241" s="24"/>
      <c r="B241" s="54" t="s">
        <v>165</v>
      </c>
      <c r="C241" s="93"/>
      <c r="D241" s="93"/>
      <c r="E241" s="93"/>
      <c r="F241" s="25"/>
      <c r="G241" s="94"/>
      <c r="H241" s="93"/>
      <c r="I241" s="93"/>
      <c r="J241" s="93"/>
      <c r="K241" s="93"/>
      <c r="L241" s="93"/>
      <c r="M241" s="93"/>
      <c r="N241" s="93"/>
      <c r="O241" s="93"/>
      <c r="P241" s="93"/>
      <c r="Q241" s="93"/>
      <c r="R241" s="54">
        <v>0</v>
      </c>
      <c r="S241" s="94">
        <f t="shared" si="1"/>
        <v>0</v>
      </c>
      <c r="T241" s="53">
        <v>0</v>
      </c>
      <c r="U241" s="132">
        <f t="shared" si="2"/>
        <v>0</v>
      </c>
      <c r="V241" s="79"/>
      <c r="W241" s="88"/>
      <c r="X241" s="5"/>
      <c r="Y241" s="109"/>
    </row>
    <row r="242" spans="1:25" ht="15.6" x14ac:dyDescent="0.3">
      <c r="A242" s="24"/>
      <c r="B242" s="54"/>
      <c r="C242" s="93"/>
      <c r="D242" s="93"/>
      <c r="E242" s="93"/>
      <c r="F242" s="25"/>
      <c r="G242" s="94"/>
      <c r="H242" s="93"/>
      <c r="I242" s="93"/>
      <c r="J242" s="93"/>
      <c r="K242" s="93"/>
      <c r="L242" s="93"/>
      <c r="M242" s="93"/>
      <c r="N242" s="93"/>
      <c r="O242" s="93"/>
      <c r="P242" s="93"/>
      <c r="Q242" s="93"/>
      <c r="R242" s="54"/>
      <c r="S242" s="94"/>
      <c r="T242" s="53"/>
      <c r="U242" s="132"/>
      <c r="V242" s="79"/>
      <c r="W242" s="88"/>
      <c r="X242" s="5"/>
    </row>
    <row r="243" spans="1:25" ht="15.6" x14ac:dyDescent="0.3">
      <c r="A243" s="24"/>
      <c r="B243" s="25" t="s">
        <v>119</v>
      </c>
      <c r="C243" s="25"/>
      <c r="D243" s="25"/>
      <c r="E243" s="25"/>
      <c r="F243" s="25"/>
      <c r="G243" s="25"/>
      <c r="H243" s="95"/>
      <c r="I243" s="95"/>
      <c r="J243" s="95"/>
      <c r="K243" s="95"/>
      <c r="L243" s="95"/>
      <c r="M243" s="95"/>
      <c r="N243" s="95"/>
      <c r="O243" s="95"/>
      <c r="P243" s="95"/>
      <c r="Q243" s="95"/>
      <c r="R243" s="34">
        <f>SUM(R234:R242)</f>
        <v>8359</v>
      </c>
      <c r="S243" s="132">
        <f>SUM(S234:S242)</f>
        <v>1</v>
      </c>
      <c r="T243" s="53">
        <f>SUM(T234:T242)</f>
        <v>1130661</v>
      </c>
      <c r="U243" s="132">
        <f>SUM(U234:U242)</f>
        <v>1</v>
      </c>
      <c r="V243" s="25"/>
      <c r="W243" s="25"/>
      <c r="X243" s="5"/>
    </row>
    <row r="244" spans="1:25" ht="15.6" x14ac:dyDescent="0.3">
      <c r="A244" s="24"/>
      <c r="B244" s="25"/>
      <c r="C244" s="25"/>
      <c r="D244" s="25"/>
      <c r="E244" s="25"/>
      <c r="F244" s="25"/>
      <c r="G244" s="25"/>
      <c r="H244" s="95"/>
      <c r="I244" s="95"/>
      <c r="J244" s="95"/>
      <c r="K244" s="95"/>
      <c r="L244" s="95"/>
      <c r="M244" s="95"/>
      <c r="N244" s="95"/>
      <c r="O244" s="95"/>
      <c r="P244" s="95"/>
      <c r="Q244" s="95"/>
      <c r="R244" s="34"/>
      <c r="S244" s="132"/>
      <c r="T244" s="53"/>
      <c r="U244" s="132"/>
      <c r="V244" s="25"/>
      <c r="W244" s="25"/>
      <c r="X244" s="5"/>
    </row>
    <row r="245" spans="1:25" ht="15.6" x14ac:dyDescent="0.3">
      <c r="A245" s="141"/>
      <c r="B245" s="14" t="s">
        <v>283</v>
      </c>
      <c r="C245" s="81"/>
      <c r="D245" s="81"/>
      <c r="E245" s="81"/>
      <c r="F245" s="82"/>
      <c r="G245" s="81"/>
      <c r="H245" s="17"/>
      <c r="I245" s="17"/>
      <c r="J245" s="17"/>
      <c r="K245" s="17"/>
      <c r="L245" s="17"/>
      <c r="M245" s="17"/>
      <c r="N245" s="17"/>
      <c r="O245" s="17"/>
      <c r="P245" s="17"/>
      <c r="Q245" s="17"/>
      <c r="R245" s="83" t="s">
        <v>104</v>
      </c>
      <c r="S245" s="17" t="s">
        <v>105</v>
      </c>
      <c r="T245" s="83" t="s">
        <v>113</v>
      </c>
      <c r="U245" s="17" t="s">
        <v>105</v>
      </c>
      <c r="V245" s="139"/>
      <c r="W245" s="140"/>
      <c r="X245" s="5"/>
    </row>
    <row r="246" spans="1:25" ht="15.6" x14ac:dyDescent="0.3">
      <c r="A246" s="24"/>
      <c r="B246" s="54" t="s">
        <v>90</v>
      </c>
      <c r="C246" s="93"/>
      <c r="D246" s="93"/>
      <c r="E246" s="93"/>
      <c r="F246" s="25"/>
      <c r="G246" s="93"/>
      <c r="H246" s="93"/>
      <c r="I246" s="93"/>
      <c r="J246" s="93"/>
      <c r="K246" s="93"/>
      <c r="L246" s="93"/>
      <c r="M246" s="93"/>
      <c r="N246" s="93"/>
      <c r="O246" s="93"/>
      <c r="P246" s="93"/>
      <c r="Q246" s="93"/>
      <c r="R246" s="54">
        <v>4</v>
      </c>
      <c r="S246" s="94">
        <f t="shared" ref="S246:S253" si="3">R246/$R$255</f>
        <v>5.2631578947368418E-2</v>
      </c>
      <c r="T246" s="53">
        <v>627</v>
      </c>
      <c r="U246" s="132">
        <f t="shared" ref="U246:U253" si="4">T246/$T$255</f>
        <v>5.9566787003610108E-2</v>
      </c>
      <c r="V246" s="25"/>
      <c r="W246" s="25"/>
      <c r="X246" s="5"/>
    </row>
    <row r="247" spans="1:25" ht="15.6" x14ac:dyDescent="0.3">
      <c r="A247" s="24"/>
      <c r="B247" s="54" t="s">
        <v>91</v>
      </c>
      <c r="C247" s="93"/>
      <c r="D247" s="93"/>
      <c r="E247" s="93"/>
      <c r="F247" s="25"/>
      <c r="G247" s="94"/>
      <c r="H247" s="93"/>
      <c r="I247" s="93"/>
      <c r="J247" s="93"/>
      <c r="K247" s="93"/>
      <c r="L247" s="93"/>
      <c r="M247" s="93"/>
      <c r="N247" s="93"/>
      <c r="O247" s="93"/>
      <c r="P247" s="93"/>
      <c r="Q247" s="93"/>
      <c r="R247" s="54">
        <v>29</v>
      </c>
      <c r="S247" s="94">
        <f t="shared" si="3"/>
        <v>0.38157894736842107</v>
      </c>
      <c r="T247" s="53">
        <v>3816</v>
      </c>
      <c r="U247" s="132">
        <f t="shared" si="4"/>
        <v>0.36253087592627781</v>
      </c>
      <c r="V247" s="25"/>
      <c r="W247" s="25"/>
      <c r="X247" s="5"/>
    </row>
    <row r="248" spans="1:25" ht="15.6" x14ac:dyDescent="0.3">
      <c r="A248" s="24"/>
      <c r="B248" s="54" t="s">
        <v>92</v>
      </c>
      <c r="C248" s="93"/>
      <c r="D248" s="93"/>
      <c r="E248" s="93"/>
      <c r="F248" s="25"/>
      <c r="G248" s="94"/>
      <c r="H248" s="93"/>
      <c r="I248" s="93"/>
      <c r="J248" s="93"/>
      <c r="K248" s="93"/>
      <c r="L248" s="93"/>
      <c r="M248" s="93"/>
      <c r="N248" s="93"/>
      <c r="O248" s="93"/>
      <c r="P248" s="93"/>
      <c r="Q248" s="93"/>
      <c r="R248" s="54">
        <v>8</v>
      </c>
      <c r="S248" s="94">
        <f t="shared" si="3"/>
        <v>0.10526315789473684</v>
      </c>
      <c r="T248" s="53">
        <v>1253</v>
      </c>
      <c r="U248" s="132">
        <f t="shared" si="4"/>
        <v>0.11903857115713472</v>
      </c>
      <c r="V248" s="25"/>
      <c r="W248" s="25"/>
      <c r="X248" s="5"/>
    </row>
    <row r="249" spans="1:25" ht="15.6" x14ac:dyDescent="0.3">
      <c r="A249" s="24"/>
      <c r="B249" s="54" t="s">
        <v>161</v>
      </c>
      <c r="C249" s="93"/>
      <c r="D249" s="93"/>
      <c r="E249" s="93"/>
      <c r="F249" s="25"/>
      <c r="G249" s="94"/>
      <c r="H249" s="93"/>
      <c r="I249" s="93"/>
      <c r="J249" s="93"/>
      <c r="K249" s="93"/>
      <c r="L249" s="93"/>
      <c r="M249" s="93"/>
      <c r="N249" s="93"/>
      <c r="O249" s="93"/>
      <c r="P249" s="93"/>
      <c r="Q249" s="93"/>
      <c r="R249" s="54">
        <v>14</v>
      </c>
      <c r="S249" s="94">
        <f t="shared" si="3"/>
        <v>0.18421052631578946</v>
      </c>
      <c r="T249" s="53">
        <v>2118</v>
      </c>
      <c r="U249" s="132">
        <f t="shared" si="4"/>
        <v>0.20121603648109443</v>
      </c>
      <c r="V249" s="25"/>
      <c r="W249" s="25"/>
      <c r="X249" s="5"/>
    </row>
    <row r="250" spans="1:25" ht="15.6" x14ac:dyDescent="0.3">
      <c r="A250" s="24"/>
      <c r="B250" s="54" t="s">
        <v>162</v>
      </c>
      <c r="C250" s="93"/>
      <c r="D250" s="93"/>
      <c r="E250" s="93"/>
      <c r="F250" s="25"/>
      <c r="G250" s="94"/>
      <c r="H250" s="93"/>
      <c r="I250" s="93"/>
      <c r="J250" s="93"/>
      <c r="K250" s="93"/>
      <c r="L250" s="93"/>
      <c r="M250" s="93"/>
      <c r="N250" s="93"/>
      <c r="O250" s="93"/>
      <c r="P250" s="93"/>
      <c r="Q250" s="93"/>
      <c r="R250" s="54">
        <v>7</v>
      </c>
      <c r="S250" s="94">
        <f t="shared" si="3"/>
        <v>9.2105263157894732E-2</v>
      </c>
      <c r="T250" s="53">
        <v>1084</v>
      </c>
      <c r="U250" s="132">
        <f t="shared" si="4"/>
        <v>0.10298308949268478</v>
      </c>
      <c r="V250" s="25"/>
      <c r="W250" s="25"/>
      <c r="X250" s="5"/>
    </row>
    <row r="251" spans="1:25" ht="15.6" x14ac:dyDescent="0.3">
      <c r="A251" s="24"/>
      <c r="B251" s="54" t="s">
        <v>163</v>
      </c>
      <c r="C251" s="93"/>
      <c r="D251" s="93"/>
      <c r="E251" s="93"/>
      <c r="F251" s="25"/>
      <c r="G251" s="94"/>
      <c r="H251" s="93"/>
      <c r="I251" s="93"/>
      <c r="J251" s="93"/>
      <c r="K251" s="93"/>
      <c r="L251" s="93"/>
      <c r="M251" s="93"/>
      <c r="N251" s="93"/>
      <c r="O251" s="93"/>
      <c r="P251" s="93"/>
      <c r="Q251" s="93"/>
      <c r="R251" s="54">
        <v>5</v>
      </c>
      <c r="S251" s="94">
        <f t="shared" si="3"/>
        <v>6.5789473684210523E-2</v>
      </c>
      <c r="T251" s="53">
        <v>558</v>
      </c>
      <c r="U251" s="132">
        <f t="shared" si="4"/>
        <v>5.3011590347710434E-2</v>
      </c>
      <c r="V251" s="25"/>
      <c r="W251" s="25"/>
      <c r="X251" s="5"/>
    </row>
    <row r="252" spans="1:25" ht="15.6" x14ac:dyDescent="0.3">
      <c r="A252" s="24"/>
      <c r="B252" s="54" t="s">
        <v>164</v>
      </c>
      <c r="C252" s="93"/>
      <c r="D252" s="93"/>
      <c r="E252" s="93"/>
      <c r="F252" s="25"/>
      <c r="G252" s="94"/>
      <c r="H252" s="93"/>
      <c r="I252" s="93"/>
      <c r="J252" s="93"/>
      <c r="K252" s="93"/>
      <c r="L252" s="93"/>
      <c r="M252" s="93"/>
      <c r="N252" s="93"/>
      <c r="O252" s="93"/>
      <c r="P252" s="93"/>
      <c r="Q252" s="93"/>
      <c r="R252" s="54">
        <v>6</v>
      </c>
      <c r="S252" s="94">
        <f t="shared" si="3"/>
        <v>7.8947368421052627E-2</v>
      </c>
      <c r="T252" s="53">
        <v>722</v>
      </c>
      <c r="U252" s="132">
        <f t="shared" si="4"/>
        <v>6.8592057761732855E-2</v>
      </c>
      <c r="V252" s="25"/>
      <c r="W252" s="25"/>
      <c r="X252" s="5"/>
    </row>
    <row r="253" spans="1:25" ht="15.6" x14ac:dyDescent="0.3">
      <c r="A253" s="24"/>
      <c r="B253" s="54" t="s">
        <v>165</v>
      </c>
      <c r="C253" s="93"/>
      <c r="D253" s="93"/>
      <c r="E253" s="93"/>
      <c r="F253" s="25"/>
      <c r="G253" s="94"/>
      <c r="H253" s="93"/>
      <c r="I253" s="93"/>
      <c r="J253" s="93"/>
      <c r="K253" s="93"/>
      <c r="L253" s="93"/>
      <c r="M253" s="93"/>
      <c r="N253" s="93"/>
      <c r="O253" s="93"/>
      <c r="P253" s="93"/>
      <c r="Q253" s="93"/>
      <c r="R253" s="54">
        <v>3</v>
      </c>
      <c r="S253" s="94">
        <f t="shared" si="3"/>
        <v>3.9473684210526314E-2</v>
      </c>
      <c r="T253" s="53">
        <v>348</v>
      </c>
      <c r="U253" s="132">
        <f t="shared" si="4"/>
        <v>3.3060991829754895E-2</v>
      </c>
      <c r="V253" s="25"/>
      <c r="W253" s="25"/>
      <c r="X253" s="5"/>
    </row>
    <row r="254" spans="1:25" ht="15.6" x14ac:dyDescent="0.3">
      <c r="A254" s="24"/>
      <c r="B254" s="54"/>
      <c r="C254" s="93"/>
      <c r="D254" s="93"/>
      <c r="E254" s="93"/>
      <c r="F254" s="25"/>
      <c r="G254" s="94"/>
      <c r="H254" s="93"/>
      <c r="I254" s="93"/>
      <c r="J254" s="93"/>
      <c r="K254" s="93"/>
      <c r="L254" s="93"/>
      <c r="M254" s="93"/>
      <c r="N254" s="93"/>
      <c r="O254" s="93"/>
      <c r="P254" s="93"/>
      <c r="Q254" s="93"/>
      <c r="R254" s="54"/>
      <c r="S254" s="94"/>
      <c r="T254" s="53"/>
      <c r="U254" s="132"/>
      <c r="V254" s="25"/>
      <c r="W254" s="25"/>
      <c r="X254" s="5"/>
    </row>
    <row r="255" spans="1:25" ht="15.6" x14ac:dyDescent="0.3">
      <c r="A255" s="24"/>
      <c r="B255" s="25" t="s">
        <v>119</v>
      </c>
      <c r="C255" s="25"/>
      <c r="D255" s="25"/>
      <c r="E255" s="25"/>
      <c r="F255" s="25"/>
      <c r="G255" s="25"/>
      <c r="H255" s="95"/>
      <c r="I255" s="95"/>
      <c r="J255" s="95"/>
      <c r="K255" s="95"/>
      <c r="L255" s="95"/>
      <c r="M255" s="95"/>
      <c r="N255" s="95"/>
      <c r="O255" s="95"/>
      <c r="P255" s="95"/>
      <c r="Q255" s="95"/>
      <c r="R255" s="34">
        <f>SUM(R246:R254)</f>
        <v>76</v>
      </c>
      <c r="S255" s="132">
        <f>SUM(S246:S254)</f>
        <v>1</v>
      </c>
      <c r="T255" s="53">
        <f>SUM(T246:T254)</f>
        <v>10526</v>
      </c>
      <c r="U255" s="132">
        <f>SUM(U246:U254)</f>
        <v>0.99999999999999989</v>
      </c>
      <c r="V255" s="25"/>
      <c r="W255" s="25"/>
      <c r="X255" s="5"/>
    </row>
    <row r="256" spans="1:25" ht="15.6" x14ac:dyDescent="0.3">
      <c r="A256" s="24"/>
      <c r="B256" s="25"/>
      <c r="C256" s="25"/>
      <c r="D256" s="25"/>
      <c r="E256" s="25"/>
      <c r="F256" s="25"/>
      <c r="G256" s="25"/>
      <c r="H256" s="95"/>
      <c r="I256" s="95"/>
      <c r="J256" s="95"/>
      <c r="K256" s="95"/>
      <c r="L256" s="95"/>
      <c r="M256" s="95"/>
      <c r="N256" s="95"/>
      <c r="O256" s="95"/>
      <c r="P256" s="95"/>
      <c r="Q256" s="95"/>
      <c r="R256" s="34"/>
      <c r="S256" s="132"/>
      <c r="T256" s="53"/>
      <c r="U256" s="132"/>
      <c r="V256" s="25"/>
      <c r="W256" s="25"/>
      <c r="X256" s="5"/>
    </row>
    <row r="257" spans="1:24" ht="15.6" x14ac:dyDescent="0.3">
      <c r="A257" s="141"/>
      <c r="B257" s="14" t="s">
        <v>169</v>
      </c>
      <c r="C257" s="139"/>
      <c r="D257" s="139"/>
      <c r="E257" s="139"/>
      <c r="F257" s="139"/>
      <c r="G257" s="139"/>
      <c r="H257" s="145"/>
      <c r="I257" s="145"/>
      <c r="J257" s="145"/>
      <c r="K257" s="145"/>
      <c r="L257" s="145"/>
      <c r="M257" s="145"/>
      <c r="N257" s="145"/>
      <c r="O257" s="145"/>
      <c r="P257" s="145"/>
      <c r="Q257" s="145"/>
      <c r="R257" s="83" t="s">
        <v>104</v>
      </c>
      <c r="S257" s="17" t="s">
        <v>105</v>
      </c>
      <c r="T257" s="83" t="s">
        <v>113</v>
      </c>
      <c r="U257" s="17" t="s">
        <v>105</v>
      </c>
      <c r="V257" s="139"/>
      <c r="W257" s="140"/>
      <c r="X257" s="5"/>
    </row>
    <row r="258" spans="1:24" ht="15.6" x14ac:dyDescent="0.3">
      <c r="A258" s="24"/>
      <c r="B258" s="54" t="s">
        <v>90</v>
      </c>
      <c r="C258" s="25"/>
      <c r="D258" s="25"/>
      <c r="E258" s="25"/>
      <c r="F258" s="25"/>
      <c r="G258" s="25"/>
      <c r="H258" s="95"/>
      <c r="I258" s="95"/>
      <c r="J258" s="95"/>
      <c r="K258" s="95"/>
      <c r="L258" s="95"/>
      <c r="M258" s="95"/>
      <c r="N258" s="95"/>
      <c r="O258" s="95"/>
      <c r="P258" s="95"/>
      <c r="Q258" s="95"/>
      <c r="R258" s="54">
        <v>0</v>
      </c>
      <c r="S258" s="94">
        <v>0</v>
      </c>
      <c r="T258" s="53">
        <v>0</v>
      </c>
      <c r="U258" s="94">
        <v>0</v>
      </c>
      <c r="V258" s="25"/>
      <c r="W258" s="25"/>
      <c r="X258" s="5"/>
    </row>
    <row r="259" spans="1:24" ht="15.6" x14ac:dyDescent="0.3">
      <c r="A259" s="24"/>
      <c r="B259" s="54" t="s">
        <v>91</v>
      </c>
      <c r="C259" s="25"/>
      <c r="D259" s="25"/>
      <c r="E259" s="25"/>
      <c r="F259" s="25"/>
      <c r="G259" s="25"/>
      <c r="H259" s="95"/>
      <c r="I259" s="95"/>
      <c r="J259" s="95"/>
      <c r="K259" s="95"/>
      <c r="L259" s="95"/>
      <c r="M259" s="95"/>
      <c r="N259" s="95"/>
      <c r="O259" s="95"/>
      <c r="P259" s="95"/>
      <c r="Q259" s="95"/>
      <c r="R259" s="54">
        <v>0</v>
      </c>
      <c r="S259" s="94">
        <v>0</v>
      </c>
      <c r="T259" s="53">
        <v>0</v>
      </c>
      <c r="U259" s="94">
        <v>0</v>
      </c>
      <c r="V259" s="25"/>
      <c r="W259" s="25"/>
      <c r="X259" s="5"/>
    </row>
    <row r="260" spans="1:24" ht="15.6" x14ac:dyDescent="0.3">
      <c r="A260" s="24"/>
      <c r="B260" s="54" t="s">
        <v>92</v>
      </c>
      <c r="C260" s="25"/>
      <c r="D260" s="25"/>
      <c r="E260" s="25"/>
      <c r="F260" s="25"/>
      <c r="G260" s="25"/>
      <c r="H260" s="95"/>
      <c r="I260" s="95"/>
      <c r="J260" s="95"/>
      <c r="K260" s="95"/>
      <c r="L260" s="95"/>
      <c r="M260" s="95"/>
      <c r="N260" s="95"/>
      <c r="O260" s="95"/>
      <c r="P260" s="95"/>
      <c r="Q260" s="95"/>
      <c r="R260" s="54">
        <v>0</v>
      </c>
      <c r="S260" s="94">
        <v>0</v>
      </c>
      <c r="T260" s="53">
        <v>0</v>
      </c>
      <c r="U260" s="94">
        <v>0</v>
      </c>
      <c r="V260" s="25"/>
      <c r="W260" s="25"/>
      <c r="X260" s="5"/>
    </row>
    <row r="261" spans="1:24" ht="15.6" x14ac:dyDescent="0.3">
      <c r="A261" s="24"/>
      <c r="B261" s="54" t="s">
        <v>161</v>
      </c>
      <c r="C261" s="25"/>
      <c r="D261" s="25"/>
      <c r="E261" s="25"/>
      <c r="F261" s="25"/>
      <c r="G261" s="25"/>
      <c r="H261" s="95"/>
      <c r="I261" s="95"/>
      <c r="J261" s="95"/>
      <c r="K261" s="95"/>
      <c r="L261" s="95"/>
      <c r="M261" s="95"/>
      <c r="N261" s="95"/>
      <c r="O261" s="95"/>
      <c r="P261" s="95"/>
      <c r="Q261" s="95"/>
      <c r="R261" s="54">
        <v>0</v>
      </c>
      <c r="S261" s="94">
        <v>0</v>
      </c>
      <c r="T261" s="53">
        <v>0</v>
      </c>
      <c r="U261" s="94">
        <v>0</v>
      </c>
      <c r="V261" s="25"/>
      <c r="W261" s="25"/>
      <c r="X261" s="5"/>
    </row>
    <row r="262" spans="1:24" ht="15.6" x14ac:dyDescent="0.3">
      <c r="A262" s="24"/>
      <c r="B262" s="54" t="s">
        <v>162</v>
      </c>
      <c r="C262" s="25"/>
      <c r="D262" s="25"/>
      <c r="E262" s="25"/>
      <c r="F262" s="25"/>
      <c r="G262" s="25"/>
      <c r="H262" s="95"/>
      <c r="I262" s="95"/>
      <c r="J262" s="95"/>
      <c r="K262" s="95"/>
      <c r="L262" s="95"/>
      <c r="M262" s="95"/>
      <c r="N262" s="95"/>
      <c r="O262" s="95"/>
      <c r="P262" s="95"/>
      <c r="Q262" s="95"/>
      <c r="R262" s="54">
        <v>0</v>
      </c>
      <c r="S262" s="94">
        <v>0</v>
      </c>
      <c r="T262" s="53">
        <v>0</v>
      </c>
      <c r="U262" s="94">
        <v>0</v>
      </c>
      <c r="V262" s="25"/>
      <c r="W262" s="25"/>
      <c r="X262" s="5"/>
    </row>
    <row r="263" spans="1:24" ht="15.6" x14ac:dyDescent="0.3">
      <c r="A263" s="24"/>
      <c r="B263" s="54" t="s">
        <v>163</v>
      </c>
      <c r="C263" s="25"/>
      <c r="D263" s="25"/>
      <c r="E263" s="25"/>
      <c r="F263" s="25"/>
      <c r="G263" s="25"/>
      <c r="H263" s="95"/>
      <c r="I263" s="95"/>
      <c r="J263" s="95"/>
      <c r="K263" s="95"/>
      <c r="L263" s="95"/>
      <c r="M263" s="95"/>
      <c r="N263" s="95"/>
      <c r="O263" s="95"/>
      <c r="P263" s="95"/>
      <c r="Q263" s="95"/>
      <c r="R263" s="54">
        <v>0</v>
      </c>
      <c r="S263" s="94">
        <v>0</v>
      </c>
      <c r="T263" s="53">
        <v>0</v>
      </c>
      <c r="U263" s="94">
        <v>0</v>
      </c>
      <c r="V263" s="25"/>
      <c r="W263" s="25"/>
      <c r="X263" s="5"/>
    </row>
    <row r="264" spans="1:24" ht="15.6" x14ac:dyDescent="0.3">
      <c r="A264" s="24"/>
      <c r="B264" s="54" t="s">
        <v>164</v>
      </c>
      <c r="C264" s="25"/>
      <c r="D264" s="25"/>
      <c r="E264" s="25"/>
      <c r="F264" s="25"/>
      <c r="G264" s="25"/>
      <c r="H264" s="95"/>
      <c r="I264" s="95"/>
      <c r="J264" s="95"/>
      <c r="K264" s="95"/>
      <c r="L264" s="95"/>
      <c r="M264" s="95"/>
      <c r="N264" s="95"/>
      <c r="O264" s="95"/>
      <c r="P264" s="95"/>
      <c r="Q264" s="95"/>
      <c r="R264" s="54">
        <v>0</v>
      </c>
      <c r="S264" s="94">
        <v>0</v>
      </c>
      <c r="T264" s="53">
        <v>0</v>
      </c>
      <c r="U264" s="94">
        <v>0</v>
      </c>
      <c r="V264" s="25"/>
      <c r="W264" s="25"/>
      <c r="X264" s="5"/>
    </row>
    <row r="265" spans="1:24" ht="15.6" x14ac:dyDescent="0.3">
      <c r="A265" s="24"/>
      <c r="B265" s="54" t="s">
        <v>165</v>
      </c>
      <c r="C265" s="25"/>
      <c r="D265" s="25"/>
      <c r="E265" s="25"/>
      <c r="F265" s="25"/>
      <c r="G265" s="25"/>
      <c r="H265" s="95"/>
      <c r="I265" s="95"/>
      <c r="J265" s="95"/>
      <c r="K265" s="95"/>
      <c r="L265" s="95"/>
      <c r="M265" s="95"/>
      <c r="N265" s="95"/>
      <c r="O265" s="95"/>
      <c r="P265" s="95"/>
      <c r="Q265" s="95"/>
      <c r="R265" s="54">
        <v>0</v>
      </c>
      <c r="S265" s="94">
        <v>0</v>
      </c>
      <c r="T265" s="53">
        <v>0</v>
      </c>
      <c r="U265" s="94">
        <v>0</v>
      </c>
      <c r="V265" s="25"/>
      <c r="W265" s="25"/>
      <c r="X265" s="5"/>
    </row>
    <row r="266" spans="1:24" ht="15.6" x14ac:dyDescent="0.3">
      <c r="A266" s="24"/>
      <c r="B266" s="54"/>
      <c r="C266" s="25"/>
      <c r="D266" s="25"/>
      <c r="E266" s="25"/>
      <c r="F266" s="25"/>
      <c r="G266" s="25"/>
      <c r="H266" s="95"/>
      <c r="I266" s="95"/>
      <c r="J266" s="95"/>
      <c r="K266" s="95"/>
      <c r="L266" s="95"/>
      <c r="M266" s="95"/>
      <c r="N266" s="95"/>
      <c r="O266" s="95"/>
      <c r="P266" s="95"/>
      <c r="Q266" s="95"/>
      <c r="R266" s="54"/>
      <c r="S266" s="94"/>
      <c r="T266" s="53"/>
      <c r="U266" s="132"/>
      <c r="V266" s="25"/>
      <c r="W266" s="25"/>
      <c r="X266" s="5"/>
    </row>
    <row r="267" spans="1:24" ht="15.6" x14ac:dyDescent="0.3">
      <c r="A267" s="24"/>
      <c r="B267" s="25" t="s">
        <v>119</v>
      </c>
      <c r="C267" s="25"/>
      <c r="D267" s="25"/>
      <c r="E267" s="25"/>
      <c r="F267" s="25"/>
      <c r="G267" s="25"/>
      <c r="H267" s="95"/>
      <c r="I267" s="95"/>
      <c r="J267" s="95"/>
      <c r="K267" s="95"/>
      <c r="L267" s="95"/>
      <c r="M267" s="95"/>
      <c r="N267" s="95"/>
      <c r="O267" s="95"/>
      <c r="P267" s="95"/>
      <c r="Q267" s="95"/>
      <c r="R267" s="34">
        <f>SUM(R258:R265)</f>
        <v>0</v>
      </c>
      <c r="S267" s="132">
        <f>SUM(S258:S266)</f>
        <v>0</v>
      </c>
      <c r="T267" s="53">
        <f>SUM(T258:T265)</f>
        <v>0</v>
      </c>
      <c r="U267" s="132">
        <f>SUM(U258:U266)</f>
        <v>0</v>
      </c>
      <c r="V267" s="25"/>
      <c r="W267" s="25"/>
      <c r="X267" s="5"/>
    </row>
    <row r="268" spans="1:24" ht="15.6" x14ac:dyDescent="0.3">
      <c r="A268" s="24"/>
      <c r="B268" s="25"/>
      <c r="C268" s="25"/>
      <c r="D268" s="25"/>
      <c r="E268" s="25"/>
      <c r="F268" s="25"/>
      <c r="G268" s="25"/>
      <c r="H268" s="95"/>
      <c r="I268" s="95"/>
      <c r="J268" s="95"/>
      <c r="K268" s="95"/>
      <c r="L268" s="95"/>
      <c r="M268" s="95"/>
      <c r="N268" s="95"/>
      <c r="O268" s="95"/>
      <c r="P268" s="95"/>
      <c r="Q268" s="95"/>
      <c r="R268" s="34"/>
      <c r="S268" s="132"/>
      <c r="T268" s="53"/>
      <c r="U268" s="132"/>
      <c r="V268" s="25"/>
      <c r="W268" s="25"/>
      <c r="X268" s="5"/>
    </row>
    <row r="269" spans="1:24" ht="15.6" x14ac:dyDescent="0.3">
      <c r="A269" s="24"/>
      <c r="B269" s="142" t="s">
        <v>170</v>
      </c>
      <c r="C269" s="25"/>
      <c r="D269" s="25"/>
      <c r="E269" s="25"/>
      <c r="F269" s="25"/>
      <c r="G269" s="25"/>
      <c r="H269" s="95"/>
      <c r="I269" s="95"/>
      <c r="J269" s="95"/>
      <c r="K269" s="95"/>
      <c r="L269" s="95"/>
      <c r="M269" s="95"/>
      <c r="N269" s="95"/>
      <c r="O269" s="95"/>
      <c r="P269" s="95"/>
      <c r="Q269" s="95"/>
      <c r="R269" s="161">
        <f>R267+R255+R243</f>
        <v>8435</v>
      </c>
      <c r="S269" s="143"/>
      <c r="T269" s="144">
        <f>+T267+T255+T243</f>
        <v>1141187</v>
      </c>
      <c r="U269" s="143"/>
      <c r="V269" s="25"/>
      <c r="W269" s="25"/>
      <c r="X269" s="5"/>
    </row>
    <row r="270" spans="1:24" ht="15.6" x14ac:dyDescent="0.3">
      <c r="A270" s="24"/>
      <c r="B270" s="25"/>
      <c r="C270" s="25"/>
      <c r="D270" s="25"/>
      <c r="E270" s="25"/>
      <c r="F270" s="25"/>
      <c r="G270" s="25"/>
      <c r="H270" s="95"/>
      <c r="I270" s="95"/>
      <c r="J270" s="95"/>
      <c r="K270" s="95"/>
      <c r="L270" s="95"/>
      <c r="M270" s="95"/>
      <c r="N270" s="95"/>
      <c r="O270" s="95"/>
      <c r="P270" s="95"/>
      <c r="Q270" s="95"/>
      <c r="R270" s="95"/>
      <c r="S270" s="95"/>
      <c r="T270" s="53"/>
      <c r="U270" s="95"/>
      <c r="V270" s="25"/>
      <c r="W270" s="25"/>
      <c r="X270" s="5"/>
    </row>
    <row r="271" spans="1:24" ht="15.6" x14ac:dyDescent="0.3">
      <c r="A271" s="6"/>
      <c r="B271" s="8"/>
      <c r="C271" s="8"/>
      <c r="D271" s="8"/>
      <c r="E271" s="8"/>
      <c r="F271" s="8"/>
      <c r="G271" s="8"/>
      <c r="H271" s="96"/>
      <c r="I271" s="96"/>
      <c r="J271" s="96"/>
      <c r="K271" s="96"/>
      <c r="L271" s="96"/>
      <c r="M271" s="96"/>
      <c r="N271" s="96"/>
      <c r="O271" s="96"/>
      <c r="P271" s="96"/>
      <c r="Q271" s="96"/>
      <c r="R271" s="96"/>
      <c r="S271" s="96"/>
      <c r="T271" s="97"/>
      <c r="U271" s="96"/>
      <c r="V271" s="8"/>
      <c r="W271" s="8"/>
      <c r="X271" s="5"/>
    </row>
    <row r="272" spans="1:24" ht="15.6" x14ac:dyDescent="0.3">
      <c r="A272" s="167"/>
      <c r="B272" s="14" t="s">
        <v>93</v>
      </c>
      <c r="C272" s="15"/>
      <c r="D272" s="15"/>
      <c r="E272" s="15"/>
      <c r="F272" s="17" t="s">
        <v>99</v>
      </c>
      <c r="G272" s="15"/>
      <c r="H272" s="14" t="s">
        <v>101</v>
      </c>
      <c r="I272" s="162"/>
      <c r="J272" s="162"/>
      <c r="K272" s="162"/>
      <c r="L272" s="162"/>
      <c r="M272" s="162"/>
      <c r="N272" s="162"/>
      <c r="O272" s="162"/>
      <c r="P272" s="162"/>
      <c r="Q272" s="162"/>
      <c r="R272" s="162"/>
      <c r="S272" s="162"/>
      <c r="T272" s="162"/>
      <c r="U272" s="162"/>
      <c r="V272" s="162"/>
      <c r="W272" s="162"/>
      <c r="X272" s="5"/>
    </row>
    <row r="273" spans="1:24" ht="15.6" x14ac:dyDescent="0.3">
      <c r="A273" s="167"/>
      <c r="B273" s="162"/>
      <c r="C273" s="8"/>
      <c r="D273" s="8"/>
      <c r="E273" s="8"/>
      <c r="F273" s="8"/>
      <c r="G273" s="8"/>
      <c r="H273" s="8"/>
      <c r="I273" s="162"/>
      <c r="J273" s="162"/>
      <c r="K273" s="162"/>
      <c r="L273" s="162"/>
      <c r="M273" s="162"/>
      <c r="N273" s="162"/>
      <c r="O273" s="162"/>
      <c r="P273" s="162"/>
      <c r="Q273" s="162"/>
      <c r="R273" s="162"/>
      <c r="S273" s="162"/>
      <c r="T273" s="162"/>
      <c r="U273" s="162"/>
      <c r="V273" s="162"/>
      <c r="W273" s="162"/>
      <c r="X273" s="5"/>
    </row>
    <row r="274" spans="1:24" ht="15.6" x14ac:dyDescent="0.3">
      <c r="A274" s="167"/>
      <c r="B274" s="13" t="s">
        <v>94</v>
      </c>
      <c r="C274" s="13"/>
      <c r="D274" s="13"/>
      <c r="E274" s="13"/>
      <c r="F274" s="130" t="s">
        <v>153</v>
      </c>
      <c r="G274" s="13"/>
      <c r="H274" s="13" t="s">
        <v>157</v>
      </c>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277</v>
      </c>
      <c r="C275" s="13"/>
      <c r="D275" s="13"/>
      <c r="E275" s="13"/>
      <c r="F275" s="130" t="s">
        <v>278</v>
      </c>
      <c r="G275" s="13"/>
      <c r="H275" s="13" t="s">
        <v>279</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t="s">
        <v>95</v>
      </c>
      <c r="C276" s="13"/>
      <c r="D276" s="13"/>
      <c r="E276" s="13"/>
      <c r="F276" s="130" t="s">
        <v>152</v>
      </c>
      <c r="G276" s="13"/>
      <c r="H276" s="13" t="s">
        <v>158</v>
      </c>
      <c r="I276" s="162"/>
      <c r="J276" s="162"/>
      <c r="K276" s="162"/>
      <c r="L276" s="162"/>
      <c r="M276" s="162"/>
      <c r="N276" s="162"/>
      <c r="O276" s="162"/>
      <c r="P276" s="162"/>
      <c r="Q276" s="162"/>
      <c r="R276" s="162"/>
      <c r="S276" s="162"/>
      <c r="T276" s="162"/>
      <c r="U276" s="162"/>
      <c r="V276" s="162"/>
      <c r="W276" s="162"/>
      <c r="X276" s="5"/>
    </row>
    <row r="277" spans="1:24" ht="15.6" x14ac:dyDescent="0.3">
      <c r="A277" s="167"/>
      <c r="B277" s="13"/>
      <c r="C277" s="13"/>
      <c r="D277" s="13"/>
      <c r="E277" s="13"/>
      <c r="F277" s="13"/>
      <c r="G277" s="99"/>
      <c r="H277" s="162"/>
      <c r="I277" s="162"/>
      <c r="J277" s="162"/>
      <c r="K277" s="162"/>
      <c r="L277" s="162"/>
      <c r="M277" s="162"/>
      <c r="N277" s="162"/>
      <c r="O277" s="162"/>
      <c r="P277" s="162"/>
      <c r="Q277" s="162"/>
      <c r="R277" s="162"/>
      <c r="S277" s="162"/>
      <c r="T277" s="162"/>
      <c r="U277" s="162"/>
      <c r="V277" s="162"/>
      <c r="W277" s="162"/>
      <c r="X277" s="5"/>
    </row>
    <row r="278" spans="1:24" ht="18" thickBot="1" x14ac:dyDescent="0.35">
      <c r="A278" s="167"/>
      <c r="B278" s="49" t="str">
        <f>B195</f>
        <v>PM12 INVESTOR REPORT QUARTER ENDING JULY 2008</v>
      </c>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x14ac:dyDescent="0.25">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row>
  </sheetData>
  <phoneticPr fontId="0" type="noConversion"/>
  <hyperlinks>
    <hyperlink ref="P231" r:id="rId1" xr:uid="{00000000-0004-0000-0700-000000000000}"/>
    <hyperlink ref="I9" r:id="rId2" xr:uid="{00000000-0004-0000-07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6" max="14" man="1"/>
    <brk id="195" max="14"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9CB31"/>
  </sheetPr>
  <dimension ref="A1:Y279"/>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0.63890000000000002</v>
      </c>
      <c r="T16" s="17" t="s">
        <v>145</v>
      </c>
      <c r="U16" s="137">
        <v>0.36109999999999998</v>
      </c>
      <c r="V16" s="16"/>
      <c r="W16" s="15"/>
      <c r="X16" s="5"/>
    </row>
    <row r="17" spans="1:25"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5" ht="15.6" x14ac:dyDescent="0.3">
      <c r="A18" s="6"/>
      <c r="B18" s="14" t="s">
        <v>5</v>
      </c>
      <c r="C18" s="15"/>
      <c r="D18" s="15"/>
      <c r="E18" s="15"/>
      <c r="F18" s="15"/>
      <c r="G18" s="15"/>
      <c r="H18" s="15"/>
      <c r="I18" s="15"/>
      <c r="J18" s="15"/>
      <c r="K18" s="15"/>
      <c r="L18" s="15"/>
      <c r="M18" s="15"/>
      <c r="N18" s="15"/>
      <c r="O18" s="15"/>
      <c r="P18" s="15"/>
      <c r="Q18" s="15"/>
      <c r="R18" s="15"/>
      <c r="S18" s="15"/>
      <c r="T18" s="15"/>
      <c r="U18" s="15"/>
      <c r="V18" s="19">
        <v>39776</v>
      </c>
      <c r="W18" s="15"/>
      <c r="X18" s="5"/>
      <c r="Y18" s="170"/>
    </row>
    <row r="19" spans="1:25"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5"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5"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5"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5"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5"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5"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5"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5"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5"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5"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5"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5"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5" ht="15.6" x14ac:dyDescent="0.3">
      <c r="A32" s="24"/>
      <c r="B32" s="25" t="s">
        <v>137</v>
      </c>
      <c r="C32" s="32"/>
      <c r="D32" s="146">
        <f>D31*D38</f>
        <v>1085176.6499999999</v>
      </c>
      <c r="E32" s="32"/>
      <c r="F32" s="31">
        <f>F31*F38</f>
        <v>104900.45299999999</v>
      </c>
      <c r="G32" s="31"/>
      <c r="H32" s="124">
        <f>H31*H38</f>
        <v>177245.59299999999</v>
      </c>
      <c r="I32" s="124"/>
      <c r="J32" s="146">
        <f>J31*J38</f>
        <v>224993.29209999999</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1033275.4500000001</v>
      </c>
      <c r="E33" s="36"/>
      <c r="F33" s="35">
        <f>F37*F31</f>
        <v>99883.337</v>
      </c>
      <c r="G33" s="35"/>
      <c r="H33" s="125">
        <f>H31*H37</f>
        <v>168768.397</v>
      </c>
      <c r="I33" s="125"/>
      <c r="J33" s="151">
        <f>J37*J31</f>
        <v>214232.44330000001</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589769.63538870006</v>
      </c>
      <c r="E35" s="32"/>
      <c r="F35" s="31">
        <f>F34*F38</f>
        <v>104900.45299999999</v>
      </c>
      <c r="G35" s="31"/>
      <c r="H35" s="31">
        <f>H34*H38</f>
        <v>122238.6892524</v>
      </c>
      <c r="I35" s="31"/>
      <c r="J35" s="31">
        <f>J34*J38</f>
        <v>122279.1518242</v>
      </c>
      <c r="K35" s="31"/>
      <c r="L35" s="31">
        <f>+L34</f>
        <v>25000</v>
      </c>
      <c r="M35" s="31"/>
      <c r="N35" s="31">
        <f>+N34</f>
        <v>86897</v>
      </c>
      <c r="O35" s="31"/>
      <c r="P35" s="31">
        <f>+P34</f>
        <v>17000</v>
      </c>
      <c r="Q35" s="31"/>
      <c r="R35" s="31">
        <f>+R34</f>
        <v>73103</v>
      </c>
      <c r="S35" s="31"/>
      <c r="T35" s="31"/>
      <c r="U35" s="164"/>
      <c r="V35" s="154">
        <f>SUM(C35:R35)-1</f>
        <v>1141186.9294652999</v>
      </c>
      <c r="W35" s="34"/>
      <c r="X35" s="5"/>
    </row>
    <row r="36" spans="1:24" ht="15.6" x14ac:dyDescent="0.3">
      <c r="A36" s="28"/>
      <c r="B36" s="29" t="s">
        <v>295</v>
      </c>
      <c r="C36" s="126"/>
      <c r="D36" s="35">
        <f>D34*D37</f>
        <v>561562.47501509998</v>
      </c>
      <c r="E36" s="36"/>
      <c r="F36" s="35">
        <f>F34*F37</f>
        <v>99883.337</v>
      </c>
      <c r="G36" s="35"/>
      <c r="H36" s="35">
        <f>H34*H37</f>
        <v>116392.3304796</v>
      </c>
      <c r="I36" s="35"/>
      <c r="J36" s="35">
        <f>J34*J37</f>
        <v>116430.85540660001</v>
      </c>
      <c r="K36" s="35"/>
      <c r="L36" s="35">
        <f>+L34</f>
        <v>25000</v>
      </c>
      <c r="M36" s="35"/>
      <c r="N36" s="35">
        <f>+N34</f>
        <v>86897</v>
      </c>
      <c r="O36" s="35"/>
      <c r="P36" s="35">
        <f>+P34</f>
        <v>17000</v>
      </c>
      <c r="Q36" s="35"/>
      <c r="R36" s="35">
        <f>+R34</f>
        <v>73103</v>
      </c>
      <c r="S36" s="128"/>
      <c r="T36" s="128"/>
      <c r="U36" s="164"/>
      <c r="V36" s="155">
        <f>SUM(C36:R36)</f>
        <v>1096268.9979013</v>
      </c>
      <c r="W36" s="34"/>
      <c r="X36" s="5"/>
    </row>
    <row r="37" spans="1:24" ht="15.6" x14ac:dyDescent="0.3">
      <c r="A37" s="24"/>
      <c r="B37" s="122" t="s">
        <v>135</v>
      </c>
      <c r="C37" s="25"/>
      <c r="D37" s="168">
        <v>0.68885030000000003</v>
      </c>
      <c r="E37" s="169"/>
      <c r="F37" s="168">
        <v>0.68885059999999998</v>
      </c>
      <c r="G37" s="168"/>
      <c r="H37" s="168">
        <v>0.68885059999999998</v>
      </c>
      <c r="I37" s="168"/>
      <c r="J37" s="168">
        <v>0.68885030000000003</v>
      </c>
      <c r="K37" s="168"/>
      <c r="L37" s="168">
        <v>1</v>
      </c>
      <c r="M37" s="168"/>
      <c r="N37" s="168">
        <v>1</v>
      </c>
      <c r="O37" s="168"/>
      <c r="P37" s="168">
        <v>1</v>
      </c>
      <c r="Q37" s="168"/>
      <c r="R37" s="168">
        <v>1</v>
      </c>
      <c r="S37" s="30"/>
      <c r="T37" s="30"/>
      <c r="U37" s="163"/>
      <c r="V37" s="163"/>
      <c r="W37" s="25"/>
      <c r="X37" s="5"/>
    </row>
    <row r="38" spans="1:24" ht="15.6" x14ac:dyDescent="0.3">
      <c r="A38" s="24"/>
      <c r="B38" s="122" t="s">
        <v>136</v>
      </c>
      <c r="C38" s="25"/>
      <c r="D38" s="168">
        <v>0.72345110000000001</v>
      </c>
      <c r="E38" s="169"/>
      <c r="F38" s="168">
        <v>0.72345139999999997</v>
      </c>
      <c r="G38" s="168"/>
      <c r="H38" s="168">
        <v>0.72345139999999997</v>
      </c>
      <c r="I38" s="168"/>
      <c r="J38" s="168">
        <v>0.72345110000000001</v>
      </c>
      <c r="K38" s="168"/>
      <c r="L38" s="168">
        <v>1</v>
      </c>
      <c r="M38" s="168"/>
      <c r="N38" s="168">
        <v>1</v>
      </c>
      <c r="O38" s="168"/>
      <c r="P38" s="168">
        <v>1</v>
      </c>
      <c r="Q38" s="168"/>
      <c r="R38" s="168">
        <v>1</v>
      </c>
      <c r="S38" s="39"/>
      <c r="T38" s="38"/>
      <c r="U38" s="163"/>
      <c r="V38" s="39"/>
      <c r="W38" s="25"/>
      <c r="X38" s="5"/>
    </row>
    <row r="39" spans="1:24" ht="15.6" x14ac:dyDescent="0.3">
      <c r="A39" s="24"/>
      <c r="B39" s="25" t="s">
        <v>11</v>
      </c>
      <c r="C39" s="25"/>
      <c r="D39" s="30" t="s">
        <v>235</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4.6800000000000001E-2</v>
      </c>
      <c r="E40" s="25"/>
      <c r="F40" s="38">
        <v>5.8818799999999997E-2</v>
      </c>
      <c r="G40" s="39"/>
      <c r="H40" s="38">
        <v>5.0849999999999999E-2</v>
      </c>
      <c r="I40" s="38"/>
      <c r="J40" s="38">
        <v>2.9143800000000001E-2</v>
      </c>
      <c r="K40" s="39"/>
      <c r="L40" s="38">
        <v>6.0018799999999997E-2</v>
      </c>
      <c r="M40" s="39"/>
      <c r="N40" s="38">
        <v>5.2049999999999999E-2</v>
      </c>
      <c r="O40" s="39"/>
      <c r="P40" s="38">
        <v>6.2218799999999998E-2</v>
      </c>
      <c r="Q40" s="39"/>
      <c r="R40" s="38">
        <v>5.425E-2</v>
      </c>
      <c r="S40" s="39"/>
      <c r="T40" s="38"/>
      <c r="U40" s="163"/>
      <c r="V40" s="30"/>
      <c r="W40" s="25"/>
      <c r="X40" s="5"/>
    </row>
    <row r="41" spans="1:24" ht="15.6" x14ac:dyDescent="0.3">
      <c r="A41" s="24"/>
      <c r="B41" s="25" t="s">
        <v>13</v>
      </c>
      <c r="C41" s="25"/>
      <c r="D41" s="38">
        <v>2.5774999999999999E-2</v>
      </c>
      <c r="E41" s="25"/>
      <c r="F41" s="38">
        <v>5.96E-2</v>
      </c>
      <c r="G41" s="39"/>
      <c r="H41" s="38">
        <v>4.9759999999999999E-2</v>
      </c>
      <c r="I41" s="38"/>
      <c r="J41" s="38">
        <v>2.7856300000000001E-2</v>
      </c>
      <c r="K41" s="39"/>
      <c r="L41" s="38">
        <v>6.08E-2</v>
      </c>
      <c r="M41" s="39"/>
      <c r="N41" s="38">
        <v>5.0959999999999998E-2</v>
      </c>
      <c r="O41" s="39"/>
      <c r="P41" s="38">
        <v>6.3E-2</v>
      </c>
      <c r="Q41" s="39"/>
      <c r="R41" s="38">
        <v>5.3159999999999999E-2</v>
      </c>
      <c r="S41" s="39"/>
      <c r="T41" s="38"/>
      <c r="U41" s="163"/>
      <c r="V41" s="39" t="s">
        <v>199</v>
      </c>
      <c r="W41" s="25"/>
      <c r="X41" s="5"/>
    </row>
    <row r="42" spans="1:24" ht="15.6" x14ac:dyDescent="0.3">
      <c r="A42" s="24"/>
      <c r="B42" s="25" t="s">
        <v>296</v>
      </c>
      <c r="C42" s="25"/>
      <c r="D42" s="30" t="s">
        <v>286</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5.9022100000000001E-2</v>
      </c>
      <c r="E43" s="38"/>
      <c r="F43" s="38">
        <f>+F40</f>
        <v>5.8818799999999997E-2</v>
      </c>
      <c r="G43" s="38"/>
      <c r="H43" s="38">
        <v>5.87798E-2</v>
      </c>
      <c r="I43" s="38"/>
      <c r="J43" s="38">
        <v>5.8900800000000003E-2</v>
      </c>
      <c r="K43" s="38"/>
      <c r="L43" s="38">
        <f>+L40</f>
        <v>6.0018799999999997E-2</v>
      </c>
      <c r="M43" s="38"/>
      <c r="N43" s="38">
        <v>6.0119800000000001E-2</v>
      </c>
      <c r="O43" s="38"/>
      <c r="P43" s="38">
        <f>+P40</f>
        <v>6.2218799999999998E-2</v>
      </c>
      <c r="Q43" s="39"/>
      <c r="R43" s="38">
        <v>6.2454799999999998E-2</v>
      </c>
      <c r="S43" s="30"/>
      <c r="T43" s="30"/>
      <c r="U43" s="163"/>
      <c r="V43" s="39">
        <f>SUMPRODUCT(D43:R43,D35:R35)/V35</f>
        <v>5.9337447784128222E-2</v>
      </c>
      <c r="W43" s="25"/>
      <c r="X43" s="5"/>
    </row>
    <row r="44" spans="1:24" ht="15.6" x14ac:dyDescent="0.3">
      <c r="A44" s="24"/>
      <c r="B44" s="25" t="s">
        <v>298</v>
      </c>
      <c r="C44" s="110"/>
      <c r="D44" s="38">
        <v>5.9803299999999997E-2</v>
      </c>
      <c r="E44" s="38"/>
      <c r="F44" s="38">
        <f>+F41</f>
        <v>5.96E-2</v>
      </c>
      <c r="G44" s="38"/>
      <c r="H44" s="38">
        <v>5.9561000000000003E-2</v>
      </c>
      <c r="I44" s="38"/>
      <c r="J44" s="38">
        <v>5.9681999999999999E-2</v>
      </c>
      <c r="K44" s="38"/>
      <c r="L44" s="38">
        <f>+L41</f>
        <v>6.08E-2</v>
      </c>
      <c r="M44" s="38"/>
      <c r="N44" s="38">
        <v>6.0900999999999997E-2</v>
      </c>
      <c r="O44" s="38"/>
      <c r="P44" s="38">
        <f>+P41</f>
        <v>6.3E-2</v>
      </c>
      <c r="Q44" s="39"/>
      <c r="R44" s="38">
        <v>6.3236000000000001E-2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0.22588281655079206</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39769</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92</v>
      </c>
      <c r="S57" s="25"/>
      <c r="T57" s="45">
        <v>39583</v>
      </c>
      <c r="U57" s="46"/>
      <c r="V57" s="45">
        <v>39674</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94</v>
      </c>
      <c r="S58" s="25"/>
      <c r="T58" s="45">
        <v>39675</v>
      </c>
      <c r="U58" s="46"/>
      <c r="V58" s="45">
        <v>39768</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39755</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287</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1141187</v>
      </c>
      <c r="O69" s="34"/>
      <c r="P69" s="34">
        <f>44919+1278+348-1</f>
        <v>46544</v>
      </c>
      <c r="Q69" s="34"/>
      <c r="R69" s="34">
        <f>1278+348</f>
        <v>1626</v>
      </c>
      <c r="S69" s="34"/>
      <c r="T69" s="34">
        <v>0</v>
      </c>
      <c r="U69" s="34"/>
      <c r="V69" s="53">
        <f>+N69-P69+R69-T69</f>
        <v>1096269</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1141187</v>
      </c>
      <c r="O72" s="34"/>
      <c r="P72" s="34">
        <f>SUM(P69:P71)</f>
        <v>46544</v>
      </c>
      <c r="Q72" s="34"/>
      <c r="R72" s="34">
        <f>SUM(R69:R71)</f>
        <v>1626</v>
      </c>
      <c r="S72" s="34"/>
      <c r="T72" s="34">
        <f>SUM(T69:T71)</f>
        <v>0</v>
      </c>
      <c r="U72" s="34"/>
      <c r="V72" s="54">
        <f>SUM(V69:V71)</f>
        <v>1096269</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1141187</v>
      </c>
      <c r="O85" s="34"/>
      <c r="P85" s="34"/>
      <c r="Q85" s="34"/>
      <c r="R85" s="34"/>
      <c r="S85" s="34"/>
      <c r="T85" s="54"/>
      <c r="U85" s="34"/>
      <c r="V85" s="54">
        <f>SUM(V72:V84)</f>
        <v>1096269</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+T196</f>
        <v>39752</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46544-168</f>
        <v>46376</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11463+6436-1003-1035+57+80</f>
        <v>15998</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241+157</f>
        <v>398</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1710</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f>9+1166</f>
        <v>1175</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950</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46376</v>
      </c>
      <c r="U97" s="25"/>
      <c r="V97" s="54">
        <f>SUM(V89:V96)</f>
        <v>20231</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-73</v>
      </c>
      <c r="U98" s="25"/>
      <c r="V98" s="54">
        <v>73</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282</v>
      </c>
      <c r="C100" s="25"/>
      <c r="D100" s="25"/>
      <c r="E100" s="25"/>
      <c r="F100" s="25"/>
      <c r="G100" s="25"/>
      <c r="H100" s="25"/>
      <c r="I100" s="25"/>
      <c r="J100" s="25"/>
      <c r="K100" s="25"/>
      <c r="L100" s="25"/>
      <c r="M100" s="25"/>
      <c r="N100" s="25"/>
      <c r="O100" s="25"/>
      <c r="P100" s="25"/>
      <c r="Q100" s="25"/>
      <c r="R100" s="25"/>
      <c r="S100" s="25"/>
      <c r="T100" s="34"/>
      <c r="U100" s="25"/>
      <c r="V100" s="53">
        <v>38</v>
      </c>
      <c r="W100" s="25"/>
      <c r="X100" s="5"/>
    </row>
    <row r="101" spans="1:25"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46303</v>
      </c>
      <c r="U101" s="25"/>
      <c r="V101" s="54">
        <f>V97+V99+V98+V100</f>
        <v>20342</v>
      </c>
      <c r="W101" s="25"/>
      <c r="X101" s="5"/>
    </row>
    <row r="102" spans="1:25"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5"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5" ht="15.6" x14ac:dyDescent="0.3">
      <c r="A104" s="24">
        <f>+A103+1</f>
        <v>2</v>
      </c>
      <c r="B104" s="25" t="s">
        <v>259</v>
      </c>
      <c r="C104" s="25"/>
      <c r="D104" s="25"/>
      <c r="E104" s="25"/>
      <c r="F104" s="25"/>
      <c r="G104" s="25"/>
      <c r="H104" s="25"/>
      <c r="I104" s="25"/>
      <c r="J104" s="25"/>
      <c r="K104" s="25"/>
      <c r="L104" s="25"/>
      <c r="M104" s="25"/>
      <c r="N104" s="25"/>
      <c r="O104" s="25"/>
      <c r="P104" s="25"/>
      <c r="Q104" s="25"/>
      <c r="R104" s="25"/>
      <c r="S104" s="25"/>
      <c r="T104" s="25"/>
      <c r="U104" s="25"/>
      <c r="V104" s="53">
        <v>-2</v>
      </c>
      <c r="W104" s="25"/>
      <c r="X104" s="5"/>
    </row>
    <row r="105" spans="1:25" ht="15.6" x14ac:dyDescent="0.3">
      <c r="A105" s="24">
        <f>+A104+1</f>
        <v>3</v>
      </c>
      <c r="B105" s="25" t="s">
        <v>210</v>
      </c>
      <c r="C105" s="25"/>
      <c r="D105" s="25"/>
      <c r="E105" s="25"/>
      <c r="F105" s="25"/>
      <c r="G105" s="25"/>
      <c r="H105" s="25"/>
      <c r="I105" s="25"/>
      <c r="J105" s="25"/>
      <c r="K105" s="25"/>
      <c r="L105" s="25"/>
      <c r="M105" s="25"/>
      <c r="N105" s="25"/>
      <c r="O105" s="25"/>
      <c r="P105" s="25"/>
      <c r="Q105" s="25"/>
      <c r="R105" s="25"/>
      <c r="S105" s="25"/>
      <c r="T105" s="25"/>
      <c r="U105" s="25"/>
      <c r="V105" s="53">
        <f>-432-86-14</f>
        <v>-532</v>
      </c>
      <c r="W105" s="25"/>
      <c r="X105" s="5"/>
    </row>
    <row r="106" spans="1:25" ht="15.6" x14ac:dyDescent="0.3">
      <c r="A106" s="24" t="s">
        <v>132</v>
      </c>
      <c r="B106" s="25" t="s">
        <v>121</v>
      </c>
      <c r="C106" s="25"/>
      <c r="D106" s="25"/>
      <c r="E106" s="25"/>
      <c r="F106" s="25"/>
      <c r="G106" s="25"/>
      <c r="H106" s="25"/>
      <c r="I106" s="25"/>
      <c r="J106" s="25"/>
      <c r="K106" s="25"/>
      <c r="L106" s="25"/>
      <c r="M106" s="25"/>
      <c r="N106" s="25"/>
      <c r="O106" s="25"/>
      <c r="P106" s="25"/>
      <c r="Q106" s="25"/>
      <c r="R106" s="25"/>
      <c r="S106" s="25"/>
      <c r="T106" s="25"/>
      <c r="U106" s="25"/>
      <c r="V106" s="53">
        <v>0</v>
      </c>
      <c r="W106" s="25"/>
      <c r="X106" s="5"/>
    </row>
    <row r="107" spans="1:25" ht="15.6" x14ac:dyDescent="0.3">
      <c r="A107" s="24" t="s">
        <v>133</v>
      </c>
      <c r="B107" s="25" t="s">
        <v>256</v>
      </c>
      <c r="C107" s="25"/>
      <c r="D107" s="25"/>
      <c r="E107" s="25"/>
      <c r="F107" s="25"/>
      <c r="G107" s="25"/>
      <c r="H107" s="25"/>
      <c r="I107" s="25"/>
      <c r="J107" s="25"/>
      <c r="K107" s="25"/>
      <c r="L107" s="25"/>
      <c r="M107" s="25"/>
      <c r="N107" s="25"/>
      <c r="O107" s="25"/>
      <c r="P107" s="25"/>
      <c r="Q107" s="25"/>
      <c r="R107" s="25"/>
      <c r="S107" s="25"/>
      <c r="T107" s="25"/>
      <c r="U107" s="25"/>
      <c r="V107" s="53">
        <f>-14259+1589</f>
        <v>-12670</v>
      </c>
      <c r="W107" s="25"/>
      <c r="X107" s="171"/>
      <c r="Y107" s="109"/>
    </row>
    <row r="108" spans="1:25" ht="15.6" x14ac:dyDescent="0.3">
      <c r="A108" s="24" t="s">
        <v>155</v>
      </c>
      <c r="B108" s="25" t="s">
        <v>190</v>
      </c>
      <c r="C108" s="25"/>
      <c r="D108" s="25"/>
      <c r="E108" s="25"/>
      <c r="F108" s="25"/>
      <c r="G108" s="25"/>
      <c r="H108" s="25"/>
      <c r="I108" s="25"/>
      <c r="J108" s="25"/>
      <c r="K108" s="25"/>
      <c r="L108" s="25"/>
      <c r="M108" s="25"/>
      <c r="N108" s="25"/>
      <c r="O108" s="25"/>
      <c r="P108" s="25"/>
      <c r="Q108" s="25"/>
      <c r="R108" s="25"/>
      <c r="S108" s="25"/>
      <c r="T108" s="25"/>
      <c r="U108" s="25"/>
      <c r="V108" s="53">
        <v>-1589</v>
      </c>
      <c r="W108" s="25"/>
      <c r="X108" s="5"/>
      <c r="Y108" s="109"/>
    </row>
    <row r="109" spans="1:25" ht="15.6" x14ac:dyDescent="0.3">
      <c r="A109" s="24" t="s">
        <v>211</v>
      </c>
      <c r="B109" s="25" t="s">
        <v>191</v>
      </c>
      <c r="C109" s="25"/>
      <c r="D109" s="25"/>
      <c r="E109" s="25"/>
      <c r="F109" s="25"/>
      <c r="G109" s="25"/>
      <c r="H109" s="25"/>
      <c r="I109" s="25"/>
      <c r="J109" s="25"/>
      <c r="K109" s="25"/>
      <c r="L109" s="25"/>
      <c r="M109" s="25"/>
      <c r="N109" s="25"/>
      <c r="O109" s="25"/>
      <c r="P109" s="25"/>
      <c r="Q109" s="25"/>
      <c r="R109" s="25"/>
      <c r="S109" s="25"/>
      <c r="T109" s="25"/>
      <c r="U109" s="25"/>
      <c r="V109" s="53">
        <v>-1345</v>
      </c>
      <c r="W109" s="25"/>
      <c r="X109" s="5"/>
      <c r="Y109" s="109"/>
    </row>
    <row r="110" spans="1:25" ht="15.6" x14ac:dyDescent="0.3">
      <c r="A110" s="24" t="s">
        <v>212</v>
      </c>
      <c r="B110" s="25" t="s">
        <v>192</v>
      </c>
      <c r="C110" s="25"/>
      <c r="D110" s="25"/>
      <c r="E110" s="25"/>
      <c r="F110" s="25"/>
      <c r="G110" s="25"/>
      <c r="H110" s="25"/>
      <c r="I110" s="25"/>
      <c r="J110" s="25"/>
      <c r="K110" s="25"/>
      <c r="L110" s="25"/>
      <c r="M110" s="25"/>
      <c r="N110" s="25"/>
      <c r="O110" s="25"/>
      <c r="P110" s="25"/>
      <c r="Q110" s="25"/>
      <c r="R110" s="25"/>
      <c r="S110" s="25"/>
      <c r="T110" s="25"/>
      <c r="U110" s="25"/>
      <c r="V110" s="53">
        <f>-1731+1345</f>
        <v>-386</v>
      </c>
      <c r="W110" s="25"/>
      <c r="X110" s="5"/>
      <c r="Y110" s="109"/>
    </row>
    <row r="111" spans="1:25" ht="15.6" x14ac:dyDescent="0.3">
      <c r="A111" s="24" t="s">
        <v>213</v>
      </c>
      <c r="B111" s="25" t="s">
        <v>202</v>
      </c>
      <c r="C111" s="25"/>
      <c r="D111" s="25"/>
      <c r="E111" s="25"/>
      <c r="F111" s="25"/>
      <c r="G111" s="25"/>
      <c r="H111" s="25"/>
      <c r="I111" s="25"/>
      <c r="J111" s="25"/>
      <c r="K111" s="25"/>
      <c r="L111" s="25"/>
      <c r="M111" s="25"/>
      <c r="N111" s="25"/>
      <c r="O111" s="25"/>
      <c r="P111" s="25"/>
      <c r="Q111" s="25"/>
      <c r="R111" s="25"/>
      <c r="S111" s="25"/>
      <c r="T111" s="25"/>
      <c r="U111" s="25"/>
      <c r="V111" s="53">
        <v>-1176</v>
      </c>
      <c r="W111" s="25"/>
      <c r="X111" s="5"/>
      <c r="Y111" s="109"/>
    </row>
    <row r="112" spans="1:25" ht="15.6" x14ac:dyDescent="0.3">
      <c r="A112" s="24" t="s">
        <v>258</v>
      </c>
      <c r="B112" s="25" t="s">
        <v>257</v>
      </c>
      <c r="C112" s="25"/>
      <c r="D112" s="25"/>
      <c r="E112" s="25"/>
      <c r="F112" s="25"/>
      <c r="G112" s="25"/>
      <c r="H112" s="25"/>
      <c r="I112" s="25"/>
      <c r="J112" s="25"/>
      <c r="K112" s="25"/>
      <c r="L112" s="25"/>
      <c r="M112" s="25"/>
      <c r="N112" s="25"/>
      <c r="O112" s="25"/>
      <c r="P112" s="25"/>
      <c r="Q112" s="25"/>
      <c r="R112" s="25"/>
      <c r="S112" s="25"/>
      <c r="T112" s="25"/>
      <c r="U112" s="25"/>
      <c r="V112" s="53">
        <f>-1448+1176</f>
        <v>-272</v>
      </c>
      <c r="W112" s="25"/>
      <c r="X112" s="5"/>
      <c r="Y112" s="109"/>
    </row>
    <row r="113" spans="1:24" ht="15.6" x14ac:dyDescent="0.3">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-10</v>
      </c>
      <c r="W113" s="25"/>
      <c r="X113" s="5"/>
    </row>
    <row r="114" spans="1:24" ht="15.6" x14ac:dyDescent="0.3">
      <c r="A114" s="24">
        <f t="shared" ref="A114:A119" si="0">+A113+1</f>
        <v>8</v>
      </c>
      <c r="B114" s="25" t="s">
        <v>46</v>
      </c>
      <c r="C114" s="25"/>
      <c r="D114" s="25"/>
      <c r="E114" s="25"/>
      <c r="F114" s="25"/>
      <c r="G114" s="25"/>
      <c r="H114" s="25"/>
      <c r="I114" s="25"/>
      <c r="J114" s="25"/>
      <c r="K114" s="25"/>
      <c r="L114" s="25"/>
      <c r="M114" s="25"/>
      <c r="N114" s="25"/>
      <c r="O114" s="25"/>
      <c r="P114" s="25"/>
      <c r="Q114" s="25"/>
      <c r="R114" s="25"/>
      <c r="S114" s="25"/>
      <c r="T114" s="34">
        <f>-V114</f>
        <v>168</v>
      </c>
      <c r="U114" s="25"/>
      <c r="V114" s="53">
        <v>-168</v>
      </c>
      <c r="W114" s="25"/>
      <c r="X114" s="5"/>
    </row>
    <row r="115" spans="1:24" ht="15.6" x14ac:dyDescent="0.3">
      <c r="A115" s="24">
        <f t="shared" si="0"/>
        <v>9</v>
      </c>
      <c r="B115" s="25" t="s">
        <v>130</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10</v>
      </c>
      <c r="B116" s="25" t="s">
        <v>36</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11</v>
      </c>
      <c r="B117" s="25" t="s">
        <v>37</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6" x14ac:dyDescent="0.3">
      <c r="A118" s="24">
        <f t="shared" si="0"/>
        <v>12</v>
      </c>
      <c r="B118" s="25" t="s">
        <v>154</v>
      </c>
      <c r="C118" s="25"/>
      <c r="D118" s="25"/>
      <c r="E118" s="25"/>
      <c r="F118" s="25"/>
      <c r="G118" s="25"/>
      <c r="H118" s="25"/>
      <c r="I118" s="25"/>
      <c r="J118" s="25"/>
      <c r="K118" s="25"/>
      <c r="L118" s="25"/>
      <c r="M118" s="25"/>
      <c r="N118" s="25"/>
      <c r="O118" s="25"/>
      <c r="P118" s="25"/>
      <c r="Q118" s="25"/>
      <c r="R118" s="25"/>
      <c r="S118" s="25"/>
      <c r="T118" s="25"/>
      <c r="U118" s="25"/>
      <c r="V118" s="53">
        <v>-432</v>
      </c>
      <c r="W118" s="25"/>
      <c r="X118" s="5"/>
    </row>
    <row r="119" spans="1:24" ht="15.6" x14ac:dyDescent="0.3">
      <c r="A119" s="24">
        <f t="shared" si="0"/>
        <v>13</v>
      </c>
      <c r="B119" s="25" t="s">
        <v>131</v>
      </c>
      <c r="C119" s="25"/>
      <c r="D119" s="25"/>
      <c r="E119" s="25"/>
      <c r="F119" s="25"/>
      <c r="G119" s="25"/>
      <c r="H119" s="25"/>
      <c r="I119" s="25"/>
      <c r="J119" s="25"/>
      <c r="K119" s="25"/>
      <c r="L119" s="25"/>
      <c r="M119" s="25"/>
      <c r="N119" s="25"/>
      <c r="O119" s="25"/>
      <c r="P119" s="25"/>
      <c r="Q119" s="25"/>
      <c r="R119" s="25"/>
      <c r="S119" s="25"/>
      <c r="T119" s="25"/>
      <c r="U119" s="25"/>
      <c r="V119" s="53">
        <f>-V101-SUM(V103:V118)</f>
        <v>-1760</v>
      </c>
      <c r="W119" s="25"/>
      <c r="X119" s="5"/>
    </row>
    <row r="120" spans="1:24" ht="15.6" x14ac:dyDescent="0.3">
      <c r="A120" s="24"/>
      <c r="B120" s="118" t="s">
        <v>38</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6" x14ac:dyDescent="0.3">
      <c r="A121" s="24"/>
      <c r="B121" s="25" t="s">
        <v>179</v>
      </c>
      <c r="C121" s="25"/>
      <c r="D121" s="25"/>
      <c r="E121" s="25"/>
      <c r="F121" s="25"/>
      <c r="G121" s="25"/>
      <c r="H121" s="25"/>
      <c r="I121" s="25"/>
      <c r="J121" s="25"/>
      <c r="K121" s="25"/>
      <c r="L121" s="25"/>
      <c r="M121" s="25"/>
      <c r="N121" s="25"/>
      <c r="O121" s="25"/>
      <c r="P121" s="25"/>
      <c r="Q121" s="25"/>
      <c r="R121" s="25"/>
      <c r="S121" s="25"/>
      <c r="T121" s="34">
        <f>-T180</f>
        <v>-9</v>
      </c>
      <c r="U121" s="34"/>
      <c r="V121" s="53"/>
      <c r="W121" s="25"/>
      <c r="X121" s="5"/>
    </row>
    <row r="122" spans="1:24" ht="15.6" x14ac:dyDescent="0.3">
      <c r="A122" s="24"/>
      <c r="B122" s="25" t="s">
        <v>180</v>
      </c>
      <c r="C122" s="25"/>
      <c r="D122" s="25"/>
      <c r="E122" s="25"/>
      <c r="F122" s="25"/>
      <c r="G122" s="25"/>
      <c r="H122" s="25"/>
      <c r="I122" s="25"/>
      <c r="J122" s="25"/>
      <c r="K122" s="25"/>
      <c r="L122" s="25"/>
      <c r="M122" s="25"/>
      <c r="N122" s="25"/>
      <c r="O122" s="25"/>
      <c r="P122" s="25"/>
      <c r="Q122" s="25"/>
      <c r="R122" s="25"/>
      <c r="S122" s="25"/>
      <c r="T122" s="34">
        <v>-185</v>
      </c>
      <c r="U122" s="34"/>
      <c r="V122" s="53"/>
      <c r="W122" s="25"/>
      <c r="X122" s="5"/>
    </row>
    <row r="123" spans="1:24" ht="15.6" x14ac:dyDescent="0.3">
      <c r="A123" s="24"/>
      <c r="B123" s="25" t="s">
        <v>39</v>
      </c>
      <c r="C123" s="25"/>
      <c r="D123" s="25"/>
      <c r="E123" s="25"/>
      <c r="F123" s="25"/>
      <c r="G123" s="25"/>
      <c r="H123" s="25"/>
      <c r="I123" s="25"/>
      <c r="J123" s="25"/>
      <c r="K123" s="25"/>
      <c r="L123" s="25"/>
      <c r="M123" s="25"/>
      <c r="N123" s="25"/>
      <c r="O123" s="25"/>
      <c r="P123" s="25"/>
      <c r="Q123" s="25"/>
      <c r="R123" s="25"/>
      <c r="S123" s="25"/>
      <c r="T123" s="34">
        <f>-S180</f>
        <v>-1359</v>
      </c>
      <c r="U123" s="34"/>
      <c r="V123" s="53"/>
      <c r="W123" s="25"/>
      <c r="X123" s="5"/>
    </row>
    <row r="124" spans="1:24" ht="15.6" x14ac:dyDescent="0.3">
      <c r="A124" s="24"/>
      <c r="B124" s="25" t="s">
        <v>203</v>
      </c>
      <c r="C124" s="25"/>
      <c r="D124" s="25"/>
      <c r="E124" s="25"/>
      <c r="F124" s="25"/>
      <c r="G124" s="25"/>
      <c r="H124" s="25"/>
      <c r="I124" s="25"/>
      <c r="J124" s="25"/>
      <c r="K124" s="25"/>
      <c r="L124" s="25"/>
      <c r="M124" s="25"/>
      <c r="N124" s="25"/>
      <c r="O124" s="25"/>
      <c r="P124" s="25"/>
      <c r="Q124" s="25"/>
      <c r="R124" s="25"/>
      <c r="S124" s="25"/>
      <c r="T124" s="34">
        <v>-28207</v>
      </c>
      <c r="U124" s="34"/>
      <c r="V124" s="53"/>
      <c r="W124" s="25"/>
      <c r="X124" s="5"/>
    </row>
    <row r="125" spans="1:24" ht="15.6" x14ac:dyDescent="0.3">
      <c r="A125" s="24"/>
      <c r="B125" s="25" t="s">
        <v>201</v>
      </c>
      <c r="C125" s="25"/>
      <c r="D125" s="25"/>
      <c r="E125" s="25"/>
      <c r="F125" s="25"/>
      <c r="G125" s="25"/>
      <c r="H125" s="25"/>
      <c r="I125" s="25"/>
      <c r="J125" s="25"/>
      <c r="K125" s="25"/>
      <c r="L125" s="25"/>
      <c r="M125" s="25"/>
      <c r="N125" s="25"/>
      <c r="O125" s="25"/>
      <c r="P125" s="25"/>
      <c r="Q125" s="25"/>
      <c r="R125" s="25"/>
      <c r="S125" s="25"/>
      <c r="T125" s="34">
        <v>-5017</v>
      </c>
      <c r="U125" s="34"/>
      <c r="V125" s="53"/>
      <c r="W125" s="25"/>
      <c r="X125" s="5"/>
    </row>
    <row r="126" spans="1:24" ht="15.6" x14ac:dyDescent="0.3">
      <c r="A126" s="24"/>
      <c r="B126" s="25" t="s">
        <v>200</v>
      </c>
      <c r="C126" s="25"/>
      <c r="D126" s="25"/>
      <c r="E126" s="25"/>
      <c r="F126" s="25"/>
      <c r="G126" s="25"/>
      <c r="H126" s="25"/>
      <c r="I126" s="25"/>
      <c r="J126" s="25"/>
      <c r="K126" s="25"/>
      <c r="L126" s="25"/>
      <c r="M126" s="25"/>
      <c r="N126" s="25"/>
      <c r="O126" s="25"/>
      <c r="P126" s="25"/>
      <c r="Q126" s="25"/>
      <c r="R126" s="25"/>
      <c r="S126" s="25"/>
      <c r="T126" s="34">
        <v>-5846</v>
      </c>
      <c r="U126" s="34"/>
      <c r="V126" s="53"/>
      <c r="W126" s="25"/>
      <c r="X126" s="5"/>
    </row>
    <row r="127" spans="1:24" ht="15.6" x14ac:dyDescent="0.3">
      <c r="A127" s="24"/>
      <c r="B127" s="25" t="s">
        <v>260</v>
      </c>
      <c r="C127" s="25"/>
      <c r="D127" s="25"/>
      <c r="E127" s="25"/>
      <c r="F127" s="25"/>
      <c r="G127" s="25"/>
      <c r="H127" s="25"/>
      <c r="I127" s="25"/>
      <c r="J127" s="25"/>
      <c r="K127" s="25"/>
      <c r="L127" s="25"/>
      <c r="M127" s="25"/>
      <c r="N127" s="25"/>
      <c r="O127" s="25"/>
      <c r="P127" s="25"/>
      <c r="Q127" s="25"/>
      <c r="R127" s="25"/>
      <c r="S127" s="25"/>
      <c r="T127" s="34">
        <v>-5848</v>
      </c>
      <c r="U127" s="34"/>
      <c r="V127" s="53"/>
      <c r="W127" s="25"/>
      <c r="X127" s="5"/>
    </row>
    <row r="128" spans="1:24" ht="15.6" x14ac:dyDescent="0.3">
      <c r="A128" s="24"/>
      <c r="B128" s="25" t="s">
        <v>195</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261</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193</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40</v>
      </c>
      <c r="C132" s="25"/>
      <c r="D132" s="25"/>
      <c r="E132" s="25"/>
      <c r="F132" s="25"/>
      <c r="G132" s="25"/>
      <c r="H132" s="25"/>
      <c r="I132" s="25"/>
      <c r="J132" s="25"/>
      <c r="K132" s="25"/>
      <c r="L132" s="25"/>
      <c r="M132" s="25"/>
      <c r="N132" s="25"/>
      <c r="O132" s="25"/>
      <c r="P132" s="25"/>
      <c r="Q132" s="25"/>
      <c r="R132" s="25"/>
      <c r="S132" s="25"/>
      <c r="T132" s="34">
        <f>SUM(T121:T131)</f>
        <v>-46471</v>
      </c>
      <c r="U132" s="34"/>
      <c r="V132" s="34">
        <f>SUM(V102:V129)</f>
        <v>-20342</v>
      </c>
      <c r="W132" s="25"/>
      <c r="X132" s="5"/>
    </row>
    <row r="133" spans="1:24" ht="15.6" x14ac:dyDescent="0.3">
      <c r="A133" s="24"/>
      <c r="B133" s="25" t="s">
        <v>41</v>
      </c>
      <c r="C133" s="25"/>
      <c r="D133" s="25"/>
      <c r="E133" s="25"/>
      <c r="F133" s="25"/>
      <c r="G133" s="25"/>
      <c r="H133" s="25"/>
      <c r="I133" s="25"/>
      <c r="J133" s="25"/>
      <c r="K133" s="25"/>
      <c r="L133" s="25"/>
      <c r="M133" s="25"/>
      <c r="N133" s="25"/>
      <c r="O133" s="25"/>
      <c r="P133" s="25"/>
      <c r="Q133" s="25"/>
      <c r="R133" s="25"/>
      <c r="S133" s="25"/>
      <c r="T133" s="34">
        <f>T101+T132+T114</f>
        <v>0</v>
      </c>
      <c r="U133" s="34"/>
      <c r="V133" s="34">
        <f>V101+V132</f>
        <v>0</v>
      </c>
      <c r="W133" s="25"/>
      <c r="X133" s="5"/>
    </row>
    <row r="134" spans="1:24" ht="15.6" x14ac:dyDescent="0.3">
      <c r="A134" s="24"/>
      <c r="B134" s="25"/>
      <c r="C134" s="25"/>
      <c r="D134" s="25"/>
      <c r="E134" s="25"/>
      <c r="F134" s="25"/>
      <c r="G134" s="25"/>
      <c r="H134" s="25"/>
      <c r="I134" s="25"/>
      <c r="J134" s="25"/>
      <c r="K134" s="25"/>
      <c r="L134" s="25"/>
      <c r="M134" s="25"/>
      <c r="N134" s="25"/>
      <c r="O134" s="25"/>
      <c r="P134" s="25"/>
      <c r="Q134" s="25"/>
      <c r="R134" s="25"/>
      <c r="S134" s="25"/>
      <c r="T134" s="34"/>
      <c r="U134" s="34"/>
      <c r="V134" s="34"/>
      <c r="W134" s="25"/>
      <c r="X134" s="5"/>
    </row>
    <row r="135" spans="1:24" ht="15.6" x14ac:dyDescent="0.3">
      <c r="A135" s="6"/>
      <c r="B135" s="8"/>
      <c r="C135" s="8"/>
      <c r="D135" s="8"/>
      <c r="E135" s="8"/>
      <c r="F135" s="8"/>
      <c r="G135" s="8"/>
      <c r="H135" s="8"/>
      <c r="I135" s="8"/>
      <c r="J135" s="8"/>
      <c r="K135" s="8"/>
      <c r="L135" s="8"/>
      <c r="M135" s="8"/>
      <c r="N135" s="8"/>
      <c r="O135" s="8"/>
      <c r="P135" s="8"/>
      <c r="Q135" s="8"/>
      <c r="R135" s="8"/>
      <c r="S135" s="8"/>
      <c r="T135" s="8"/>
      <c r="U135" s="8"/>
      <c r="V135" s="52"/>
      <c r="W135" s="8"/>
      <c r="X135" s="5"/>
    </row>
    <row r="136" spans="1:24" ht="18" thickBot="1" x14ac:dyDescent="0.35">
      <c r="A136" s="101"/>
      <c r="B136" s="102" t="str">
        <f>B64</f>
        <v>PM12 INVESTOR REPORT QUARTER ENDING OCTOBER 2008</v>
      </c>
      <c r="C136" s="103"/>
      <c r="D136" s="103"/>
      <c r="E136" s="103"/>
      <c r="F136" s="103"/>
      <c r="G136" s="103"/>
      <c r="H136" s="103"/>
      <c r="I136" s="103"/>
      <c r="J136" s="103"/>
      <c r="K136" s="103"/>
      <c r="L136" s="103"/>
      <c r="M136" s="103"/>
      <c r="N136" s="103"/>
      <c r="O136" s="103"/>
      <c r="P136" s="103"/>
      <c r="Q136" s="103"/>
      <c r="R136" s="103"/>
      <c r="S136" s="103"/>
      <c r="T136" s="103"/>
      <c r="U136" s="103"/>
      <c r="V136" s="106"/>
      <c r="W136" s="105"/>
      <c r="X136" s="5"/>
    </row>
    <row r="137" spans="1:24" ht="15.6" x14ac:dyDescent="0.3">
      <c r="A137" s="2"/>
      <c r="B137" s="60" t="s">
        <v>42</v>
      </c>
      <c r="C137" s="4"/>
      <c r="D137" s="4"/>
      <c r="E137" s="4"/>
      <c r="F137" s="4"/>
      <c r="G137" s="4"/>
      <c r="H137" s="4"/>
      <c r="I137" s="4"/>
      <c r="J137" s="4"/>
      <c r="K137" s="4"/>
      <c r="L137" s="4"/>
      <c r="M137" s="4"/>
      <c r="N137" s="4"/>
      <c r="O137" s="4"/>
      <c r="P137" s="4"/>
      <c r="Q137" s="4"/>
      <c r="R137" s="4"/>
      <c r="S137" s="4"/>
      <c r="T137" s="4"/>
      <c r="U137" s="4"/>
      <c r="V137" s="50"/>
      <c r="W137" s="4"/>
      <c r="X137" s="5"/>
    </row>
    <row r="138" spans="1:24" ht="15.6" x14ac:dyDescent="0.3">
      <c r="A138" s="6"/>
      <c r="B138" s="21"/>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6"/>
      <c r="B139" s="119" t="s">
        <v>43</v>
      </c>
      <c r="C139" s="8"/>
      <c r="D139" s="8"/>
      <c r="E139" s="8"/>
      <c r="F139" s="8"/>
      <c r="G139" s="8"/>
      <c r="H139" s="8"/>
      <c r="I139" s="8"/>
      <c r="J139" s="8"/>
      <c r="K139" s="8"/>
      <c r="L139" s="8"/>
      <c r="M139" s="8"/>
      <c r="N139" s="8"/>
      <c r="O139" s="8"/>
      <c r="P139" s="8"/>
      <c r="Q139" s="8"/>
      <c r="R139" s="8"/>
      <c r="S139" s="8"/>
      <c r="T139" s="8"/>
      <c r="U139" s="8"/>
      <c r="V139" s="52"/>
      <c r="W139" s="8"/>
      <c r="X139" s="5"/>
    </row>
    <row r="140" spans="1:24" ht="15.6" x14ac:dyDescent="0.3">
      <c r="A140" s="24"/>
      <c r="B140" s="25" t="s">
        <v>44</v>
      </c>
      <c r="C140" s="25"/>
      <c r="D140" s="25"/>
      <c r="E140" s="25"/>
      <c r="F140" s="25"/>
      <c r="G140" s="25"/>
      <c r="H140" s="25"/>
      <c r="I140" s="25"/>
      <c r="J140" s="25"/>
      <c r="K140" s="25"/>
      <c r="L140" s="25"/>
      <c r="M140" s="25"/>
      <c r="N140" s="25"/>
      <c r="O140" s="25"/>
      <c r="P140" s="25"/>
      <c r="Q140" s="25"/>
      <c r="R140" s="25"/>
      <c r="S140" s="25"/>
      <c r="T140" s="25"/>
      <c r="U140" s="25"/>
      <c r="V140" s="53">
        <f>+V34*0.019</f>
        <v>28503.895</v>
      </c>
      <c r="W140" s="25"/>
      <c r="X140" s="5"/>
    </row>
    <row r="141" spans="1:24" ht="15.6" x14ac:dyDescent="0.3">
      <c r="A141" s="24"/>
      <c r="B141" s="25" t="s">
        <v>45</v>
      </c>
      <c r="C141" s="25"/>
      <c r="D141" s="25"/>
      <c r="E141" s="25"/>
      <c r="F141" s="25"/>
      <c r="G141" s="25"/>
      <c r="H141" s="25"/>
      <c r="I141" s="25"/>
      <c r="J141" s="25"/>
      <c r="K141" s="25"/>
      <c r="L141" s="25"/>
      <c r="M141" s="25"/>
      <c r="N141" s="25"/>
      <c r="O141" s="25"/>
      <c r="P141" s="25"/>
      <c r="Q141" s="25"/>
      <c r="R141" s="25"/>
      <c r="S141" s="25"/>
      <c r="T141" s="25"/>
      <c r="U141" s="25"/>
      <c r="V141" s="53">
        <v>28504</v>
      </c>
      <c r="W141" s="25"/>
      <c r="X141" s="5"/>
    </row>
    <row r="142" spans="1:24" ht="15.6" x14ac:dyDescent="0.3">
      <c r="A142" s="24"/>
      <c r="B142" s="25" t="s">
        <v>141</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128</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129</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181</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46</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134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230</v>
      </c>
      <c r="C148" s="25"/>
      <c r="D148" s="25"/>
      <c r="E148" s="25"/>
      <c r="F148" s="25"/>
      <c r="G148" s="25"/>
      <c r="H148" s="25"/>
      <c r="I148" s="25"/>
      <c r="J148" s="25"/>
      <c r="K148" s="25"/>
      <c r="L148" s="25"/>
      <c r="M148" s="25"/>
      <c r="N148" s="25"/>
      <c r="O148" s="25"/>
      <c r="P148" s="25"/>
      <c r="Q148" s="25"/>
      <c r="R148" s="25"/>
      <c r="S148" s="25"/>
      <c r="T148" s="25"/>
      <c r="U148" s="25"/>
      <c r="V148" s="53">
        <v>0</v>
      </c>
      <c r="W148" s="25"/>
      <c r="X148" s="5"/>
      <c r="Y148" s="109"/>
    </row>
    <row r="149" spans="1:25" ht="15.6" x14ac:dyDescent="0.3">
      <c r="A149" s="24"/>
      <c r="B149" s="25" t="s">
        <v>47</v>
      </c>
      <c r="C149" s="25"/>
      <c r="D149" s="25"/>
      <c r="E149" s="25"/>
      <c r="F149" s="25"/>
      <c r="G149" s="25"/>
      <c r="H149" s="25"/>
      <c r="I149" s="25"/>
      <c r="J149" s="25"/>
      <c r="K149" s="25"/>
      <c r="L149" s="25"/>
      <c r="M149" s="25"/>
      <c r="N149" s="25"/>
      <c r="O149" s="25"/>
      <c r="P149" s="25"/>
      <c r="Q149" s="25"/>
      <c r="R149" s="25"/>
      <c r="S149" s="25"/>
      <c r="T149" s="25"/>
      <c r="U149" s="25"/>
      <c r="V149" s="53">
        <f>SUM(V141:V148)</f>
        <v>28504</v>
      </c>
      <c r="W149" s="25"/>
      <c r="X149" s="5"/>
    </row>
    <row r="150" spans="1:25" ht="15.6" x14ac:dyDescent="0.3">
      <c r="A150" s="24"/>
      <c r="B150" s="25"/>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138" t="s">
        <v>269</v>
      </c>
      <c r="C151" s="25"/>
      <c r="D151" s="25"/>
      <c r="E151" s="25"/>
      <c r="F151" s="25"/>
      <c r="G151" s="25"/>
      <c r="H151" s="25"/>
      <c r="I151" s="25"/>
      <c r="J151" s="25"/>
      <c r="K151" s="25"/>
      <c r="L151" s="25"/>
      <c r="M151" s="25"/>
      <c r="N151" s="25"/>
      <c r="O151" s="25"/>
      <c r="P151" s="25"/>
      <c r="Q151" s="25"/>
      <c r="R151" s="25"/>
      <c r="S151" s="25"/>
      <c r="T151" s="25"/>
      <c r="U151" s="25"/>
      <c r="V151" s="53"/>
      <c r="W151" s="25"/>
      <c r="X151" s="5"/>
    </row>
    <row r="152" spans="1:25" ht="15.6" x14ac:dyDescent="0.3">
      <c r="A152" s="24"/>
      <c r="B152" s="25" t="s">
        <v>160</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178</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t="s">
        <v>270</v>
      </c>
      <c r="C154" s="25"/>
      <c r="D154" s="25"/>
      <c r="E154" s="25"/>
      <c r="F154" s="25"/>
      <c r="G154" s="25"/>
      <c r="H154" s="25"/>
      <c r="I154" s="25"/>
      <c r="J154" s="25"/>
      <c r="K154" s="25"/>
      <c r="L154" s="25"/>
      <c r="M154" s="25"/>
      <c r="N154" s="25"/>
      <c r="O154" s="25"/>
      <c r="P154" s="25"/>
      <c r="Q154" s="25"/>
      <c r="R154" s="25"/>
      <c r="S154" s="25"/>
      <c r="T154" s="25"/>
      <c r="U154" s="25"/>
      <c r="V154" s="53">
        <v>0</v>
      </c>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53"/>
      <c r="W155" s="25"/>
      <c r="X155" s="5"/>
    </row>
    <row r="156" spans="1:25" ht="15.6" x14ac:dyDescent="0.3">
      <c r="A156" s="24"/>
      <c r="B156" s="25"/>
      <c r="C156" s="25"/>
      <c r="D156" s="25"/>
      <c r="E156" s="25"/>
      <c r="F156" s="25"/>
      <c r="G156" s="25"/>
      <c r="H156" s="25"/>
      <c r="I156" s="25"/>
      <c r="J156" s="25"/>
      <c r="K156" s="25"/>
      <c r="L156" s="25"/>
      <c r="M156" s="25"/>
      <c r="N156" s="25"/>
      <c r="O156" s="25"/>
      <c r="P156" s="25"/>
      <c r="Q156" s="25"/>
      <c r="R156" s="25"/>
      <c r="S156" s="25"/>
      <c r="T156" s="25"/>
      <c r="U156" s="25"/>
      <c r="V156" s="61"/>
      <c r="W156" s="25"/>
      <c r="X156" s="5"/>
    </row>
    <row r="157" spans="1:25" ht="15.6" x14ac:dyDescent="0.3">
      <c r="A157" s="6"/>
      <c r="B157" s="119" t="s">
        <v>24</v>
      </c>
      <c r="C157" s="8"/>
      <c r="D157" s="8"/>
      <c r="E157" s="8"/>
      <c r="F157" s="8"/>
      <c r="G157" s="8"/>
      <c r="H157" s="8"/>
      <c r="I157" s="8"/>
      <c r="J157" s="8"/>
      <c r="K157" s="8"/>
      <c r="L157" s="8"/>
      <c r="M157" s="8"/>
      <c r="N157" s="8"/>
      <c r="O157" s="8"/>
      <c r="P157" s="8"/>
      <c r="Q157" s="8"/>
      <c r="R157" s="8"/>
      <c r="S157" s="8"/>
      <c r="T157" s="8"/>
      <c r="U157" s="8"/>
      <c r="V157" s="52"/>
      <c r="W157" s="8"/>
      <c r="X157" s="5"/>
    </row>
    <row r="158" spans="1:25" ht="15.6" x14ac:dyDescent="0.3">
      <c r="A158" s="24"/>
      <c r="B158" s="25" t="s">
        <v>48</v>
      </c>
      <c r="C158" s="25"/>
      <c r="D158" s="25"/>
      <c r="E158" s="25"/>
      <c r="F158" s="25"/>
      <c r="G158" s="25"/>
      <c r="H158" s="25"/>
      <c r="I158" s="25"/>
      <c r="J158" s="25"/>
      <c r="K158" s="25"/>
      <c r="L158" s="25"/>
      <c r="M158" s="25"/>
      <c r="N158" s="25"/>
      <c r="O158" s="25"/>
      <c r="P158" s="25"/>
      <c r="Q158" s="25"/>
      <c r="R158" s="25"/>
      <c r="S158" s="25"/>
      <c r="T158" s="25"/>
      <c r="U158" s="25"/>
      <c r="V158" s="59" t="s">
        <v>123</v>
      </c>
      <c r="W158" s="25"/>
      <c r="X158" s="5"/>
    </row>
    <row r="159" spans="1:25" ht="15.6" x14ac:dyDescent="0.3">
      <c r="A159" s="24"/>
      <c r="B159" s="25" t="s">
        <v>49</v>
      </c>
      <c r="C159" s="163"/>
      <c r="D159" s="163"/>
      <c r="E159" s="163"/>
      <c r="F159" s="163"/>
      <c r="G159" s="163"/>
      <c r="H159" s="163"/>
      <c r="I159" s="163"/>
      <c r="J159" s="163"/>
      <c r="K159" s="163"/>
      <c r="L159" s="163"/>
      <c r="M159" s="163"/>
      <c r="N159" s="163"/>
      <c r="O159" s="163"/>
      <c r="P159" s="163"/>
      <c r="Q159" s="163"/>
      <c r="R159" s="163"/>
      <c r="S159" s="163"/>
      <c r="T159" s="163"/>
      <c r="U159" s="163"/>
      <c r="V159" s="59" t="s">
        <v>123</v>
      </c>
      <c r="W159" s="25"/>
      <c r="X159" s="5"/>
    </row>
    <row r="160" spans="1:25" ht="15.6" x14ac:dyDescent="0.3">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t="s">
        <v>51</v>
      </c>
      <c r="C161" s="25"/>
      <c r="D161" s="25"/>
      <c r="E161" s="25"/>
      <c r="F161" s="25"/>
      <c r="G161" s="25"/>
      <c r="H161" s="25"/>
      <c r="I161" s="25"/>
      <c r="J161" s="25"/>
      <c r="K161" s="25"/>
      <c r="L161" s="25"/>
      <c r="M161" s="25"/>
      <c r="N161" s="25"/>
      <c r="O161" s="25"/>
      <c r="P161" s="25"/>
      <c r="Q161" s="25"/>
      <c r="R161" s="25"/>
      <c r="S161" s="25"/>
      <c r="T161" s="25"/>
      <c r="U161" s="25"/>
      <c r="V161" s="59" t="s">
        <v>123</v>
      </c>
      <c r="W161" s="25"/>
      <c r="X161" s="5"/>
    </row>
    <row r="162" spans="1:24" ht="15.6" x14ac:dyDescent="0.3">
      <c r="A162" s="24"/>
      <c r="B162" s="25"/>
      <c r="C162" s="25"/>
      <c r="D162" s="25"/>
      <c r="E162" s="25"/>
      <c r="F162" s="25"/>
      <c r="G162" s="25"/>
      <c r="H162" s="25"/>
      <c r="I162" s="25"/>
      <c r="J162" s="25"/>
      <c r="K162" s="25"/>
      <c r="L162" s="25"/>
      <c r="M162" s="25"/>
      <c r="N162" s="25"/>
      <c r="O162" s="25"/>
      <c r="P162" s="25"/>
      <c r="Q162" s="25"/>
      <c r="R162" s="25"/>
      <c r="S162" s="25"/>
      <c r="T162" s="25"/>
      <c r="U162" s="25"/>
      <c r="V162" s="61"/>
      <c r="W162" s="25"/>
      <c r="X162" s="5"/>
    </row>
    <row r="163" spans="1:24" ht="15.6" x14ac:dyDescent="0.3">
      <c r="A163" s="6"/>
      <c r="B163" s="119" t="s">
        <v>52</v>
      </c>
      <c r="C163" s="8"/>
      <c r="D163" s="8"/>
      <c r="E163" s="8"/>
      <c r="F163" s="8"/>
      <c r="G163" s="8"/>
      <c r="H163" s="8"/>
      <c r="I163" s="8"/>
      <c r="J163" s="8"/>
      <c r="K163" s="8"/>
      <c r="L163" s="8"/>
      <c r="M163" s="8"/>
      <c r="N163" s="8"/>
      <c r="O163" s="8"/>
      <c r="P163" s="8"/>
      <c r="Q163" s="8"/>
      <c r="R163" s="8"/>
      <c r="S163" s="8"/>
      <c r="T163" s="8"/>
      <c r="U163" s="8"/>
      <c r="V163" s="63"/>
      <c r="W163" s="8"/>
      <c r="X163" s="5"/>
    </row>
    <row r="164" spans="1:24" ht="15.6" x14ac:dyDescent="0.3">
      <c r="A164" s="24"/>
      <c r="B164" s="25" t="s">
        <v>53</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4" ht="15.6" x14ac:dyDescent="0.3">
      <c r="A165" s="24"/>
      <c r="B165" s="25" t="s">
        <v>54</v>
      </c>
      <c r="C165" s="25"/>
      <c r="D165" s="25"/>
      <c r="E165" s="25"/>
      <c r="F165" s="25"/>
      <c r="G165" s="25"/>
      <c r="H165" s="25"/>
      <c r="I165" s="25"/>
      <c r="J165" s="25"/>
      <c r="K165" s="25"/>
      <c r="L165" s="25"/>
      <c r="M165" s="25"/>
      <c r="N165" s="25"/>
      <c r="O165" s="25"/>
      <c r="P165" s="25"/>
      <c r="Q165" s="25"/>
      <c r="R165" s="25"/>
      <c r="S165" s="25"/>
      <c r="T165" s="25"/>
      <c r="U165" s="25"/>
      <c r="V165" s="53">
        <f>-V114</f>
        <v>168</v>
      </c>
      <c r="W165" s="25"/>
      <c r="X165" s="5"/>
    </row>
    <row r="166" spans="1:24" ht="15.6" x14ac:dyDescent="0.3">
      <c r="A166" s="24"/>
      <c r="B166" s="25" t="s">
        <v>55</v>
      </c>
      <c r="C166" s="25"/>
      <c r="D166" s="25"/>
      <c r="E166" s="25"/>
      <c r="F166" s="25"/>
      <c r="G166" s="25"/>
      <c r="H166" s="25"/>
      <c r="I166" s="25"/>
      <c r="J166" s="25"/>
      <c r="K166" s="25"/>
      <c r="L166" s="25"/>
      <c r="M166" s="25"/>
      <c r="N166" s="25"/>
      <c r="O166" s="25"/>
      <c r="P166" s="25"/>
      <c r="Q166" s="25"/>
      <c r="R166" s="25"/>
      <c r="S166" s="25"/>
      <c r="T166" s="25"/>
      <c r="U166" s="25"/>
      <c r="V166" s="53">
        <f>V165+V164</f>
        <v>168</v>
      </c>
      <c r="W166" s="25"/>
      <c r="X166" s="5"/>
    </row>
    <row r="167" spans="1:24" ht="15.6" x14ac:dyDescent="0.3">
      <c r="A167" s="24"/>
      <c r="B167" s="25" t="s">
        <v>310</v>
      </c>
      <c r="C167" s="25"/>
      <c r="D167" s="25"/>
      <c r="E167" s="25"/>
      <c r="F167" s="25"/>
      <c r="G167" s="25"/>
      <c r="H167" s="25"/>
      <c r="I167" s="25"/>
      <c r="J167" s="25"/>
      <c r="K167" s="25"/>
      <c r="L167" s="25"/>
      <c r="M167" s="25"/>
      <c r="N167" s="25"/>
      <c r="O167" s="25"/>
      <c r="P167" s="25"/>
      <c r="Q167" s="25"/>
      <c r="R167" s="25"/>
      <c r="S167" s="25"/>
      <c r="T167" s="25"/>
      <c r="U167" s="25"/>
      <c r="V167" s="53">
        <f>V114</f>
        <v>-168</v>
      </c>
      <c r="W167" s="25"/>
      <c r="X167" s="5"/>
    </row>
    <row r="168" spans="1:24" ht="15.6" x14ac:dyDescent="0.3">
      <c r="A168" s="24"/>
      <c r="B168" s="25" t="s">
        <v>56</v>
      </c>
      <c r="C168" s="25"/>
      <c r="D168" s="25"/>
      <c r="E168" s="25"/>
      <c r="F168" s="25"/>
      <c r="G168" s="25"/>
      <c r="H168" s="25"/>
      <c r="I168" s="25"/>
      <c r="J168" s="25"/>
      <c r="K168" s="25"/>
      <c r="L168" s="25"/>
      <c r="M168" s="25"/>
      <c r="N168" s="25"/>
      <c r="O168" s="25"/>
      <c r="P168" s="25"/>
      <c r="Q168" s="25"/>
      <c r="R168" s="25"/>
      <c r="S168" s="25"/>
      <c r="T168" s="25"/>
      <c r="U168" s="25"/>
      <c r="V168" s="53">
        <f>V166+V167</f>
        <v>0</v>
      </c>
      <c r="W168" s="25"/>
      <c r="X168" s="5"/>
    </row>
    <row r="169" spans="1:24" ht="16.2" thickBot="1" x14ac:dyDescent="0.35">
      <c r="A169" s="24"/>
      <c r="B169" s="25"/>
      <c r="C169" s="25"/>
      <c r="D169" s="25"/>
      <c r="E169" s="25"/>
      <c r="F169" s="25"/>
      <c r="G169" s="25"/>
      <c r="H169" s="25"/>
      <c r="I169" s="25"/>
      <c r="J169" s="25"/>
      <c r="K169" s="25"/>
      <c r="L169" s="25"/>
      <c r="M169" s="25"/>
      <c r="N169" s="25"/>
      <c r="O169" s="25"/>
      <c r="P169" s="25"/>
      <c r="Q169" s="25"/>
      <c r="R169" s="25"/>
      <c r="S169" s="25"/>
      <c r="T169" s="25"/>
      <c r="U169" s="25"/>
      <c r="V169" s="61"/>
      <c r="W169" s="25"/>
      <c r="X169" s="5"/>
    </row>
    <row r="170" spans="1:24" ht="15.6" x14ac:dyDescent="0.3">
      <c r="A170" s="2"/>
      <c r="B170" s="4"/>
      <c r="C170" s="4"/>
      <c r="D170" s="4"/>
      <c r="E170" s="4"/>
      <c r="F170" s="4"/>
      <c r="G170" s="4"/>
      <c r="H170" s="4"/>
      <c r="I170" s="4"/>
      <c r="J170" s="4"/>
      <c r="K170" s="4"/>
      <c r="L170" s="4"/>
      <c r="M170" s="4"/>
      <c r="N170" s="4"/>
      <c r="O170" s="4"/>
      <c r="P170" s="4"/>
      <c r="Q170" s="4"/>
      <c r="R170" s="4"/>
      <c r="S170" s="4"/>
      <c r="T170" s="4"/>
      <c r="U170" s="4"/>
      <c r="V170" s="50"/>
      <c r="W170" s="4"/>
      <c r="X170" s="5"/>
    </row>
    <row r="171" spans="1:24" ht="15.6" x14ac:dyDescent="0.3">
      <c r="A171" s="6"/>
      <c r="B171" s="119" t="s">
        <v>57</v>
      </c>
      <c r="C171" s="8"/>
      <c r="D171" s="8"/>
      <c r="E171" s="8"/>
      <c r="F171" s="8"/>
      <c r="G171" s="8"/>
      <c r="H171" s="8"/>
      <c r="I171" s="8"/>
      <c r="J171" s="8"/>
      <c r="K171" s="8"/>
      <c r="L171" s="8"/>
      <c r="M171" s="8"/>
      <c r="N171" s="8"/>
      <c r="O171" s="8"/>
      <c r="P171" s="8"/>
      <c r="Q171" s="8"/>
      <c r="R171" s="8"/>
      <c r="S171" s="8"/>
      <c r="T171" s="8"/>
      <c r="U171" s="8"/>
      <c r="V171" s="52"/>
      <c r="W171" s="8"/>
      <c r="X171" s="5"/>
    </row>
    <row r="172" spans="1:24" ht="15.6" x14ac:dyDescent="0.3">
      <c r="A172" s="6"/>
      <c r="B172" s="21"/>
      <c r="C172" s="8"/>
      <c r="D172" s="8"/>
      <c r="E172" s="8"/>
      <c r="F172" s="8"/>
      <c r="G172" s="8"/>
      <c r="H172" s="8"/>
      <c r="I172" s="8"/>
      <c r="J172" s="8"/>
      <c r="K172" s="8"/>
      <c r="L172" s="8"/>
      <c r="M172" s="8"/>
      <c r="N172" s="8"/>
      <c r="O172" s="8"/>
      <c r="P172" s="8"/>
      <c r="Q172" s="8"/>
      <c r="R172" s="8"/>
      <c r="S172" s="8"/>
      <c r="T172" s="8"/>
      <c r="U172" s="8"/>
      <c r="V172" s="52"/>
      <c r="W172" s="8"/>
      <c r="X172" s="5"/>
    </row>
    <row r="173" spans="1:24" ht="15.6" x14ac:dyDescent="0.3">
      <c r="A173" s="24"/>
      <c r="B173" s="25" t="s">
        <v>58</v>
      </c>
      <c r="C173" s="25"/>
      <c r="D173" s="25"/>
      <c r="E173" s="25"/>
      <c r="F173" s="25"/>
      <c r="G173" s="25"/>
      <c r="H173" s="25"/>
      <c r="I173" s="25"/>
      <c r="J173" s="25"/>
      <c r="K173" s="25"/>
      <c r="L173" s="25"/>
      <c r="M173" s="25"/>
      <c r="N173" s="25"/>
      <c r="O173" s="25"/>
      <c r="P173" s="25"/>
      <c r="Q173" s="25"/>
      <c r="R173" s="25"/>
      <c r="S173" s="25"/>
      <c r="T173" s="25"/>
      <c r="U173" s="25"/>
      <c r="V173" s="53">
        <f>V72</f>
        <v>1096269</v>
      </c>
      <c r="W173" s="25"/>
      <c r="X173" s="5"/>
    </row>
    <row r="174" spans="1:24" ht="15.6" x14ac:dyDescent="0.3">
      <c r="A174" s="24"/>
      <c r="B174" s="25" t="s">
        <v>59</v>
      </c>
      <c r="C174" s="25"/>
      <c r="D174" s="25"/>
      <c r="E174" s="25"/>
      <c r="F174" s="25"/>
      <c r="G174" s="25"/>
      <c r="H174" s="25"/>
      <c r="I174" s="25"/>
      <c r="J174" s="25"/>
      <c r="K174" s="25"/>
      <c r="L174" s="25"/>
      <c r="M174" s="25"/>
      <c r="N174" s="25"/>
      <c r="O174" s="25"/>
      <c r="P174" s="25"/>
      <c r="Q174" s="25"/>
      <c r="R174" s="25"/>
      <c r="S174" s="25"/>
      <c r="T174" s="25"/>
      <c r="U174" s="25"/>
      <c r="V174" s="53">
        <f>V85</f>
        <v>1096269</v>
      </c>
      <c r="W174" s="25"/>
      <c r="X174" s="5"/>
    </row>
    <row r="175" spans="1:24" ht="16.2" thickBot="1" x14ac:dyDescent="0.35">
      <c r="A175" s="24"/>
      <c r="B175" s="25"/>
      <c r="C175" s="25"/>
      <c r="D175" s="25"/>
      <c r="E175" s="25"/>
      <c r="F175" s="25"/>
      <c r="G175" s="25"/>
      <c r="H175" s="25"/>
      <c r="I175" s="25"/>
      <c r="J175" s="25"/>
      <c r="K175" s="25"/>
      <c r="L175" s="25"/>
      <c r="M175" s="25"/>
      <c r="N175" s="25"/>
      <c r="O175" s="25"/>
      <c r="P175" s="25"/>
      <c r="Q175" s="25"/>
      <c r="R175" s="25"/>
      <c r="S175" s="25"/>
      <c r="T175" s="25"/>
      <c r="U175" s="25"/>
      <c r="V175" s="61"/>
      <c r="W175" s="25"/>
      <c r="X175" s="5"/>
    </row>
    <row r="176" spans="1:24" ht="15.6" x14ac:dyDescent="0.3">
      <c r="A176" s="2"/>
      <c r="B176" s="4"/>
      <c r="C176" s="4"/>
      <c r="D176" s="4"/>
      <c r="E176" s="4"/>
      <c r="F176" s="4"/>
      <c r="G176" s="4"/>
      <c r="H176" s="4"/>
      <c r="I176" s="4"/>
      <c r="J176" s="4"/>
      <c r="K176" s="4"/>
      <c r="L176" s="4"/>
      <c r="M176" s="4"/>
      <c r="N176" s="4"/>
      <c r="O176" s="4"/>
      <c r="P176" s="4"/>
      <c r="Q176" s="4"/>
      <c r="R176" s="4"/>
      <c r="S176" s="4"/>
      <c r="T176" s="4"/>
      <c r="U176" s="4"/>
      <c r="V176" s="50"/>
      <c r="W176" s="4"/>
      <c r="X176" s="5"/>
    </row>
    <row r="177" spans="1:24" ht="15.6" x14ac:dyDescent="0.3">
      <c r="A177" s="6"/>
      <c r="B177" s="119" t="s">
        <v>60</v>
      </c>
      <c r="C177" s="117"/>
      <c r="D177" s="117"/>
      <c r="E177" s="117"/>
      <c r="F177" s="117"/>
      <c r="G177" s="117"/>
      <c r="H177" s="120"/>
      <c r="I177" s="120"/>
      <c r="J177" s="120"/>
      <c r="K177" s="120"/>
      <c r="L177" s="120"/>
      <c r="M177" s="120"/>
      <c r="N177" s="120"/>
      <c r="O177" s="120"/>
      <c r="P177" s="120"/>
      <c r="Q177" s="120"/>
      <c r="R177" s="120"/>
      <c r="S177" s="120" t="s">
        <v>103</v>
      </c>
      <c r="T177" s="120" t="s">
        <v>182</v>
      </c>
      <c r="U177" s="111"/>
      <c r="V177" s="121" t="s">
        <v>119</v>
      </c>
      <c r="W177" s="10"/>
      <c r="X177" s="5"/>
    </row>
    <row r="178" spans="1:24" ht="15.6" x14ac:dyDescent="0.3">
      <c r="A178" s="24"/>
      <c r="B178" s="25" t="s">
        <v>61</v>
      </c>
      <c r="C178" s="25"/>
      <c r="D178" s="25"/>
      <c r="E178" s="25"/>
      <c r="F178" s="25"/>
      <c r="G178" s="25"/>
      <c r="H178" s="25"/>
      <c r="I178" s="25"/>
      <c r="J178" s="25"/>
      <c r="K178" s="25"/>
      <c r="L178" s="25"/>
      <c r="M178" s="25"/>
      <c r="N178" s="25"/>
      <c r="O178" s="25"/>
      <c r="P178" s="25"/>
      <c r="Q178" s="25"/>
      <c r="R178" s="25"/>
      <c r="S178" s="53">
        <f>+V34*0.16</f>
        <v>240032.80000000002</v>
      </c>
      <c r="T178" s="40"/>
      <c r="U178" s="25"/>
      <c r="V178" s="53"/>
      <c r="W178" s="25"/>
      <c r="X178" s="5"/>
    </row>
    <row r="179" spans="1:24" ht="15.6" x14ac:dyDescent="0.3">
      <c r="A179" s="24"/>
      <c r="B179" s="25" t="s">
        <v>62</v>
      </c>
      <c r="C179" s="25"/>
      <c r="D179" s="25"/>
      <c r="E179" s="25"/>
      <c r="F179" s="25"/>
      <c r="G179" s="25"/>
      <c r="H179" s="25"/>
      <c r="I179" s="25"/>
      <c r="J179" s="25"/>
      <c r="K179" s="25"/>
      <c r="L179" s="25"/>
      <c r="M179" s="25"/>
      <c r="N179" s="25"/>
      <c r="O179" s="25"/>
      <c r="P179" s="25"/>
      <c r="Q179" s="25"/>
      <c r="R179" s="25"/>
      <c r="S179" s="53">
        <f>+'July 08'!S181</f>
        <v>40921</v>
      </c>
      <c r="T179" s="53">
        <f>+'July 08'!T181</f>
        <v>5894</v>
      </c>
      <c r="U179" s="25"/>
      <c r="V179" s="53">
        <f>S179+T179</f>
        <v>46815</v>
      </c>
      <c r="W179" s="25"/>
      <c r="X179" s="5"/>
    </row>
    <row r="180" spans="1:24" ht="15.6" x14ac:dyDescent="0.3">
      <c r="A180" s="24"/>
      <c r="B180" s="25" t="s">
        <v>63</v>
      </c>
      <c r="C180" s="25"/>
      <c r="D180" s="25"/>
      <c r="E180" s="25"/>
      <c r="F180" s="25"/>
      <c r="G180" s="25"/>
      <c r="H180" s="25"/>
      <c r="I180" s="25"/>
      <c r="J180" s="25"/>
      <c r="K180" s="25"/>
      <c r="L180" s="25"/>
      <c r="M180" s="25"/>
      <c r="N180" s="25"/>
      <c r="O180" s="25"/>
      <c r="P180" s="25"/>
      <c r="Q180" s="25"/>
      <c r="R180" s="25"/>
      <c r="S180" s="34">
        <f>1269+90</f>
        <v>1359</v>
      </c>
      <c r="T180" s="34">
        <v>9</v>
      </c>
      <c r="U180" s="25"/>
      <c r="V180" s="53">
        <f>S180+T180</f>
        <v>1368</v>
      </c>
      <c r="W180" s="25"/>
      <c r="X180" s="5"/>
    </row>
    <row r="181" spans="1:24" ht="15.6" x14ac:dyDescent="0.3">
      <c r="A181" s="24"/>
      <c r="B181" s="25" t="s">
        <v>64</v>
      </c>
      <c r="C181" s="25"/>
      <c r="D181" s="25"/>
      <c r="E181" s="25"/>
      <c r="F181" s="25"/>
      <c r="G181" s="25"/>
      <c r="H181" s="25"/>
      <c r="I181" s="25"/>
      <c r="J181" s="25"/>
      <c r="K181" s="25"/>
      <c r="L181" s="25"/>
      <c r="M181" s="25"/>
      <c r="N181" s="25"/>
      <c r="O181" s="25"/>
      <c r="P181" s="25"/>
      <c r="Q181" s="25"/>
      <c r="R181" s="25"/>
      <c r="S181" s="53">
        <f>S179+S180</f>
        <v>42280</v>
      </c>
      <c r="T181" s="53">
        <f>T180+T179</f>
        <v>5903</v>
      </c>
      <c r="U181" s="25"/>
      <c r="V181" s="53">
        <f>S181+T181</f>
        <v>48183</v>
      </c>
      <c r="W181" s="25"/>
      <c r="X181" s="5"/>
    </row>
    <row r="182" spans="1:24" ht="15.6" x14ac:dyDescent="0.3">
      <c r="A182" s="24"/>
      <c r="B182" s="25" t="s">
        <v>65</v>
      </c>
      <c r="C182" s="25"/>
      <c r="D182" s="25"/>
      <c r="E182" s="25"/>
      <c r="F182" s="25"/>
      <c r="G182" s="25"/>
      <c r="H182" s="25"/>
      <c r="I182" s="25"/>
      <c r="J182" s="25"/>
      <c r="K182" s="25"/>
      <c r="L182" s="25"/>
      <c r="M182" s="25"/>
      <c r="N182" s="25"/>
      <c r="O182" s="25"/>
      <c r="P182" s="25"/>
      <c r="Q182" s="25"/>
      <c r="R182" s="25"/>
      <c r="S182" s="53">
        <f>S178-S181-T181</f>
        <v>191849.80000000002</v>
      </c>
      <c r="T182" s="40"/>
      <c r="U182" s="25"/>
      <c r="V182" s="53"/>
      <c r="W182" s="25"/>
      <c r="X182" s="5"/>
    </row>
    <row r="183" spans="1:24" ht="16.2" thickBot="1" x14ac:dyDescent="0.35">
      <c r="A183" s="24"/>
      <c r="B183" s="25"/>
      <c r="C183" s="25"/>
      <c r="D183" s="25"/>
      <c r="E183" s="25"/>
      <c r="F183" s="25"/>
      <c r="G183" s="25"/>
      <c r="H183" s="25"/>
      <c r="I183" s="25"/>
      <c r="J183" s="25"/>
      <c r="K183" s="25"/>
      <c r="L183" s="25"/>
      <c r="M183" s="25"/>
      <c r="N183" s="25"/>
      <c r="O183" s="25"/>
      <c r="P183" s="25"/>
      <c r="Q183" s="25"/>
      <c r="R183" s="25"/>
      <c r="S183" s="25"/>
      <c r="T183" s="25"/>
      <c r="U183" s="25"/>
      <c r="V183" s="61"/>
      <c r="W183" s="25"/>
      <c r="X183" s="5"/>
    </row>
    <row r="184" spans="1:24" ht="15.6" x14ac:dyDescent="0.3">
      <c r="A184" s="2"/>
      <c r="B184" s="4"/>
      <c r="C184" s="4"/>
      <c r="D184" s="4"/>
      <c r="E184" s="4"/>
      <c r="F184" s="4"/>
      <c r="G184" s="4"/>
      <c r="H184" s="4"/>
      <c r="I184" s="4"/>
      <c r="J184" s="4"/>
      <c r="K184" s="4"/>
      <c r="L184" s="4"/>
      <c r="M184" s="4"/>
      <c r="N184" s="4"/>
      <c r="O184" s="4"/>
      <c r="P184" s="4"/>
      <c r="Q184" s="4"/>
      <c r="R184" s="4"/>
      <c r="S184" s="4"/>
      <c r="T184" s="4"/>
      <c r="U184" s="4"/>
      <c r="V184" s="50"/>
      <c r="W184" s="4"/>
      <c r="X184" s="5"/>
    </row>
    <row r="185" spans="1:24" ht="15.6" x14ac:dyDescent="0.3">
      <c r="A185" s="6"/>
      <c r="B185" s="119" t="s">
        <v>66</v>
      </c>
      <c r="C185" s="8"/>
      <c r="D185" s="8"/>
      <c r="E185" s="8"/>
      <c r="F185" s="8"/>
      <c r="G185" s="8"/>
      <c r="H185" s="8"/>
      <c r="I185" s="8"/>
      <c r="J185" s="8"/>
      <c r="K185" s="8"/>
      <c r="L185" s="8"/>
      <c r="M185" s="8"/>
      <c r="N185" s="8"/>
      <c r="O185" s="8"/>
      <c r="P185" s="8"/>
      <c r="Q185" s="8"/>
      <c r="R185" s="8"/>
      <c r="S185" s="8"/>
      <c r="T185" s="8"/>
      <c r="U185" s="8"/>
      <c r="V185" s="65"/>
      <c r="W185" s="8"/>
      <c r="X185" s="5"/>
    </row>
    <row r="186" spans="1:24" ht="15.6" x14ac:dyDescent="0.3">
      <c r="A186" s="24"/>
      <c r="B186" s="25" t="s">
        <v>67</v>
      </c>
      <c r="C186" s="25"/>
      <c r="D186" s="25"/>
      <c r="E186" s="25"/>
      <c r="F186" s="25"/>
      <c r="G186" s="25"/>
      <c r="H186" s="25"/>
      <c r="I186" s="25"/>
      <c r="J186" s="25"/>
      <c r="K186" s="25"/>
      <c r="L186" s="25"/>
      <c r="M186" s="25"/>
      <c r="N186" s="25"/>
      <c r="O186" s="25"/>
      <c r="P186" s="25"/>
      <c r="Q186" s="25"/>
      <c r="R186" s="25"/>
      <c r="S186" s="25"/>
      <c r="T186" s="25"/>
      <c r="U186" s="25"/>
      <c r="V186" s="59">
        <f>(V101+V103+V104+V105+V106)/-(V107+V108)</f>
        <v>1.3891577249456484</v>
      </c>
      <c r="W186" s="25" t="s">
        <v>120</v>
      </c>
      <c r="X186" s="5"/>
    </row>
    <row r="187" spans="1:24" ht="15.6" x14ac:dyDescent="0.3">
      <c r="A187" s="24"/>
      <c r="B187" s="25" t="s">
        <v>68</v>
      </c>
      <c r="C187" s="25"/>
      <c r="D187" s="25"/>
      <c r="E187" s="25"/>
      <c r="F187" s="25"/>
      <c r="G187" s="25"/>
      <c r="H187" s="25"/>
      <c r="I187" s="25"/>
      <c r="J187" s="25"/>
      <c r="K187" s="25"/>
      <c r="L187" s="25"/>
      <c r="M187" s="25"/>
      <c r="N187" s="25"/>
      <c r="O187" s="25"/>
      <c r="P187" s="25"/>
      <c r="Q187" s="25"/>
      <c r="R187" s="25"/>
      <c r="S187" s="25"/>
      <c r="T187" s="25"/>
      <c r="U187" s="25"/>
      <c r="V187" s="66">
        <v>1.4</v>
      </c>
      <c r="W187" s="25" t="s">
        <v>120</v>
      </c>
      <c r="X187" s="5"/>
    </row>
    <row r="188" spans="1:24" ht="15.6" x14ac:dyDescent="0.3">
      <c r="A188" s="24"/>
      <c r="B188" s="25" t="s">
        <v>69</v>
      </c>
      <c r="C188" s="25"/>
      <c r="D188" s="25"/>
      <c r="E188" s="25"/>
      <c r="F188" s="25"/>
      <c r="G188" s="25"/>
      <c r="H188" s="25"/>
      <c r="I188" s="25"/>
      <c r="J188" s="25"/>
      <c r="K188" s="25"/>
      <c r="L188" s="25"/>
      <c r="M188" s="25"/>
      <c r="N188" s="25"/>
      <c r="O188" s="25"/>
      <c r="P188" s="25"/>
      <c r="Q188" s="25"/>
      <c r="R188" s="25"/>
      <c r="S188" s="25"/>
      <c r="T188" s="25"/>
      <c r="U188" s="25"/>
      <c r="V188" s="59">
        <f>(V101+V103+V104+V105+V106+V107+V108)/-(V109+V110)</f>
        <v>3.2056614673599078</v>
      </c>
      <c r="W188" s="25" t="s">
        <v>120</v>
      </c>
      <c r="X188" s="5"/>
    </row>
    <row r="189" spans="1:24" ht="15.6" x14ac:dyDescent="0.3">
      <c r="A189" s="24"/>
      <c r="B189" s="25" t="s">
        <v>70</v>
      </c>
      <c r="C189" s="25"/>
      <c r="D189" s="25"/>
      <c r="E189" s="25"/>
      <c r="F189" s="25"/>
      <c r="G189" s="25"/>
      <c r="H189" s="25"/>
      <c r="I189" s="25"/>
      <c r="J189" s="25"/>
      <c r="K189" s="25"/>
      <c r="L189" s="25"/>
      <c r="M189" s="25"/>
      <c r="N189" s="25"/>
      <c r="O189" s="25"/>
      <c r="P189" s="25"/>
      <c r="Q189" s="25"/>
      <c r="R189" s="25"/>
      <c r="S189" s="25"/>
      <c r="T189" s="25"/>
      <c r="U189" s="25"/>
      <c r="V189" s="66">
        <v>4.08</v>
      </c>
      <c r="W189" s="25" t="s">
        <v>120</v>
      </c>
      <c r="X189" s="5"/>
    </row>
    <row r="190" spans="1:24" ht="15.6" x14ac:dyDescent="0.3">
      <c r="A190" s="24"/>
      <c r="B190" s="25" t="s">
        <v>204</v>
      </c>
      <c r="C190" s="25"/>
      <c r="D190" s="25"/>
      <c r="E190" s="25"/>
      <c r="F190" s="25"/>
      <c r="G190" s="25"/>
      <c r="H190" s="25"/>
      <c r="I190" s="25"/>
      <c r="J190" s="25"/>
      <c r="K190" s="25"/>
      <c r="L190" s="25"/>
      <c r="M190" s="25"/>
      <c r="N190" s="25"/>
      <c r="O190" s="25"/>
      <c r="P190" s="25"/>
      <c r="Q190" s="25"/>
      <c r="R190" s="25"/>
      <c r="S190" s="25"/>
      <c r="T190" s="25"/>
      <c r="U190" s="25"/>
      <c r="V190" s="59">
        <f>(V101+V103+V104+V105+V106+V107+V108+V109+V110)/-(V111+V112)</f>
        <v>2.6367403314917128</v>
      </c>
      <c r="W190" s="25" t="s">
        <v>120</v>
      </c>
      <c r="X190" s="5"/>
    </row>
    <row r="191" spans="1:24" ht="15.6" x14ac:dyDescent="0.3">
      <c r="A191" s="24"/>
      <c r="B191" s="25" t="s">
        <v>205</v>
      </c>
      <c r="C191" s="25"/>
      <c r="D191" s="25"/>
      <c r="E191" s="25"/>
      <c r="F191" s="25"/>
      <c r="G191" s="25"/>
      <c r="H191" s="25"/>
      <c r="I191" s="25"/>
      <c r="J191" s="25"/>
      <c r="K191" s="25"/>
      <c r="L191" s="25"/>
      <c r="M191" s="25"/>
      <c r="N191" s="25"/>
      <c r="O191" s="25"/>
      <c r="P191" s="25"/>
      <c r="Q191" s="25"/>
      <c r="R191" s="25"/>
      <c r="S191" s="25"/>
      <c r="T191" s="25"/>
      <c r="U191" s="25"/>
      <c r="V191" s="66">
        <v>3.68</v>
      </c>
      <c r="W191" s="25" t="s">
        <v>120</v>
      </c>
      <c r="X191" s="5"/>
    </row>
    <row r="192" spans="1:24"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25"/>
      <c r="W192" s="25"/>
      <c r="X192" s="5"/>
    </row>
    <row r="193" spans="1:24" ht="15.6" x14ac:dyDescent="0.3">
      <c r="A193" s="24"/>
      <c r="B193" s="25"/>
      <c r="C193" s="25"/>
      <c r="D193" s="25"/>
      <c r="E193" s="25"/>
      <c r="F193" s="25"/>
      <c r="G193" s="25"/>
      <c r="H193" s="25"/>
      <c r="I193" s="25"/>
      <c r="J193" s="25"/>
      <c r="K193" s="25"/>
      <c r="L193" s="25"/>
      <c r="M193" s="25"/>
      <c r="N193" s="25"/>
      <c r="O193" s="25"/>
      <c r="P193" s="25"/>
      <c r="Q193" s="25"/>
      <c r="R193" s="25"/>
      <c r="S193" s="25"/>
      <c r="T193" s="25"/>
      <c r="U193" s="25"/>
      <c r="V193" s="25"/>
      <c r="W193" s="25"/>
      <c r="X193" s="5"/>
    </row>
    <row r="194" spans="1:24" ht="15.6" x14ac:dyDescent="0.3">
      <c r="A194" s="6"/>
      <c r="B194" s="8"/>
      <c r="C194" s="8"/>
      <c r="D194" s="8"/>
      <c r="E194" s="8"/>
      <c r="F194" s="8"/>
      <c r="G194" s="8"/>
      <c r="H194" s="8"/>
      <c r="I194" s="8"/>
      <c r="J194" s="8"/>
      <c r="K194" s="8"/>
      <c r="L194" s="8"/>
      <c r="M194" s="8"/>
      <c r="N194" s="8"/>
      <c r="O194" s="8"/>
      <c r="P194" s="8"/>
      <c r="Q194" s="8"/>
      <c r="R194" s="8"/>
      <c r="S194" s="8"/>
      <c r="T194" s="8"/>
      <c r="U194" s="8"/>
      <c r="V194" s="8"/>
      <c r="W194" s="8"/>
      <c r="X194" s="5"/>
    </row>
    <row r="195" spans="1:24" ht="18" thickBot="1" x14ac:dyDescent="0.35">
      <c r="A195" s="101"/>
      <c r="B195" s="102" t="str">
        <f>B136</f>
        <v>PM12 INVESTOR REPORT QUARTER ENDING OCTOBER 2008</v>
      </c>
      <c r="C195" s="165"/>
      <c r="D195" s="165"/>
      <c r="E195" s="165"/>
      <c r="F195" s="165"/>
      <c r="G195" s="165"/>
      <c r="H195" s="165"/>
      <c r="I195" s="165"/>
      <c r="J195" s="165"/>
      <c r="K195" s="165"/>
      <c r="L195" s="165"/>
      <c r="M195" s="165"/>
      <c r="N195" s="165"/>
      <c r="O195" s="165"/>
      <c r="P195" s="165"/>
      <c r="Q195" s="165"/>
      <c r="R195" s="165"/>
      <c r="S195" s="165"/>
      <c r="T195" s="165"/>
      <c r="U195" s="165"/>
      <c r="V195" s="165"/>
      <c r="W195" s="166"/>
      <c r="X195" s="5"/>
    </row>
    <row r="196" spans="1:24" ht="15.6" x14ac:dyDescent="0.3">
      <c r="A196" s="67"/>
      <c r="B196" s="60" t="s">
        <v>71</v>
      </c>
      <c r="C196" s="68"/>
      <c r="D196" s="68"/>
      <c r="E196" s="68"/>
      <c r="F196" s="68"/>
      <c r="G196" s="69"/>
      <c r="H196" s="69"/>
      <c r="I196" s="69"/>
      <c r="J196" s="69"/>
      <c r="K196" s="69"/>
      <c r="L196" s="69"/>
      <c r="M196" s="69"/>
      <c r="N196" s="69"/>
      <c r="O196" s="69"/>
      <c r="P196" s="69"/>
      <c r="Q196" s="69"/>
      <c r="R196" s="69"/>
      <c r="S196" s="69"/>
      <c r="T196" s="70">
        <v>39752</v>
      </c>
      <c r="U196" s="4"/>
      <c r="V196" s="4"/>
      <c r="W196" s="4"/>
      <c r="X196" s="5"/>
    </row>
    <row r="197" spans="1:24" ht="15.6" x14ac:dyDescent="0.3">
      <c r="A197" s="71"/>
      <c r="B197" s="72"/>
      <c r="C197" s="73"/>
      <c r="D197" s="73"/>
      <c r="E197" s="73"/>
      <c r="F197" s="73"/>
      <c r="G197" s="74"/>
      <c r="H197" s="74"/>
      <c r="I197" s="74"/>
      <c r="J197" s="74"/>
      <c r="K197" s="74"/>
      <c r="L197" s="74"/>
      <c r="M197" s="74"/>
      <c r="N197" s="74"/>
      <c r="O197" s="74"/>
      <c r="P197" s="74"/>
      <c r="Q197" s="74"/>
      <c r="R197" s="74"/>
      <c r="S197" s="74"/>
      <c r="T197" s="74"/>
      <c r="U197" s="8"/>
      <c r="V197" s="8"/>
      <c r="W197" s="8"/>
      <c r="X197" s="5"/>
    </row>
    <row r="198" spans="1:24" ht="15.6" x14ac:dyDescent="0.3">
      <c r="A198" s="75"/>
      <c r="B198" s="76" t="s">
        <v>72</v>
      </c>
      <c r="C198" s="77"/>
      <c r="D198" s="77"/>
      <c r="E198" s="77"/>
      <c r="F198" s="77"/>
      <c r="G198" s="64"/>
      <c r="H198" s="64"/>
      <c r="I198" s="64"/>
      <c r="J198" s="64"/>
      <c r="K198" s="64"/>
      <c r="L198" s="64"/>
      <c r="M198" s="64"/>
      <c r="N198" s="64"/>
      <c r="O198" s="64"/>
      <c r="P198" s="64"/>
      <c r="Q198" s="64"/>
      <c r="R198" s="64"/>
      <c r="S198" s="64"/>
      <c r="T198" s="78">
        <v>5.2060000000000002E-2</v>
      </c>
      <c r="U198" s="25"/>
      <c r="V198" s="25"/>
      <c r="W198" s="25"/>
      <c r="X198" s="5"/>
    </row>
    <row r="199" spans="1:24" ht="15.6" x14ac:dyDescent="0.3">
      <c r="A199" s="75"/>
      <c r="B199" s="76" t="s">
        <v>156</v>
      </c>
      <c r="C199" s="77"/>
      <c r="D199" s="77"/>
      <c r="E199" s="77"/>
      <c r="F199" s="77"/>
      <c r="G199" s="64"/>
      <c r="H199" s="64"/>
      <c r="I199" s="64"/>
      <c r="J199" s="64"/>
      <c r="K199" s="64"/>
      <c r="L199" s="64"/>
      <c r="M199" s="64"/>
      <c r="N199" s="64"/>
      <c r="O199" s="64"/>
      <c r="P199" s="64"/>
      <c r="Q199" s="64"/>
      <c r="R199" s="64"/>
      <c r="S199" s="64"/>
      <c r="T199" s="39">
        <f>'Oct 06'!T197</f>
        <v>4.8538814772447772E-2</v>
      </c>
      <c r="U199" s="25"/>
      <c r="V199" s="25"/>
      <c r="W199" s="25"/>
      <c r="X199" s="5"/>
    </row>
    <row r="200" spans="1:24" ht="15.6" x14ac:dyDescent="0.3">
      <c r="A200" s="75"/>
      <c r="B200" s="76" t="s">
        <v>73</v>
      </c>
      <c r="C200" s="77"/>
      <c r="D200" s="77"/>
      <c r="E200" s="77"/>
      <c r="F200" s="77"/>
      <c r="G200" s="64"/>
      <c r="H200" s="64"/>
      <c r="I200" s="64"/>
      <c r="J200" s="64"/>
      <c r="K200" s="64"/>
      <c r="L200" s="64"/>
      <c r="M200" s="64"/>
      <c r="N200" s="64"/>
      <c r="O200" s="64"/>
      <c r="P200" s="64"/>
      <c r="Q200" s="64"/>
      <c r="R200" s="64"/>
      <c r="S200" s="64"/>
      <c r="T200" s="78">
        <f>T198-T199</f>
        <v>3.5211852275522301E-3</v>
      </c>
      <c r="U200" s="25"/>
      <c r="V200" s="25"/>
      <c r="W200" s="25"/>
      <c r="X200" s="5"/>
    </row>
    <row r="201" spans="1:24" ht="15.6" x14ac:dyDescent="0.3">
      <c r="A201" s="75"/>
      <c r="B201" s="76" t="s">
        <v>74</v>
      </c>
      <c r="C201" s="77"/>
      <c r="D201" s="77"/>
      <c r="E201" s="77"/>
      <c r="F201" s="77"/>
      <c r="G201" s="64"/>
      <c r="H201" s="64"/>
      <c r="I201" s="64"/>
      <c r="J201" s="64"/>
      <c r="K201" s="64"/>
      <c r="L201" s="64"/>
      <c r="M201" s="64"/>
      <c r="N201" s="64"/>
      <c r="O201" s="64"/>
      <c r="P201" s="64"/>
      <c r="Q201" s="64"/>
      <c r="R201" s="64"/>
      <c r="S201" s="64"/>
      <c r="T201" s="78">
        <v>5.9990000000000002E-2</v>
      </c>
      <c r="U201" s="25"/>
      <c r="V201" s="25"/>
      <c r="W201" s="25"/>
      <c r="X201" s="5"/>
    </row>
    <row r="202" spans="1:24" ht="15.6" x14ac:dyDescent="0.3">
      <c r="A202" s="75"/>
      <c r="B202" s="76" t="s">
        <v>225</v>
      </c>
      <c r="C202" s="77"/>
      <c r="D202" s="77"/>
      <c r="E202" s="77"/>
      <c r="F202" s="77"/>
      <c r="G202" s="64"/>
      <c r="H202" s="64"/>
      <c r="I202" s="64"/>
      <c r="J202" s="64"/>
      <c r="K202" s="64"/>
      <c r="L202" s="64"/>
      <c r="M202" s="64"/>
      <c r="N202" s="64"/>
      <c r="O202" s="64"/>
      <c r="P202" s="64"/>
      <c r="Q202" s="64"/>
      <c r="R202" s="64"/>
      <c r="S202" s="64"/>
      <c r="T202" s="78">
        <f>V43</f>
        <v>5.9337447784128222E-2</v>
      </c>
      <c r="U202" s="25"/>
      <c r="V202" s="25"/>
      <c r="W202" s="25"/>
      <c r="X202" s="5"/>
    </row>
    <row r="203" spans="1:24" ht="15.6" x14ac:dyDescent="0.3">
      <c r="A203" s="75"/>
      <c r="B203" s="76" t="s">
        <v>75</v>
      </c>
      <c r="C203" s="77"/>
      <c r="D203" s="77"/>
      <c r="E203" s="77"/>
      <c r="F203" s="77"/>
      <c r="G203" s="64"/>
      <c r="H203" s="64"/>
      <c r="I203" s="64"/>
      <c r="J203" s="64"/>
      <c r="K203" s="64"/>
      <c r="L203" s="64"/>
      <c r="M203" s="64"/>
      <c r="N203" s="64"/>
      <c r="O203" s="64"/>
      <c r="P203" s="64"/>
      <c r="Q203" s="64"/>
      <c r="R203" s="64"/>
      <c r="S203" s="64"/>
      <c r="T203" s="78">
        <f>T201-T202</f>
        <v>6.5255221587177947E-4</v>
      </c>
      <c r="U203" s="25"/>
      <c r="V203" s="25"/>
      <c r="W203" s="25"/>
      <c r="X203" s="5"/>
    </row>
    <row r="204" spans="1:24" ht="15.6" x14ac:dyDescent="0.3">
      <c r="A204" s="75"/>
      <c r="B204" s="76" t="s">
        <v>271</v>
      </c>
      <c r="C204" s="77"/>
      <c r="D204" s="77"/>
      <c r="E204" s="77"/>
      <c r="F204" s="77"/>
      <c r="G204" s="64"/>
      <c r="H204" s="64"/>
      <c r="I204" s="64"/>
      <c r="J204" s="64"/>
      <c r="K204" s="64"/>
      <c r="L204" s="64"/>
      <c r="M204" s="64"/>
      <c r="N204" s="64"/>
      <c r="O204" s="64"/>
      <c r="P204" s="64"/>
      <c r="Q204" s="64"/>
      <c r="R204" s="64"/>
      <c r="S204" s="64"/>
      <c r="T204" s="78">
        <f>+V101/N72</f>
        <v>1.7825299446979328E-2</v>
      </c>
      <c r="U204" s="25"/>
      <c r="V204" s="25"/>
      <c r="W204" s="25"/>
      <c r="X204" s="5"/>
    </row>
    <row r="205" spans="1:24" ht="15.6" x14ac:dyDescent="0.3">
      <c r="A205" s="75"/>
      <c r="B205" s="76" t="s">
        <v>214</v>
      </c>
      <c r="C205" s="77"/>
      <c r="D205" s="77"/>
      <c r="E205" s="77"/>
      <c r="F205" s="77"/>
      <c r="G205" s="64"/>
      <c r="H205" s="64"/>
      <c r="I205" s="64"/>
      <c r="J205" s="64"/>
      <c r="K205" s="64"/>
      <c r="L205" s="64"/>
      <c r="M205" s="64"/>
      <c r="N205" s="64"/>
      <c r="O205" s="64"/>
      <c r="P205" s="64"/>
      <c r="Q205" s="64"/>
      <c r="R205" s="64"/>
      <c r="S205" s="64"/>
      <c r="T205" s="129">
        <v>50710</v>
      </c>
      <c r="U205" s="25"/>
      <c r="V205" s="25"/>
      <c r="W205" s="25"/>
      <c r="X205" s="5"/>
    </row>
    <row r="206" spans="1:24" ht="15.6" x14ac:dyDescent="0.3">
      <c r="A206" s="75"/>
      <c r="B206" s="76" t="s">
        <v>215</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216</v>
      </c>
      <c r="C207" s="77"/>
      <c r="D207" s="77"/>
      <c r="E207" s="77"/>
      <c r="F207" s="77"/>
      <c r="G207" s="64"/>
      <c r="H207" s="64"/>
      <c r="I207" s="64"/>
      <c r="J207" s="64"/>
      <c r="K207" s="64"/>
      <c r="L207" s="64"/>
      <c r="M207" s="64"/>
      <c r="N207" s="64"/>
      <c r="O207" s="64"/>
      <c r="P207" s="64"/>
      <c r="Q207" s="64"/>
      <c r="R207" s="64"/>
      <c r="S207" s="64"/>
      <c r="T207" s="129">
        <v>50710</v>
      </c>
      <c r="U207" s="25"/>
      <c r="V207" s="25"/>
      <c r="W207" s="25"/>
      <c r="X207" s="5"/>
    </row>
    <row r="208" spans="1:24" ht="15.6" x14ac:dyDescent="0.3">
      <c r="A208" s="75"/>
      <c r="B208" s="76" t="s">
        <v>76</v>
      </c>
      <c r="C208" s="77"/>
      <c r="D208" s="77"/>
      <c r="E208" s="77"/>
      <c r="F208" s="77"/>
      <c r="G208" s="64"/>
      <c r="H208" s="64"/>
      <c r="I208" s="64"/>
      <c r="J208" s="64"/>
      <c r="K208" s="64"/>
      <c r="L208" s="64"/>
      <c r="M208" s="64"/>
      <c r="N208" s="64"/>
      <c r="O208" s="64"/>
      <c r="P208" s="64"/>
      <c r="Q208" s="64"/>
      <c r="R208" s="64"/>
      <c r="S208" s="64"/>
      <c r="T208" s="133">
        <v>21.06</v>
      </c>
      <c r="U208" s="25" t="s">
        <v>115</v>
      </c>
      <c r="V208" s="25"/>
      <c r="W208" s="25"/>
      <c r="X208" s="5"/>
    </row>
    <row r="209" spans="1:24" ht="15.6" x14ac:dyDescent="0.3">
      <c r="A209" s="75"/>
      <c r="B209" s="76" t="s">
        <v>77</v>
      </c>
      <c r="C209" s="77"/>
      <c r="D209" s="77"/>
      <c r="E209" s="77"/>
      <c r="F209" s="77"/>
      <c r="G209" s="64"/>
      <c r="H209" s="64"/>
      <c r="I209" s="64"/>
      <c r="J209" s="64"/>
      <c r="K209" s="64"/>
      <c r="L209" s="64"/>
      <c r="M209" s="64"/>
      <c r="N209" s="64"/>
      <c r="O209" s="64"/>
      <c r="P209" s="64"/>
      <c r="Q209" s="64"/>
      <c r="R209" s="64"/>
      <c r="S209" s="64"/>
      <c r="T209" s="133">
        <v>18.87</v>
      </c>
      <c r="U209" s="25" t="s">
        <v>115</v>
      </c>
      <c r="V209" s="25"/>
      <c r="W209" s="25"/>
      <c r="X209" s="5"/>
    </row>
    <row r="210" spans="1:24" ht="15.6" x14ac:dyDescent="0.3">
      <c r="A210" s="75"/>
      <c r="B210" s="76" t="s">
        <v>78</v>
      </c>
      <c r="C210" s="77"/>
      <c r="D210" s="77"/>
      <c r="E210" s="77"/>
      <c r="F210" s="77"/>
      <c r="G210" s="64"/>
      <c r="H210" s="64"/>
      <c r="I210" s="64"/>
      <c r="J210" s="64"/>
      <c r="K210" s="64"/>
      <c r="L210" s="64"/>
      <c r="M210" s="64"/>
      <c r="N210" s="64"/>
      <c r="O210" s="64"/>
      <c r="P210" s="64"/>
      <c r="Q210" s="64"/>
      <c r="R210" s="64"/>
      <c r="S210" s="64"/>
      <c r="T210" s="78">
        <f>+P69/N69</f>
        <v>4.078560306067279E-2</v>
      </c>
      <c r="U210" s="25"/>
      <c r="V210" s="25"/>
      <c r="W210" s="25"/>
      <c r="X210" s="5"/>
    </row>
    <row r="211" spans="1:24" ht="15.6" x14ac:dyDescent="0.3">
      <c r="A211" s="75"/>
      <c r="B211" s="76" t="s">
        <v>79</v>
      </c>
      <c r="C211" s="77"/>
      <c r="D211" s="77"/>
      <c r="E211" s="77"/>
      <c r="F211" s="77"/>
      <c r="G211" s="64"/>
      <c r="H211" s="64"/>
      <c r="I211" s="64"/>
      <c r="J211" s="64"/>
      <c r="K211" s="64"/>
      <c r="L211" s="64"/>
      <c r="M211" s="64"/>
      <c r="N211" s="64"/>
      <c r="O211" s="64"/>
      <c r="P211" s="64"/>
      <c r="Q211" s="64"/>
      <c r="R211" s="64"/>
      <c r="S211" s="64"/>
      <c r="T211" s="78">
        <v>0.1421</v>
      </c>
      <c r="U211" s="25"/>
      <c r="V211" s="25"/>
      <c r="W211" s="25"/>
      <c r="X211" s="5"/>
    </row>
    <row r="212" spans="1:24" ht="15.6" x14ac:dyDescent="0.3">
      <c r="A212" s="75"/>
      <c r="B212" s="76"/>
      <c r="C212" s="76"/>
      <c r="D212" s="76"/>
      <c r="E212" s="76"/>
      <c r="F212" s="76"/>
      <c r="G212" s="25"/>
      <c r="H212" s="25"/>
      <c r="I212" s="25"/>
      <c r="J212" s="25"/>
      <c r="K212" s="25"/>
      <c r="L212" s="25"/>
      <c r="M212" s="25"/>
      <c r="N212" s="25"/>
      <c r="O212" s="25"/>
      <c r="P212" s="25"/>
      <c r="Q212" s="25"/>
      <c r="R212" s="25"/>
      <c r="S212" s="25"/>
      <c r="T212" s="61"/>
      <c r="U212" s="25"/>
      <c r="V212" s="79"/>
      <c r="W212" s="25"/>
      <c r="X212" s="5"/>
    </row>
    <row r="213" spans="1:24" ht="15.6" x14ac:dyDescent="0.3">
      <c r="A213" s="80"/>
      <c r="B213" s="14" t="s">
        <v>80</v>
      </c>
      <c r="C213" s="81"/>
      <c r="D213" s="81"/>
      <c r="E213" s="81"/>
      <c r="F213" s="82"/>
      <c r="G213" s="81"/>
      <c r="H213" s="17"/>
      <c r="I213" s="17"/>
      <c r="J213" s="17"/>
      <c r="K213" s="17"/>
      <c r="L213" s="17"/>
      <c r="M213" s="17"/>
      <c r="N213" s="17"/>
      <c r="O213" s="17"/>
      <c r="P213" s="17"/>
      <c r="Q213" s="17"/>
      <c r="R213" s="17"/>
      <c r="S213" s="17" t="s">
        <v>104</v>
      </c>
      <c r="T213" s="83" t="s">
        <v>111</v>
      </c>
      <c r="U213" s="8"/>
      <c r="V213" s="8"/>
      <c r="W213" s="8"/>
      <c r="X213" s="5"/>
    </row>
    <row r="214" spans="1:24" ht="15.6" x14ac:dyDescent="0.3">
      <c r="A214" s="84"/>
      <c r="B214" s="76" t="s">
        <v>81</v>
      </c>
      <c r="C214" s="54"/>
      <c r="D214" s="54"/>
      <c r="E214" s="54"/>
      <c r="F214" s="25"/>
      <c r="G214" s="25"/>
      <c r="H214" s="30"/>
      <c r="I214" s="30"/>
      <c r="J214" s="30"/>
      <c r="K214" s="30"/>
      <c r="L214" s="30"/>
      <c r="M214" s="30"/>
      <c r="N214" s="30"/>
      <c r="O214" s="30"/>
      <c r="P214" s="30"/>
      <c r="Q214" s="30"/>
      <c r="R214" s="30"/>
      <c r="S214" s="30">
        <v>2</v>
      </c>
      <c r="T214" s="85">
        <v>291</v>
      </c>
      <c r="U214" s="25"/>
      <c r="V214" s="79"/>
      <c r="W214" s="86"/>
      <c r="X214" s="5"/>
    </row>
    <row r="215" spans="1:24" ht="15.6" x14ac:dyDescent="0.3">
      <c r="A215" s="84"/>
      <c r="B215" s="76" t="s">
        <v>150</v>
      </c>
      <c r="C215" s="54"/>
      <c r="D215" s="54"/>
      <c r="E215" s="54"/>
      <c r="F215" s="25"/>
      <c r="G215" s="25"/>
      <c r="H215" s="30"/>
      <c r="I215" s="30"/>
      <c r="J215" s="30"/>
      <c r="K215" s="30"/>
      <c r="L215" s="30"/>
      <c r="M215" s="30"/>
      <c r="N215" s="30"/>
      <c r="O215" s="30"/>
      <c r="P215" s="30"/>
      <c r="Q215" s="30"/>
      <c r="R215" s="30"/>
      <c r="S215" s="152">
        <f>+R255</f>
        <v>136</v>
      </c>
      <c r="T215" s="85">
        <f>+T255</f>
        <v>22985</v>
      </c>
      <c r="U215" s="25"/>
      <c r="V215" s="79"/>
      <c r="W215" s="86"/>
      <c r="X215" s="5"/>
    </row>
    <row r="216" spans="1:24" ht="15.6" x14ac:dyDescent="0.3">
      <c r="A216" s="84"/>
      <c r="B216" s="76" t="s">
        <v>82</v>
      </c>
      <c r="C216" s="54"/>
      <c r="D216" s="54"/>
      <c r="E216" s="54"/>
      <c r="F216" s="25"/>
      <c r="G216" s="25"/>
      <c r="H216" s="30"/>
      <c r="I216" s="30"/>
      <c r="J216" s="30"/>
      <c r="K216" s="30"/>
      <c r="L216" s="30"/>
      <c r="M216" s="30"/>
      <c r="N216" s="30"/>
      <c r="O216" s="30"/>
      <c r="P216" s="30"/>
      <c r="Q216" s="30"/>
      <c r="R216" s="30"/>
      <c r="S216" s="152">
        <f>+R267</f>
        <v>0</v>
      </c>
      <c r="T216" s="85">
        <f>+T267</f>
        <v>0</v>
      </c>
      <c r="U216" s="25"/>
      <c r="V216" s="79"/>
      <c r="W216" s="86"/>
      <c r="X216" s="5"/>
    </row>
    <row r="217" spans="1:24" ht="15.6" x14ac:dyDescent="0.3">
      <c r="A217" s="84"/>
      <c r="B217" s="122" t="s">
        <v>83</v>
      </c>
      <c r="C217" s="54"/>
      <c r="D217" s="54"/>
      <c r="E217" s="54"/>
      <c r="F217" s="25"/>
      <c r="G217" s="25"/>
      <c r="H217" s="25"/>
      <c r="I217" s="25"/>
      <c r="J217" s="25"/>
      <c r="K217" s="25"/>
      <c r="L217" s="25"/>
      <c r="M217" s="25"/>
      <c r="N217" s="25"/>
      <c r="O217" s="25"/>
      <c r="P217" s="25"/>
      <c r="Q217" s="25"/>
      <c r="R217" s="25"/>
      <c r="S217" s="25"/>
      <c r="T217" s="85">
        <v>0</v>
      </c>
      <c r="U217" s="25"/>
      <c r="V217" s="79"/>
      <c r="W217" s="86"/>
      <c r="X217" s="5"/>
    </row>
    <row r="218" spans="1:24" ht="15.6" x14ac:dyDescent="0.3">
      <c r="A218" s="84"/>
      <c r="B218" s="122" t="s">
        <v>84</v>
      </c>
      <c r="C218" s="54"/>
      <c r="D218" s="54"/>
      <c r="E218" s="54"/>
      <c r="F218" s="25"/>
      <c r="G218" s="25"/>
      <c r="H218" s="25"/>
      <c r="I218" s="25"/>
      <c r="J218" s="25"/>
      <c r="K218" s="25"/>
      <c r="L218" s="25"/>
      <c r="M218" s="25"/>
      <c r="N218" s="25"/>
      <c r="O218" s="25"/>
      <c r="P218" s="25"/>
      <c r="Q218" s="25"/>
      <c r="R218" s="25"/>
      <c r="S218" s="25"/>
      <c r="T218" s="62" t="s">
        <v>112</v>
      </c>
      <c r="U218" s="25"/>
      <c r="V218" s="79"/>
      <c r="W218" s="86"/>
      <c r="X218" s="5"/>
    </row>
    <row r="219" spans="1:24" ht="15.6" x14ac:dyDescent="0.3">
      <c r="A219" s="87"/>
      <c r="B219" s="122" t="s">
        <v>85</v>
      </c>
      <c r="C219" s="76"/>
      <c r="D219" s="76"/>
      <c r="E219" s="76"/>
      <c r="F219" s="76"/>
      <c r="G219" s="25"/>
      <c r="H219" s="25"/>
      <c r="I219" s="25"/>
      <c r="J219" s="25"/>
      <c r="K219" s="25"/>
      <c r="L219" s="25"/>
      <c r="M219" s="25"/>
      <c r="N219" s="25"/>
      <c r="O219" s="25"/>
      <c r="P219" s="25"/>
      <c r="Q219" s="25"/>
      <c r="R219" s="25"/>
      <c r="S219" s="25"/>
      <c r="T219" s="85"/>
      <c r="U219" s="25"/>
      <c r="V219" s="79"/>
      <c r="W219" s="88"/>
      <c r="X219" s="5"/>
    </row>
    <row r="220" spans="1:24" ht="15.6" x14ac:dyDescent="0.3">
      <c r="A220" s="87"/>
      <c r="B220" s="131" t="s">
        <v>86</v>
      </c>
      <c r="C220" s="76"/>
      <c r="D220" s="76"/>
      <c r="E220" s="76"/>
      <c r="F220" s="76"/>
      <c r="G220" s="25"/>
      <c r="H220" s="25"/>
      <c r="I220" s="25"/>
      <c r="J220" s="25"/>
      <c r="K220" s="25"/>
      <c r="L220" s="25"/>
      <c r="M220" s="25"/>
      <c r="N220" s="25"/>
      <c r="O220" s="25"/>
      <c r="P220" s="25"/>
      <c r="Q220" s="25"/>
      <c r="R220" s="25"/>
      <c r="S220" s="30"/>
      <c r="T220" s="85">
        <f>+V165</f>
        <v>168</v>
      </c>
      <c r="U220" s="25"/>
      <c r="V220" s="79"/>
      <c r="W220" s="88"/>
      <c r="X220" s="5"/>
    </row>
    <row r="221" spans="1:24" ht="15.6" x14ac:dyDescent="0.3">
      <c r="A221" s="84"/>
      <c r="B221" s="76" t="s">
        <v>87</v>
      </c>
      <c r="C221" s="54"/>
      <c r="D221" s="54"/>
      <c r="E221" s="54"/>
      <c r="F221" s="54"/>
      <c r="G221" s="25"/>
      <c r="H221" s="25"/>
      <c r="I221" s="25"/>
      <c r="J221" s="25"/>
      <c r="K221" s="25"/>
      <c r="L221" s="25"/>
      <c r="M221" s="25"/>
      <c r="N221" s="25"/>
      <c r="O221" s="25"/>
      <c r="P221" s="25"/>
      <c r="Q221" s="25"/>
      <c r="R221" s="25"/>
      <c r="S221" s="30"/>
      <c r="T221" s="85">
        <f>'July 08'!T221+'Oct 08'!T220</f>
        <v>311</v>
      </c>
      <c r="U221" s="25"/>
      <c r="V221" s="79"/>
      <c r="W221" s="88"/>
      <c r="X221" s="5"/>
    </row>
    <row r="222" spans="1:24" ht="15.6" x14ac:dyDescent="0.3">
      <c r="A222" s="87"/>
      <c r="B222" s="122" t="s">
        <v>292</v>
      </c>
      <c r="C222" s="76"/>
      <c r="D222" s="76"/>
      <c r="E222" s="76"/>
      <c r="F222" s="76"/>
      <c r="G222" s="25"/>
      <c r="H222" s="25"/>
      <c r="I222" s="25"/>
      <c r="J222" s="25"/>
      <c r="K222" s="25"/>
      <c r="L222" s="25"/>
      <c r="M222" s="25"/>
      <c r="N222" s="25"/>
      <c r="O222" s="25"/>
      <c r="P222" s="25"/>
      <c r="Q222" s="25"/>
      <c r="R222" s="25"/>
      <c r="S222" s="30"/>
      <c r="T222" s="85"/>
      <c r="U222" s="25"/>
      <c r="V222" s="79"/>
      <c r="W222" s="88"/>
      <c r="X222" s="5"/>
    </row>
    <row r="223" spans="1:24" ht="15.6" x14ac:dyDescent="0.3">
      <c r="A223" s="87"/>
      <c r="B223" s="76" t="s">
        <v>290</v>
      </c>
      <c r="C223" s="76"/>
      <c r="D223" s="76"/>
      <c r="E223" s="76"/>
      <c r="F223" s="76"/>
      <c r="G223" s="25"/>
      <c r="H223" s="25"/>
      <c r="I223" s="25"/>
      <c r="J223" s="25"/>
      <c r="K223" s="25"/>
      <c r="L223" s="25"/>
      <c r="M223" s="25"/>
      <c r="N223" s="25"/>
      <c r="O223" s="25"/>
      <c r="P223" s="25"/>
      <c r="Q223" s="25"/>
      <c r="R223" s="25"/>
      <c r="S223" s="30">
        <v>0</v>
      </c>
      <c r="T223" s="85">
        <v>0</v>
      </c>
      <c r="U223" s="25"/>
      <c r="V223" s="79"/>
      <c r="W223" s="88"/>
      <c r="X223" s="5"/>
    </row>
    <row r="224" spans="1:24" ht="15.6" x14ac:dyDescent="0.3">
      <c r="A224" s="84"/>
      <c r="B224" s="76" t="s">
        <v>88</v>
      </c>
      <c r="C224" s="89"/>
      <c r="D224" s="89"/>
      <c r="E224" s="89"/>
      <c r="F224" s="90"/>
      <c r="G224" s="25"/>
      <c r="H224" s="25"/>
      <c r="I224" s="25"/>
      <c r="J224" s="25"/>
      <c r="K224" s="25"/>
      <c r="L224" s="25"/>
      <c r="M224" s="25"/>
      <c r="N224" s="25"/>
      <c r="O224" s="25"/>
      <c r="P224" s="25"/>
      <c r="Q224" s="25"/>
      <c r="R224" s="25"/>
      <c r="S224" s="25"/>
      <c r="T224" s="62">
        <v>0</v>
      </c>
      <c r="U224" s="25"/>
      <c r="V224" s="79"/>
      <c r="W224" s="88"/>
      <c r="X224" s="5"/>
    </row>
    <row r="225" spans="1:25" ht="15.6" x14ac:dyDescent="0.3">
      <c r="A225" s="84"/>
      <c r="B225" s="76" t="s">
        <v>89</v>
      </c>
      <c r="C225" s="89"/>
      <c r="D225" s="89"/>
      <c r="E225" s="89"/>
      <c r="F225" s="90"/>
      <c r="G225" s="25"/>
      <c r="H225" s="25"/>
      <c r="I225" s="25"/>
      <c r="J225" s="25"/>
      <c r="K225" s="25"/>
      <c r="L225" s="25"/>
      <c r="M225" s="25"/>
      <c r="N225" s="25"/>
      <c r="O225" s="25"/>
      <c r="P225" s="25"/>
      <c r="Q225" s="25"/>
      <c r="R225" s="25"/>
      <c r="S225" s="25"/>
      <c r="T225" s="62">
        <v>0</v>
      </c>
      <c r="U225" s="25"/>
      <c r="V225" s="79"/>
      <c r="W225" s="88"/>
      <c r="X225" s="5"/>
    </row>
    <row r="226" spans="1:25" ht="15.6" x14ac:dyDescent="0.3">
      <c r="A226" s="84"/>
      <c r="B226" s="122" t="s">
        <v>223</v>
      </c>
      <c r="C226" s="89"/>
      <c r="D226" s="89"/>
      <c r="E226" s="89"/>
      <c r="F226" s="90"/>
      <c r="G226" s="25"/>
      <c r="H226" s="25"/>
      <c r="I226" s="25"/>
      <c r="J226" s="25"/>
      <c r="K226" s="25"/>
      <c r="L226" s="25"/>
      <c r="M226" s="25"/>
      <c r="N226" s="25"/>
      <c r="O226" s="25"/>
      <c r="P226" s="25"/>
      <c r="Q226" s="25"/>
      <c r="R226" s="25"/>
      <c r="S226" s="25"/>
      <c r="T226" s="91"/>
      <c r="U226" s="25"/>
      <c r="V226" s="79"/>
      <c r="W226" s="88"/>
      <c r="X226" s="5"/>
    </row>
    <row r="227" spans="1:25" ht="15.6" x14ac:dyDescent="0.3">
      <c r="A227" s="84"/>
      <c r="B227" s="76" t="s">
        <v>290</v>
      </c>
      <c r="C227" s="89"/>
      <c r="D227" s="89"/>
      <c r="E227" s="89"/>
      <c r="F227" s="90"/>
      <c r="G227" s="25"/>
      <c r="H227" s="25"/>
      <c r="I227" s="25"/>
      <c r="J227" s="25"/>
      <c r="K227" s="25"/>
      <c r="L227" s="25"/>
      <c r="M227" s="25"/>
      <c r="N227" s="25"/>
      <c r="O227" s="25"/>
      <c r="P227" s="25"/>
      <c r="Q227" s="25"/>
      <c r="R227" s="25"/>
      <c r="S227" s="30">
        <v>5</v>
      </c>
      <c r="T227" s="85">
        <v>680</v>
      </c>
      <c r="U227" s="25"/>
      <c r="V227" s="79"/>
      <c r="W227" s="88"/>
      <c r="X227" s="5"/>
    </row>
    <row r="228" spans="1:25" ht="15.6" x14ac:dyDescent="0.3">
      <c r="A228" s="84"/>
      <c r="B228" s="76" t="s">
        <v>224</v>
      </c>
      <c r="C228" s="89"/>
      <c r="D228" s="89"/>
      <c r="E228" s="89"/>
      <c r="F228" s="90"/>
      <c r="G228" s="25"/>
      <c r="H228" s="25"/>
      <c r="I228" s="25"/>
      <c r="J228" s="25"/>
      <c r="K228" s="25"/>
      <c r="L228" s="25"/>
      <c r="M228" s="25"/>
      <c r="N228" s="25"/>
      <c r="O228" s="25"/>
      <c r="P228" s="25"/>
      <c r="Q228" s="25"/>
      <c r="R228" s="25"/>
      <c r="S228" s="25"/>
      <c r="T228" s="62">
        <v>9.36</v>
      </c>
      <c r="U228" s="25"/>
      <c r="V228" s="79"/>
      <c r="W228" s="88"/>
      <c r="X228" s="5"/>
    </row>
    <row r="229" spans="1:25" ht="15.6" x14ac:dyDescent="0.3">
      <c r="A229" s="84"/>
      <c r="B229" s="76"/>
      <c r="C229" s="89"/>
      <c r="D229" s="89"/>
      <c r="E229" s="89"/>
      <c r="F229" s="90"/>
      <c r="G229" s="25"/>
      <c r="H229" s="25"/>
      <c r="I229" s="25"/>
      <c r="J229" s="25"/>
      <c r="K229" s="25"/>
      <c r="L229" s="25"/>
      <c r="M229" s="25"/>
      <c r="N229" s="25"/>
      <c r="O229" s="25"/>
      <c r="P229" s="25"/>
      <c r="Q229" s="25"/>
      <c r="R229" s="25"/>
      <c r="S229" s="25"/>
      <c r="T229" s="91"/>
      <c r="U229" s="25"/>
      <c r="V229" s="79"/>
      <c r="W229" s="88"/>
      <c r="X229" s="5"/>
    </row>
    <row r="230" spans="1:25" ht="15.6" x14ac:dyDescent="0.3">
      <c r="A230" s="84"/>
      <c r="B230" s="76"/>
      <c r="C230" s="89"/>
      <c r="D230" s="89"/>
      <c r="E230" s="89"/>
      <c r="F230" s="90"/>
      <c r="G230" s="25"/>
      <c r="H230" s="25"/>
      <c r="I230" s="25"/>
      <c r="J230" s="25"/>
      <c r="K230" s="25"/>
      <c r="L230" s="25"/>
      <c r="M230" s="25"/>
      <c r="N230" s="25"/>
      <c r="O230" s="25"/>
      <c r="P230" s="25"/>
      <c r="Q230" s="25"/>
      <c r="R230" s="25"/>
      <c r="S230" s="25"/>
      <c r="T230" s="91"/>
      <c r="U230" s="25"/>
      <c r="V230" s="79"/>
      <c r="W230" s="88"/>
      <c r="X230" s="5"/>
    </row>
    <row r="231" spans="1:25" ht="17.399999999999999" x14ac:dyDescent="0.3">
      <c r="A231" s="84"/>
      <c r="B231" s="149" t="s">
        <v>174</v>
      </c>
      <c r="C231" s="89"/>
      <c r="D231" s="89"/>
      <c r="E231" s="89"/>
      <c r="F231" s="90"/>
      <c r="G231" s="25"/>
      <c r="H231" s="25"/>
      <c r="I231" s="25"/>
      <c r="J231" s="25"/>
      <c r="K231" s="25"/>
      <c r="L231" s="25"/>
      <c r="M231" s="25"/>
      <c r="N231" s="25"/>
      <c r="O231" s="25"/>
      <c r="P231" s="150" t="s">
        <v>173</v>
      </c>
      <c r="Q231" s="25"/>
      <c r="R231" s="25"/>
      <c r="S231" s="25"/>
      <c r="T231" s="91"/>
      <c r="U231" s="25"/>
      <c r="V231" s="79"/>
      <c r="W231" s="88"/>
      <c r="X231" s="5"/>
    </row>
    <row r="232" spans="1:25" ht="15.6" x14ac:dyDescent="0.3">
      <c r="A232" s="84"/>
      <c r="B232" s="76"/>
      <c r="C232" s="89"/>
      <c r="D232" s="89"/>
      <c r="E232" s="89"/>
      <c r="F232" s="90"/>
      <c r="G232" s="25"/>
      <c r="H232" s="25"/>
      <c r="I232" s="25"/>
      <c r="J232" s="25"/>
      <c r="K232" s="25"/>
      <c r="L232" s="25"/>
      <c r="M232" s="25"/>
      <c r="N232" s="25"/>
      <c r="O232" s="25"/>
      <c r="P232" s="25"/>
      <c r="Q232" s="25"/>
      <c r="R232" s="25"/>
      <c r="S232" s="25"/>
      <c r="T232" s="91"/>
      <c r="U232" s="25"/>
      <c r="V232" s="79"/>
      <c r="W232" s="88"/>
      <c r="X232" s="5"/>
    </row>
    <row r="233" spans="1:25" ht="15.6" x14ac:dyDescent="0.3">
      <c r="A233" s="6"/>
      <c r="B233" s="14" t="s">
        <v>167</v>
      </c>
      <c r="C233" s="81"/>
      <c r="D233" s="81"/>
      <c r="E233" s="81"/>
      <c r="F233" s="82"/>
      <c r="G233" s="81"/>
      <c r="H233" s="17"/>
      <c r="I233" s="17"/>
      <c r="J233" s="17"/>
      <c r="K233" s="17"/>
      <c r="L233" s="17"/>
      <c r="M233" s="17"/>
      <c r="N233" s="17"/>
      <c r="O233" s="17"/>
      <c r="P233" s="17"/>
      <c r="Q233" s="17"/>
      <c r="R233" s="83" t="s">
        <v>104</v>
      </c>
      <c r="S233" s="17" t="s">
        <v>105</v>
      </c>
      <c r="T233" s="83" t="s">
        <v>113</v>
      </c>
      <c r="U233" s="17" t="s">
        <v>105</v>
      </c>
      <c r="V233" s="8"/>
      <c r="W233" s="92"/>
      <c r="X233" s="5"/>
    </row>
    <row r="234" spans="1:25" ht="15.6" x14ac:dyDescent="0.3">
      <c r="A234" s="24"/>
      <c r="B234" s="54" t="s">
        <v>90</v>
      </c>
      <c r="C234" s="93"/>
      <c r="D234" s="93"/>
      <c r="E234" s="93"/>
      <c r="F234" s="25"/>
      <c r="G234" s="93"/>
      <c r="H234" s="93"/>
      <c r="I234" s="93"/>
      <c r="J234" s="93"/>
      <c r="K234" s="93"/>
      <c r="L234" s="93"/>
      <c r="M234" s="93"/>
      <c r="N234" s="93"/>
      <c r="O234" s="93"/>
      <c r="P234" s="93"/>
      <c r="Q234" s="93"/>
      <c r="R234" s="54">
        <v>7842</v>
      </c>
      <c r="S234" s="94">
        <f t="shared" ref="S234:S241" si="1">R234/$R$243</f>
        <v>0.98468106479156203</v>
      </c>
      <c r="T234" s="53">
        <v>1055382</v>
      </c>
      <c r="U234" s="132">
        <f t="shared" ref="U234:U241" si="2">T234/$T$243</f>
        <v>0.98332035137018725</v>
      </c>
      <c r="V234" s="79"/>
      <c r="W234" s="88"/>
      <c r="X234" s="5"/>
    </row>
    <row r="235" spans="1:25" ht="15.6" x14ac:dyDescent="0.3">
      <c r="A235" s="24"/>
      <c r="B235" s="54" t="s">
        <v>91</v>
      </c>
      <c r="C235" s="93"/>
      <c r="D235" s="93"/>
      <c r="E235" s="93"/>
      <c r="F235" s="25"/>
      <c r="G235" s="94"/>
      <c r="H235" s="93"/>
      <c r="I235" s="93"/>
      <c r="J235" s="93"/>
      <c r="K235" s="93"/>
      <c r="L235" s="93"/>
      <c r="M235" s="93"/>
      <c r="N235" s="93"/>
      <c r="O235" s="93"/>
      <c r="P235" s="93"/>
      <c r="Q235" s="93"/>
      <c r="R235" s="54">
        <v>79</v>
      </c>
      <c r="S235" s="94">
        <f t="shared" si="1"/>
        <v>9.9196383726770469E-3</v>
      </c>
      <c r="T235" s="53">
        <v>11251</v>
      </c>
      <c r="U235" s="132">
        <f t="shared" si="2"/>
        <v>1.0482779953861234E-2</v>
      </c>
      <c r="V235" s="79"/>
      <c r="W235" s="88"/>
      <c r="X235" s="5"/>
      <c r="Y235" s="109"/>
    </row>
    <row r="236" spans="1:25" ht="15.6" x14ac:dyDescent="0.3">
      <c r="A236" s="24"/>
      <c r="B236" s="54" t="s">
        <v>92</v>
      </c>
      <c r="C236" s="93"/>
      <c r="D236" s="93"/>
      <c r="E236" s="93"/>
      <c r="F236" s="25"/>
      <c r="G236" s="94"/>
      <c r="H236" s="93"/>
      <c r="I236" s="93"/>
      <c r="J236" s="93"/>
      <c r="K236" s="93"/>
      <c r="L236" s="93"/>
      <c r="M236" s="93"/>
      <c r="N236" s="93"/>
      <c r="O236" s="93"/>
      <c r="P236" s="93"/>
      <c r="Q236" s="93"/>
      <c r="R236" s="54">
        <v>36</v>
      </c>
      <c r="S236" s="94">
        <f t="shared" si="1"/>
        <v>4.5203415369161224E-3</v>
      </c>
      <c r="T236" s="53">
        <v>5525</v>
      </c>
      <c r="U236" s="132">
        <f t="shared" si="2"/>
        <v>5.1477521327067208E-3</v>
      </c>
      <c r="V236" s="79"/>
      <c r="W236" s="88"/>
      <c r="X236" s="5"/>
    </row>
    <row r="237" spans="1:25" ht="15.6" x14ac:dyDescent="0.3">
      <c r="A237" s="24"/>
      <c r="B237" s="54" t="s">
        <v>161</v>
      </c>
      <c r="C237" s="93"/>
      <c r="D237" s="93"/>
      <c r="E237" s="93"/>
      <c r="F237" s="25"/>
      <c r="G237" s="94"/>
      <c r="H237" s="93"/>
      <c r="I237" s="93"/>
      <c r="J237" s="93"/>
      <c r="K237" s="93"/>
      <c r="L237" s="93"/>
      <c r="M237" s="93"/>
      <c r="N237" s="93"/>
      <c r="O237" s="93"/>
      <c r="P237" s="93"/>
      <c r="Q237" s="93"/>
      <c r="R237" s="54">
        <v>4</v>
      </c>
      <c r="S237" s="94">
        <f t="shared" si="1"/>
        <v>5.0226017076845811E-4</v>
      </c>
      <c r="T237" s="53">
        <v>764</v>
      </c>
      <c r="U237" s="132">
        <f t="shared" si="2"/>
        <v>7.1183396007021445E-4</v>
      </c>
      <c r="V237" s="79"/>
      <c r="W237" s="88"/>
      <c r="X237" s="5"/>
      <c r="Y237" s="109"/>
    </row>
    <row r="238" spans="1:25" ht="15.6" x14ac:dyDescent="0.3">
      <c r="A238" s="24"/>
      <c r="B238" s="54" t="s">
        <v>162</v>
      </c>
      <c r="C238" s="93"/>
      <c r="D238" s="93"/>
      <c r="E238" s="93"/>
      <c r="F238" s="25"/>
      <c r="G238" s="94"/>
      <c r="H238" s="93"/>
      <c r="I238" s="93"/>
      <c r="J238" s="93"/>
      <c r="K238" s="93"/>
      <c r="L238" s="93"/>
      <c r="M238" s="93"/>
      <c r="N238" s="93"/>
      <c r="O238" s="93"/>
      <c r="P238" s="93"/>
      <c r="Q238" s="93"/>
      <c r="R238" s="54">
        <v>0</v>
      </c>
      <c r="S238" s="94">
        <f t="shared" si="1"/>
        <v>0</v>
      </c>
      <c r="T238" s="53">
        <v>0</v>
      </c>
      <c r="U238" s="132">
        <f t="shared" si="2"/>
        <v>0</v>
      </c>
      <c r="V238" s="79"/>
      <c r="W238" s="88"/>
      <c r="X238" s="5"/>
    </row>
    <row r="239" spans="1:25" ht="15.6" x14ac:dyDescent="0.3">
      <c r="A239" s="24"/>
      <c r="B239" s="54" t="s">
        <v>163</v>
      </c>
      <c r="C239" s="93"/>
      <c r="D239" s="93"/>
      <c r="E239" s="93"/>
      <c r="F239" s="25"/>
      <c r="G239" s="94"/>
      <c r="H239" s="93"/>
      <c r="I239" s="93"/>
      <c r="J239" s="93"/>
      <c r="K239" s="93"/>
      <c r="L239" s="93"/>
      <c r="M239" s="93"/>
      <c r="N239" s="93"/>
      <c r="O239" s="93"/>
      <c r="P239" s="93"/>
      <c r="Q239" s="93"/>
      <c r="R239" s="54">
        <v>2</v>
      </c>
      <c r="S239" s="94">
        <f t="shared" si="1"/>
        <v>2.5113008538422905E-4</v>
      </c>
      <c r="T239" s="53">
        <v>291</v>
      </c>
      <c r="U239" s="132">
        <f t="shared" si="2"/>
        <v>2.7113047431993767E-4</v>
      </c>
      <c r="V239" s="79"/>
      <c r="W239" s="88"/>
      <c r="X239" s="5"/>
      <c r="Y239" s="109"/>
    </row>
    <row r="240" spans="1:25" ht="15.6" x14ac:dyDescent="0.3">
      <c r="A240" s="24"/>
      <c r="B240" s="54" t="s">
        <v>164</v>
      </c>
      <c r="C240" s="93"/>
      <c r="D240" s="93"/>
      <c r="E240" s="93"/>
      <c r="F240" s="25"/>
      <c r="G240" s="94"/>
      <c r="H240" s="93"/>
      <c r="I240" s="93"/>
      <c r="J240" s="93"/>
      <c r="K240" s="93"/>
      <c r="L240" s="93"/>
      <c r="M240" s="93"/>
      <c r="N240" s="93"/>
      <c r="O240" s="93"/>
      <c r="P240" s="93"/>
      <c r="Q240" s="93"/>
      <c r="R240" s="54">
        <v>1</v>
      </c>
      <c r="S240" s="94">
        <f t="shared" si="1"/>
        <v>1.2556504269211453E-4</v>
      </c>
      <c r="T240" s="53">
        <v>71</v>
      </c>
      <c r="U240" s="132">
        <f t="shared" si="2"/>
        <v>6.6152108854692702E-5</v>
      </c>
      <c r="V240" s="79"/>
      <c r="W240" s="88"/>
      <c r="X240" s="5"/>
    </row>
    <row r="241" spans="1:25" ht="15.6" x14ac:dyDescent="0.3">
      <c r="A241" s="24"/>
      <c r="B241" s="54" t="s">
        <v>165</v>
      </c>
      <c r="C241" s="93"/>
      <c r="D241" s="93"/>
      <c r="E241" s="93"/>
      <c r="F241" s="25"/>
      <c r="G241" s="94"/>
      <c r="H241" s="93"/>
      <c r="I241" s="93"/>
      <c r="J241" s="93"/>
      <c r="K241" s="93"/>
      <c r="L241" s="93"/>
      <c r="M241" s="93"/>
      <c r="N241" s="93"/>
      <c r="O241" s="93"/>
      <c r="P241" s="93"/>
      <c r="Q241" s="93"/>
      <c r="R241" s="54">
        <v>0</v>
      </c>
      <c r="S241" s="94">
        <f t="shared" si="1"/>
        <v>0</v>
      </c>
      <c r="T241" s="53">
        <v>0</v>
      </c>
      <c r="U241" s="132">
        <f t="shared" si="2"/>
        <v>0</v>
      </c>
      <c r="V241" s="79"/>
      <c r="W241" s="88"/>
      <c r="X241" s="5"/>
      <c r="Y241" s="109"/>
    </row>
    <row r="242" spans="1:25" ht="15.6" x14ac:dyDescent="0.3">
      <c r="A242" s="24"/>
      <c r="B242" s="54"/>
      <c r="C242" s="93"/>
      <c r="D242" s="93"/>
      <c r="E242" s="93"/>
      <c r="F242" s="25"/>
      <c r="G242" s="94"/>
      <c r="H242" s="93"/>
      <c r="I242" s="93"/>
      <c r="J242" s="93"/>
      <c r="K242" s="93"/>
      <c r="L242" s="93"/>
      <c r="M242" s="93"/>
      <c r="N242" s="93"/>
      <c r="O242" s="93"/>
      <c r="P242" s="93"/>
      <c r="Q242" s="93"/>
      <c r="R242" s="54"/>
      <c r="S242" s="94"/>
      <c r="T242" s="53"/>
      <c r="U242" s="132"/>
      <c r="V242" s="79"/>
      <c r="W242" s="88"/>
      <c r="X242" s="5"/>
    </row>
    <row r="243" spans="1:25" ht="15.6" x14ac:dyDescent="0.3">
      <c r="A243" s="24"/>
      <c r="B243" s="25" t="s">
        <v>119</v>
      </c>
      <c r="C243" s="25"/>
      <c r="D243" s="25"/>
      <c r="E243" s="25"/>
      <c r="F243" s="25"/>
      <c r="G243" s="25"/>
      <c r="H243" s="95"/>
      <c r="I243" s="95"/>
      <c r="J243" s="95"/>
      <c r="K243" s="95"/>
      <c r="L243" s="95"/>
      <c r="M243" s="95"/>
      <c r="N243" s="95"/>
      <c r="O243" s="95"/>
      <c r="P243" s="95"/>
      <c r="Q243" s="95"/>
      <c r="R243" s="34">
        <f>SUM(R234:R242)</f>
        <v>7964</v>
      </c>
      <c r="S243" s="132">
        <f>SUM(S234:S242)</f>
        <v>1</v>
      </c>
      <c r="T243" s="53">
        <f>SUM(T234:T242)</f>
        <v>1073284</v>
      </c>
      <c r="U243" s="132">
        <f>SUM(U234:U242)</f>
        <v>1</v>
      </c>
      <c r="V243" s="25"/>
      <c r="W243" s="25"/>
      <c r="X243" s="5"/>
    </row>
    <row r="244" spans="1:25" ht="15.6" x14ac:dyDescent="0.3">
      <c r="A244" s="24"/>
      <c r="B244" s="25"/>
      <c r="C244" s="25"/>
      <c r="D244" s="25"/>
      <c r="E244" s="25"/>
      <c r="F244" s="25"/>
      <c r="G244" s="25"/>
      <c r="H244" s="95"/>
      <c r="I244" s="95"/>
      <c r="J244" s="95"/>
      <c r="K244" s="95"/>
      <c r="L244" s="95"/>
      <c r="M244" s="95"/>
      <c r="N244" s="95"/>
      <c r="O244" s="95"/>
      <c r="P244" s="95"/>
      <c r="Q244" s="95"/>
      <c r="R244" s="34"/>
      <c r="S244" s="132"/>
      <c r="T244" s="53"/>
      <c r="U244" s="132"/>
      <c r="V244" s="25"/>
      <c r="W244" s="25"/>
      <c r="X244" s="5"/>
    </row>
    <row r="245" spans="1:25" ht="15.6" x14ac:dyDescent="0.3">
      <c r="A245" s="141"/>
      <c r="B245" s="14" t="s">
        <v>283</v>
      </c>
      <c r="C245" s="81"/>
      <c r="D245" s="81"/>
      <c r="E245" s="81"/>
      <c r="F245" s="82"/>
      <c r="G245" s="81"/>
      <c r="H245" s="17"/>
      <c r="I245" s="17"/>
      <c r="J245" s="17"/>
      <c r="K245" s="17"/>
      <c r="L245" s="17"/>
      <c r="M245" s="17"/>
      <c r="N245" s="17"/>
      <c r="O245" s="17"/>
      <c r="P245" s="17"/>
      <c r="Q245" s="17"/>
      <c r="R245" s="83" t="s">
        <v>104</v>
      </c>
      <c r="S245" s="17" t="s">
        <v>105</v>
      </c>
      <c r="T245" s="83" t="s">
        <v>113</v>
      </c>
      <c r="U245" s="17" t="s">
        <v>105</v>
      </c>
      <c r="V245" s="139"/>
      <c r="W245" s="140"/>
      <c r="X245" s="5"/>
    </row>
    <row r="246" spans="1:25" ht="15.6" x14ac:dyDescent="0.3">
      <c r="A246" s="24"/>
      <c r="B246" s="54" t="s">
        <v>90</v>
      </c>
      <c r="C246" s="93"/>
      <c r="D246" s="93"/>
      <c r="E246" s="93"/>
      <c r="F246" s="25"/>
      <c r="G246" s="93"/>
      <c r="H246" s="93"/>
      <c r="I246" s="93"/>
      <c r="J246" s="93"/>
      <c r="K246" s="93"/>
      <c r="L246" s="93"/>
      <c r="M246" s="93"/>
      <c r="N246" s="93"/>
      <c r="O246" s="93"/>
      <c r="P246" s="93"/>
      <c r="Q246" s="93"/>
      <c r="R246" s="54">
        <v>4</v>
      </c>
      <c r="S246" s="94">
        <f t="shared" ref="S246:S253" si="3">R246/$R$255</f>
        <v>2.9411764705882353E-2</v>
      </c>
      <c r="T246" s="53">
        <v>515</v>
      </c>
      <c r="U246" s="132">
        <f t="shared" ref="U246:U253" si="4">T246/$T$255</f>
        <v>2.2405916902327606E-2</v>
      </c>
      <c r="V246" s="25"/>
      <c r="W246" s="25"/>
      <c r="X246" s="5"/>
    </row>
    <row r="247" spans="1:25" ht="15.6" x14ac:dyDescent="0.3">
      <c r="A247" s="24"/>
      <c r="B247" s="54" t="s">
        <v>91</v>
      </c>
      <c r="C247" s="93"/>
      <c r="D247" s="93"/>
      <c r="E247" s="93"/>
      <c r="F247" s="25"/>
      <c r="G247" s="94"/>
      <c r="H247" s="93"/>
      <c r="I247" s="93"/>
      <c r="J247" s="93"/>
      <c r="K247" s="93"/>
      <c r="L247" s="93"/>
      <c r="M247" s="93"/>
      <c r="N247" s="93"/>
      <c r="O247" s="93"/>
      <c r="P247" s="93"/>
      <c r="Q247" s="93"/>
      <c r="R247" s="54">
        <v>57</v>
      </c>
      <c r="S247" s="94">
        <f t="shared" si="3"/>
        <v>0.41911764705882354</v>
      </c>
      <c r="T247" s="53">
        <v>9978</v>
      </c>
      <c r="U247" s="132">
        <f t="shared" si="4"/>
        <v>0.43410920165325212</v>
      </c>
      <c r="V247" s="25"/>
      <c r="W247" s="25"/>
      <c r="X247" s="5"/>
    </row>
    <row r="248" spans="1:25" ht="15.6" x14ac:dyDescent="0.3">
      <c r="A248" s="24"/>
      <c r="B248" s="54" t="s">
        <v>92</v>
      </c>
      <c r="C248" s="93"/>
      <c r="D248" s="93"/>
      <c r="E248" s="93"/>
      <c r="F248" s="25"/>
      <c r="G248" s="94"/>
      <c r="H248" s="93"/>
      <c r="I248" s="93"/>
      <c r="J248" s="93"/>
      <c r="K248" s="93"/>
      <c r="L248" s="93"/>
      <c r="M248" s="93"/>
      <c r="N248" s="93"/>
      <c r="O248" s="93"/>
      <c r="P248" s="93"/>
      <c r="Q248" s="93"/>
      <c r="R248" s="54">
        <v>16</v>
      </c>
      <c r="S248" s="94">
        <f t="shared" si="3"/>
        <v>0.11764705882352941</v>
      </c>
      <c r="T248" s="53">
        <v>4266</v>
      </c>
      <c r="U248" s="132">
        <f t="shared" si="4"/>
        <v>0.1855993038938438</v>
      </c>
      <c r="V248" s="25"/>
      <c r="W248" s="25"/>
      <c r="X248" s="5"/>
    </row>
    <row r="249" spans="1:25" ht="15.6" x14ac:dyDescent="0.3">
      <c r="A249" s="24"/>
      <c r="B249" s="54" t="s">
        <v>161</v>
      </c>
      <c r="C249" s="93"/>
      <c r="D249" s="93"/>
      <c r="E249" s="93"/>
      <c r="F249" s="25"/>
      <c r="G249" s="94"/>
      <c r="H249" s="93"/>
      <c r="I249" s="93"/>
      <c r="J249" s="93"/>
      <c r="K249" s="93"/>
      <c r="L249" s="93"/>
      <c r="M249" s="93"/>
      <c r="N249" s="93"/>
      <c r="O249" s="93"/>
      <c r="P249" s="93"/>
      <c r="Q249" s="93"/>
      <c r="R249" s="54">
        <v>10</v>
      </c>
      <c r="S249" s="94">
        <f t="shared" si="3"/>
        <v>7.3529411764705885E-2</v>
      </c>
      <c r="T249" s="53">
        <v>1308</v>
      </c>
      <c r="U249" s="132">
        <f t="shared" si="4"/>
        <v>5.6906678268435935E-2</v>
      </c>
      <c r="V249" s="25"/>
      <c r="W249" s="25"/>
      <c r="X249" s="5"/>
    </row>
    <row r="250" spans="1:25" ht="15.6" x14ac:dyDescent="0.3">
      <c r="A250" s="24"/>
      <c r="B250" s="54" t="s">
        <v>162</v>
      </c>
      <c r="C250" s="93"/>
      <c r="D250" s="93"/>
      <c r="E250" s="93"/>
      <c r="F250" s="25"/>
      <c r="G250" s="94"/>
      <c r="H250" s="93"/>
      <c r="I250" s="93"/>
      <c r="J250" s="93"/>
      <c r="K250" s="93"/>
      <c r="L250" s="93"/>
      <c r="M250" s="93"/>
      <c r="N250" s="93"/>
      <c r="O250" s="93"/>
      <c r="P250" s="93"/>
      <c r="Q250" s="93"/>
      <c r="R250" s="54">
        <v>15</v>
      </c>
      <c r="S250" s="94">
        <f t="shared" si="3"/>
        <v>0.11029411764705882</v>
      </c>
      <c r="T250" s="53">
        <v>2191</v>
      </c>
      <c r="U250" s="132">
        <f t="shared" si="4"/>
        <v>9.532303676310637E-2</v>
      </c>
      <c r="V250" s="25"/>
      <c r="W250" s="25"/>
      <c r="X250" s="5"/>
    </row>
    <row r="251" spans="1:25" ht="15.6" x14ac:dyDescent="0.3">
      <c r="A251" s="24"/>
      <c r="B251" s="54" t="s">
        <v>163</v>
      </c>
      <c r="C251" s="93"/>
      <c r="D251" s="93"/>
      <c r="E251" s="93"/>
      <c r="F251" s="25"/>
      <c r="G251" s="94"/>
      <c r="H251" s="93"/>
      <c r="I251" s="93"/>
      <c r="J251" s="93"/>
      <c r="K251" s="93"/>
      <c r="L251" s="93"/>
      <c r="M251" s="93"/>
      <c r="N251" s="93"/>
      <c r="O251" s="93"/>
      <c r="P251" s="93"/>
      <c r="Q251" s="93"/>
      <c r="R251" s="54">
        <v>7</v>
      </c>
      <c r="S251" s="94">
        <f t="shared" si="3"/>
        <v>5.1470588235294115E-2</v>
      </c>
      <c r="T251" s="53">
        <v>1046</v>
      </c>
      <c r="U251" s="132">
        <f t="shared" si="4"/>
        <v>4.5507939960844027E-2</v>
      </c>
      <c r="V251" s="25"/>
      <c r="W251" s="25"/>
      <c r="X251" s="5"/>
    </row>
    <row r="252" spans="1:25" ht="15.6" x14ac:dyDescent="0.3">
      <c r="A252" s="24"/>
      <c r="B252" s="54" t="s">
        <v>164</v>
      </c>
      <c r="C252" s="93"/>
      <c r="D252" s="93"/>
      <c r="E252" s="93"/>
      <c r="F252" s="25"/>
      <c r="G252" s="94"/>
      <c r="H252" s="93"/>
      <c r="I252" s="93"/>
      <c r="J252" s="93"/>
      <c r="K252" s="93"/>
      <c r="L252" s="93"/>
      <c r="M252" s="93"/>
      <c r="N252" s="93"/>
      <c r="O252" s="93"/>
      <c r="P252" s="93"/>
      <c r="Q252" s="93"/>
      <c r="R252" s="54">
        <v>25</v>
      </c>
      <c r="S252" s="94">
        <f t="shared" si="3"/>
        <v>0.18382352941176472</v>
      </c>
      <c r="T252" s="53">
        <v>3457</v>
      </c>
      <c r="U252" s="132">
        <f t="shared" si="4"/>
        <v>0.15040243637154666</v>
      </c>
      <c r="V252" s="25"/>
      <c r="W252" s="25"/>
      <c r="X252" s="5"/>
    </row>
    <row r="253" spans="1:25" ht="15.6" x14ac:dyDescent="0.3">
      <c r="A253" s="24"/>
      <c r="B253" s="54" t="s">
        <v>165</v>
      </c>
      <c r="C253" s="93"/>
      <c r="D253" s="93"/>
      <c r="E253" s="93"/>
      <c r="F253" s="25"/>
      <c r="G253" s="94"/>
      <c r="H253" s="93"/>
      <c r="I253" s="93"/>
      <c r="J253" s="93"/>
      <c r="K253" s="93"/>
      <c r="L253" s="93"/>
      <c r="M253" s="93"/>
      <c r="N253" s="93"/>
      <c r="O253" s="93"/>
      <c r="P253" s="93"/>
      <c r="Q253" s="93"/>
      <c r="R253" s="54">
        <v>2</v>
      </c>
      <c r="S253" s="94">
        <f t="shared" si="3"/>
        <v>1.4705882352941176E-2</v>
      </c>
      <c r="T253" s="53">
        <v>224</v>
      </c>
      <c r="U253" s="132">
        <f t="shared" si="4"/>
        <v>9.745486186643464E-3</v>
      </c>
      <c r="V253" s="25"/>
      <c r="W253" s="25"/>
      <c r="X253" s="5"/>
    </row>
    <row r="254" spans="1:25" ht="15.6" x14ac:dyDescent="0.3">
      <c r="A254" s="24"/>
      <c r="B254" s="54"/>
      <c r="C254" s="93"/>
      <c r="D254" s="93"/>
      <c r="E254" s="93"/>
      <c r="F254" s="25"/>
      <c r="G254" s="94"/>
      <c r="H254" s="93"/>
      <c r="I254" s="93"/>
      <c r="J254" s="93"/>
      <c r="K254" s="93"/>
      <c r="L254" s="93"/>
      <c r="M254" s="93"/>
      <c r="N254" s="93"/>
      <c r="O254" s="93"/>
      <c r="P254" s="93"/>
      <c r="Q254" s="93"/>
      <c r="R254" s="54"/>
      <c r="S254" s="94"/>
      <c r="T254" s="53"/>
      <c r="U254" s="132"/>
      <c r="V254" s="25"/>
      <c r="W254" s="25"/>
      <c r="X254" s="5"/>
    </row>
    <row r="255" spans="1:25" ht="15.6" x14ac:dyDescent="0.3">
      <c r="A255" s="24"/>
      <c r="B255" s="25" t="s">
        <v>119</v>
      </c>
      <c r="C255" s="25"/>
      <c r="D255" s="25"/>
      <c r="E255" s="25"/>
      <c r="F255" s="25"/>
      <c r="G255" s="25"/>
      <c r="H255" s="95"/>
      <c r="I255" s="95"/>
      <c r="J255" s="95"/>
      <c r="K255" s="95"/>
      <c r="L255" s="95"/>
      <c r="M255" s="95"/>
      <c r="N255" s="95"/>
      <c r="O255" s="95"/>
      <c r="P255" s="95"/>
      <c r="Q255" s="95"/>
      <c r="R255" s="34">
        <f>SUM(R246:R254)</f>
        <v>136</v>
      </c>
      <c r="S255" s="132">
        <f>SUM(S246:S254)</f>
        <v>1</v>
      </c>
      <c r="T255" s="53">
        <f>SUM(T246:T254)</f>
        <v>22985</v>
      </c>
      <c r="U255" s="132">
        <f>SUM(U246:U254)</f>
        <v>1</v>
      </c>
      <c r="V255" s="25"/>
      <c r="W255" s="25"/>
      <c r="X255" s="5"/>
    </row>
    <row r="256" spans="1:25" ht="15.6" x14ac:dyDescent="0.3">
      <c r="A256" s="24"/>
      <c r="B256" s="25"/>
      <c r="C256" s="25"/>
      <c r="D256" s="25"/>
      <c r="E256" s="25"/>
      <c r="F256" s="25"/>
      <c r="G256" s="25"/>
      <c r="H256" s="95"/>
      <c r="I256" s="95"/>
      <c r="J256" s="95"/>
      <c r="K256" s="95"/>
      <c r="L256" s="95"/>
      <c r="M256" s="95"/>
      <c r="N256" s="95"/>
      <c r="O256" s="95"/>
      <c r="P256" s="95"/>
      <c r="Q256" s="95"/>
      <c r="R256" s="34"/>
      <c r="S256" s="132"/>
      <c r="T256" s="53"/>
      <c r="U256" s="132"/>
      <c r="V256" s="25"/>
      <c r="W256" s="25"/>
      <c r="X256" s="5"/>
    </row>
    <row r="257" spans="1:24" ht="15.6" x14ac:dyDescent="0.3">
      <c r="A257" s="141"/>
      <c r="B257" s="14" t="s">
        <v>169</v>
      </c>
      <c r="C257" s="139"/>
      <c r="D257" s="139"/>
      <c r="E257" s="139"/>
      <c r="F257" s="139"/>
      <c r="G257" s="139"/>
      <c r="H257" s="145"/>
      <c r="I257" s="145"/>
      <c r="J257" s="145"/>
      <c r="K257" s="145"/>
      <c r="L257" s="145"/>
      <c r="M257" s="145"/>
      <c r="N257" s="145"/>
      <c r="O257" s="145"/>
      <c r="P257" s="145"/>
      <c r="Q257" s="145"/>
      <c r="R257" s="83" t="s">
        <v>104</v>
      </c>
      <c r="S257" s="17" t="s">
        <v>105</v>
      </c>
      <c r="T257" s="83" t="s">
        <v>113</v>
      </c>
      <c r="U257" s="17" t="s">
        <v>105</v>
      </c>
      <c r="V257" s="139"/>
      <c r="W257" s="140"/>
      <c r="X257" s="5"/>
    </row>
    <row r="258" spans="1:24" ht="15.6" x14ac:dyDescent="0.3">
      <c r="A258" s="24"/>
      <c r="B258" s="54" t="s">
        <v>90</v>
      </c>
      <c r="C258" s="25"/>
      <c r="D258" s="25"/>
      <c r="E258" s="25"/>
      <c r="F258" s="25"/>
      <c r="G258" s="25"/>
      <c r="H258" s="95"/>
      <c r="I258" s="95"/>
      <c r="J258" s="95"/>
      <c r="K258" s="95"/>
      <c r="L258" s="95"/>
      <c r="M258" s="95"/>
      <c r="N258" s="95"/>
      <c r="O258" s="95"/>
      <c r="P258" s="95"/>
      <c r="Q258" s="95"/>
      <c r="R258" s="54">
        <v>0</v>
      </c>
      <c r="S258" s="94">
        <v>0</v>
      </c>
      <c r="T258" s="53">
        <v>0</v>
      </c>
      <c r="U258" s="94">
        <v>0</v>
      </c>
      <c r="V258" s="25"/>
      <c r="W258" s="25"/>
      <c r="X258" s="5"/>
    </row>
    <row r="259" spans="1:24" ht="15.6" x14ac:dyDescent="0.3">
      <c r="A259" s="24"/>
      <c r="B259" s="54" t="s">
        <v>91</v>
      </c>
      <c r="C259" s="25"/>
      <c r="D259" s="25"/>
      <c r="E259" s="25"/>
      <c r="F259" s="25"/>
      <c r="G259" s="25"/>
      <c r="H259" s="95"/>
      <c r="I259" s="95"/>
      <c r="J259" s="95"/>
      <c r="K259" s="95"/>
      <c r="L259" s="95"/>
      <c r="M259" s="95"/>
      <c r="N259" s="95"/>
      <c r="O259" s="95"/>
      <c r="P259" s="95"/>
      <c r="Q259" s="95"/>
      <c r="R259" s="54">
        <v>0</v>
      </c>
      <c r="S259" s="94">
        <v>0</v>
      </c>
      <c r="T259" s="53">
        <v>0</v>
      </c>
      <c r="U259" s="94">
        <v>0</v>
      </c>
      <c r="V259" s="25"/>
      <c r="W259" s="25"/>
      <c r="X259" s="5"/>
    </row>
    <row r="260" spans="1:24" ht="15.6" x14ac:dyDescent="0.3">
      <c r="A260" s="24"/>
      <c r="B260" s="54" t="s">
        <v>92</v>
      </c>
      <c r="C260" s="25"/>
      <c r="D260" s="25"/>
      <c r="E260" s="25"/>
      <c r="F260" s="25"/>
      <c r="G260" s="25"/>
      <c r="H260" s="95"/>
      <c r="I260" s="95"/>
      <c r="J260" s="95"/>
      <c r="K260" s="95"/>
      <c r="L260" s="95"/>
      <c r="M260" s="95"/>
      <c r="N260" s="95"/>
      <c r="O260" s="95"/>
      <c r="P260" s="95"/>
      <c r="Q260" s="95"/>
      <c r="R260" s="54">
        <v>0</v>
      </c>
      <c r="S260" s="94">
        <v>0</v>
      </c>
      <c r="T260" s="53">
        <v>0</v>
      </c>
      <c r="U260" s="94">
        <v>0</v>
      </c>
      <c r="V260" s="25"/>
      <c r="W260" s="25"/>
      <c r="X260" s="5"/>
    </row>
    <row r="261" spans="1:24" ht="15.6" x14ac:dyDescent="0.3">
      <c r="A261" s="24"/>
      <c r="B261" s="54" t="s">
        <v>161</v>
      </c>
      <c r="C261" s="25"/>
      <c r="D261" s="25"/>
      <c r="E261" s="25"/>
      <c r="F261" s="25"/>
      <c r="G261" s="25"/>
      <c r="H261" s="95"/>
      <c r="I261" s="95"/>
      <c r="J261" s="95"/>
      <c r="K261" s="95"/>
      <c r="L261" s="95"/>
      <c r="M261" s="95"/>
      <c r="N261" s="95"/>
      <c r="O261" s="95"/>
      <c r="P261" s="95"/>
      <c r="Q261" s="95"/>
      <c r="R261" s="54">
        <v>0</v>
      </c>
      <c r="S261" s="94">
        <v>0</v>
      </c>
      <c r="T261" s="53">
        <v>0</v>
      </c>
      <c r="U261" s="94">
        <v>0</v>
      </c>
      <c r="V261" s="25"/>
      <c r="W261" s="25"/>
      <c r="X261" s="5"/>
    </row>
    <row r="262" spans="1:24" ht="15.6" x14ac:dyDescent="0.3">
      <c r="A262" s="24"/>
      <c r="B262" s="54" t="s">
        <v>162</v>
      </c>
      <c r="C262" s="25"/>
      <c r="D262" s="25"/>
      <c r="E262" s="25"/>
      <c r="F262" s="25"/>
      <c r="G262" s="25"/>
      <c r="H262" s="95"/>
      <c r="I262" s="95"/>
      <c r="J262" s="95"/>
      <c r="K262" s="95"/>
      <c r="L262" s="95"/>
      <c r="M262" s="95"/>
      <c r="N262" s="95"/>
      <c r="O262" s="95"/>
      <c r="P262" s="95"/>
      <c r="Q262" s="95"/>
      <c r="R262" s="54">
        <v>0</v>
      </c>
      <c r="S262" s="94">
        <v>0</v>
      </c>
      <c r="T262" s="53">
        <v>0</v>
      </c>
      <c r="U262" s="94">
        <v>0</v>
      </c>
      <c r="V262" s="25"/>
      <c r="W262" s="25"/>
      <c r="X262" s="5"/>
    </row>
    <row r="263" spans="1:24" ht="15.6" x14ac:dyDescent="0.3">
      <c r="A263" s="24"/>
      <c r="B263" s="54" t="s">
        <v>163</v>
      </c>
      <c r="C263" s="25"/>
      <c r="D263" s="25"/>
      <c r="E263" s="25"/>
      <c r="F263" s="25"/>
      <c r="G263" s="25"/>
      <c r="H263" s="95"/>
      <c r="I263" s="95"/>
      <c r="J263" s="95"/>
      <c r="K263" s="95"/>
      <c r="L263" s="95"/>
      <c r="M263" s="95"/>
      <c r="N263" s="95"/>
      <c r="O263" s="95"/>
      <c r="P263" s="95"/>
      <c r="Q263" s="95"/>
      <c r="R263" s="54">
        <v>0</v>
      </c>
      <c r="S263" s="94">
        <v>0</v>
      </c>
      <c r="T263" s="53">
        <v>0</v>
      </c>
      <c r="U263" s="94">
        <v>0</v>
      </c>
      <c r="V263" s="25"/>
      <c r="W263" s="25"/>
      <c r="X263" s="5"/>
    </row>
    <row r="264" spans="1:24" ht="15.6" x14ac:dyDescent="0.3">
      <c r="A264" s="24"/>
      <c r="B264" s="54" t="s">
        <v>164</v>
      </c>
      <c r="C264" s="25"/>
      <c r="D264" s="25"/>
      <c r="E264" s="25"/>
      <c r="F264" s="25"/>
      <c r="G264" s="25"/>
      <c r="H264" s="95"/>
      <c r="I264" s="95"/>
      <c r="J264" s="95"/>
      <c r="K264" s="95"/>
      <c r="L264" s="95"/>
      <c r="M264" s="95"/>
      <c r="N264" s="95"/>
      <c r="O264" s="95"/>
      <c r="P264" s="95"/>
      <c r="Q264" s="95"/>
      <c r="R264" s="54">
        <v>0</v>
      </c>
      <c r="S264" s="94">
        <v>0</v>
      </c>
      <c r="T264" s="53">
        <v>0</v>
      </c>
      <c r="U264" s="94">
        <v>0</v>
      </c>
      <c r="V264" s="25"/>
      <c r="W264" s="25"/>
      <c r="X264" s="5"/>
    </row>
    <row r="265" spans="1:24" ht="15.6" x14ac:dyDescent="0.3">
      <c r="A265" s="24"/>
      <c r="B265" s="54" t="s">
        <v>165</v>
      </c>
      <c r="C265" s="25"/>
      <c r="D265" s="25"/>
      <c r="E265" s="25"/>
      <c r="F265" s="25"/>
      <c r="G265" s="25"/>
      <c r="H265" s="95"/>
      <c r="I265" s="95"/>
      <c r="J265" s="95"/>
      <c r="K265" s="95"/>
      <c r="L265" s="95"/>
      <c r="M265" s="95"/>
      <c r="N265" s="95"/>
      <c r="O265" s="95"/>
      <c r="P265" s="95"/>
      <c r="Q265" s="95"/>
      <c r="R265" s="54">
        <v>0</v>
      </c>
      <c r="S265" s="94">
        <v>0</v>
      </c>
      <c r="T265" s="53">
        <v>0</v>
      </c>
      <c r="U265" s="94">
        <v>0</v>
      </c>
      <c r="V265" s="25"/>
      <c r="W265" s="25"/>
      <c r="X265" s="5"/>
    </row>
    <row r="266" spans="1:24" ht="15.6" x14ac:dyDescent="0.3">
      <c r="A266" s="24"/>
      <c r="B266" s="54"/>
      <c r="C266" s="25"/>
      <c r="D266" s="25"/>
      <c r="E266" s="25"/>
      <c r="F266" s="25"/>
      <c r="G266" s="25"/>
      <c r="H266" s="95"/>
      <c r="I266" s="95"/>
      <c r="J266" s="95"/>
      <c r="K266" s="95"/>
      <c r="L266" s="95"/>
      <c r="M266" s="95"/>
      <c r="N266" s="95"/>
      <c r="O266" s="95"/>
      <c r="P266" s="95"/>
      <c r="Q266" s="95"/>
      <c r="R266" s="54"/>
      <c r="S266" s="94"/>
      <c r="T266" s="53"/>
      <c r="U266" s="132"/>
      <c r="V266" s="25"/>
      <c r="W266" s="25"/>
      <c r="X266" s="5"/>
    </row>
    <row r="267" spans="1:24" ht="15.6" x14ac:dyDescent="0.3">
      <c r="A267" s="24"/>
      <c r="B267" s="25" t="s">
        <v>119</v>
      </c>
      <c r="C267" s="25"/>
      <c r="D267" s="25"/>
      <c r="E267" s="25"/>
      <c r="F267" s="25"/>
      <c r="G267" s="25"/>
      <c r="H267" s="95"/>
      <c r="I267" s="95"/>
      <c r="J267" s="95"/>
      <c r="K267" s="95"/>
      <c r="L267" s="95"/>
      <c r="M267" s="95"/>
      <c r="N267" s="95"/>
      <c r="O267" s="95"/>
      <c r="P267" s="95"/>
      <c r="Q267" s="95"/>
      <c r="R267" s="34">
        <f>SUM(R258:R265)</f>
        <v>0</v>
      </c>
      <c r="S267" s="132">
        <f>SUM(S258:S266)</f>
        <v>0</v>
      </c>
      <c r="T267" s="53">
        <f>SUM(T258:T265)</f>
        <v>0</v>
      </c>
      <c r="U267" s="132">
        <f>SUM(U258:U266)</f>
        <v>0</v>
      </c>
      <c r="V267" s="25"/>
      <c r="W267" s="25"/>
      <c r="X267" s="5"/>
    </row>
    <row r="268" spans="1:24" ht="15.6" x14ac:dyDescent="0.3">
      <c r="A268" s="24"/>
      <c r="B268" s="25"/>
      <c r="C268" s="25"/>
      <c r="D268" s="25"/>
      <c r="E268" s="25"/>
      <c r="F268" s="25"/>
      <c r="G268" s="25"/>
      <c r="H268" s="95"/>
      <c r="I268" s="95"/>
      <c r="J268" s="95"/>
      <c r="K268" s="95"/>
      <c r="L268" s="95"/>
      <c r="M268" s="95"/>
      <c r="N268" s="95"/>
      <c r="O268" s="95"/>
      <c r="P268" s="95"/>
      <c r="Q268" s="95"/>
      <c r="R268" s="34"/>
      <c r="S268" s="132"/>
      <c r="T268" s="53"/>
      <c r="U268" s="132"/>
      <c r="V268" s="25"/>
      <c r="W268" s="25"/>
      <c r="X268" s="5"/>
    </row>
    <row r="269" spans="1:24" ht="15.6" x14ac:dyDescent="0.3">
      <c r="A269" s="24"/>
      <c r="B269" s="142" t="s">
        <v>170</v>
      </c>
      <c r="C269" s="25"/>
      <c r="D269" s="25"/>
      <c r="E269" s="25"/>
      <c r="F269" s="25"/>
      <c r="G269" s="25"/>
      <c r="H269" s="95"/>
      <c r="I269" s="95"/>
      <c r="J269" s="95"/>
      <c r="K269" s="95"/>
      <c r="L269" s="95"/>
      <c r="M269" s="95"/>
      <c r="N269" s="95"/>
      <c r="O269" s="95"/>
      <c r="P269" s="95"/>
      <c r="Q269" s="95"/>
      <c r="R269" s="161">
        <f>R267+R255+R243</f>
        <v>8100</v>
      </c>
      <c r="S269" s="143"/>
      <c r="T269" s="144">
        <f>+T267+T255+T243</f>
        <v>1096269</v>
      </c>
      <c r="U269" s="143"/>
      <c r="V269" s="25"/>
      <c r="W269" s="25"/>
      <c r="X269" s="5"/>
    </row>
    <row r="270" spans="1:24" ht="15.6" x14ac:dyDescent="0.3">
      <c r="A270" s="24"/>
      <c r="B270" s="25"/>
      <c r="C270" s="25"/>
      <c r="D270" s="25"/>
      <c r="E270" s="25"/>
      <c r="F270" s="25"/>
      <c r="G270" s="25"/>
      <c r="H270" s="95"/>
      <c r="I270" s="95"/>
      <c r="J270" s="95"/>
      <c r="K270" s="95"/>
      <c r="L270" s="95"/>
      <c r="M270" s="95"/>
      <c r="N270" s="95"/>
      <c r="O270" s="95"/>
      <c r="P270" s="95"/>
      <c r="Q270" s="95"/>
      <c r="R270" s="95"/>
      <c r="S270" s="95"/>
      <c r="T270" s="53"/>
      <c r="U270" s="95"/>
      <c r="V270" s="25"/>
      <c r="W270" s="25"/>
      <c r="X270" s="5"/>
    </row>
    <row r="271" spans="1:24" ht="15.6" x14ac:dyDescent="0.3">
      <c r="A271" s="6"/>
      <c r="B271" s="8"/>
      <c r="C271" s="8"/>
      <c r="D271" s="8"/>
      <c r="E271" s="8"/>
      <c r="F271" s="8"/>
      <c r="G271" s="8"/>
      <c r="H271" s="96"/>
      <c r="I271" s="96"/>
      <c r="J271" s="96"/>
      <c r="K271" s="96"/>
      <c r="L271" s="96"/>
      <c r="M271" s="96"/>
      <c r="N271" s="96"/>
      <c r="O271" s="96"/>
      <c r="P271" s="96"/>
      <c r="Q271" s="96"/>
      <c r="R271" s="96"/>
      <c r="S271" s="96"/>
      <c r="T271" s="97"/>
      <c r="U271" s="96"/>
      <c r="V271" s="8"/>
      <c r="W271" s="8"/>
      <c r="X271" s="5"/>
    </row>
    <row r="272" spans="1:24" ht="15.6" x14ac:dyDescent="0.3">
      <c r="A272" s="167"/>
      <c r="B272" s="14" t="s">
        <v>93</v>
      </c>
      <c r="C272" s="15"/>
      <c r="D272" s="15"/>
      <c r="E272" s="15"/>
      <c r="F272" s="17" t="s">
        <v>99</v>
      </c>
      <c r="G272" s="15"/>
      <c r="H272" s="14" t="s">
        <v>101</v>
      </c>
      <c r="I272" s="162"/>
      <c r="J272" s="162"/>
      <c r="K272" s="162"/>
      <c r="L272" s="162"/>
      <c r="M272" s="162"/>
      <c r="N272" s="162"/>
      <c r="O272" s="162"/>
      <c r="P272" s="162"/>
      <c r="Q272" s="162"/>
      <c r="R272" s="162"/>
      <c r="S272" s="162"/>
      <c r="T272" s="162"/>
      <c r="U272" s="162"/>
      <c r="V272" s="162"/>
      <c r="W272" s="162"/>
      <c r="X272" s="5"/>
    </row>
    <row r="273" spans="1:24" ht="15.6" x14ac:dyDescent="0.3">
      <c r="A273" s="167"/>
      <c r="B273" s="162"/>
      <c r="C273" s="8"/>
      <c r="D273" s="8"/>
      <c r="E273" s="8"/>
      <c r="F273" s="8"/>
      <c r="G273" s="8"/>
      <c r="H273" s="8"/>
      <c r="I273" s="162"/>
      <c r="J273" s="162"/>
      <c r="K273" s="162"/>
      <c r="L273" s="162"/>
      <c r="M273" s="162"/>
      <c r="N273" s="162"/>
      <c r="O273" s="162"/>
      <c r="P273" s="162"/>
      <c r="Q273" s="162"/>
      <c r="R273" s="162"/>
      <c r="S273" s="162"/>
      <c r="T273" s="162"/>
      <c r="U273" s="162"/>
      <c r="V273" s="162"/>
      <c r="W273" s="162"/>
      <c r="X273" s="5"/>
    </row>
    <row r="274" spans="1:24" ht="15.6" x14ac:dyDescent="0.3">
      <c r="A274" s="167"/>
      <c r="B274" s="13" t="s">
        <v>94</v>
      </c>
      <c r="C274" s="13"/>
      <c r="D274" s="13"/>
      <c r="E274" s="13"/>
      <c r="F274" s="130" t="s">
        <v>153</v>
      </c>
      <c r="G274" s="13"/>
      <c r="H274" s="13" t="s">
        <v>157</v>
      </c>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277</v>
      </c>
      <c r="C275" s="13"/>
      <c r="D275" s="13"/>
      <c r="E275" s="13"/>
      <c r="F275" s="130" t="s">
        <v>278</v>
      </c>
      <c r="G275" s="13"/>
      <c r="H275" s="13" t="s">
        <v>279</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t="s">
        <v>95</v>
      </c>
      <c r="C276" s="13"/>
      <c r="D276" s="13"/>
      <c r="E276" s="13"/>
      <c r="F276" s="130" t="s">
        <v>152</v>
      </c>
      <c r="G276" s="13"/>
      <c r="H276" s="13" t="s">
        <v>158</v>
      </c>
      <c r="I276" s="162"/>
      <c r="J276" s="162"/>
      <c r="K276" s="162"/>
      <c r="L276" s="162"/>
      <c r="M276" s="162"/>
      <c r="N276" s="162"/>
      <c r="O276" s="162"/>
      <c r="P276" s="162"/>
      <c r="Q276" s="162"/>
      <c r="R276" s="162"/>
      <c r="S276" s="162"/>
      <c r="T276" s="162"/>
      <c r="U276" s="162"/>
      <c r="V276" s="162"/>
      <c r="W276" s="162"/>
      <c r="X276" s="5"/>
    </row>
    <row r="277" spans="1:24" ht="15.6" x14ac:dyDescent="0.3">
      <c r="A277" s="167"/>
      <c r="B277" s="13"/>
      <c r="C277" s="13"/>
      <c r="D277" s="13"/>
      <c r="E277" s="13"/>
      <c r="F277" s="13"/>
      <c r="G277" s="99"/>
      <c r="H277" s="162"/>
      <c r="I277" s="162"/>
      <c r="J277" s="162"/>
      <c r="K277" s="162"/>
      <c r="L277" s="162"/>
      <c r="M277" s="162"/>
      <c r="N277" s="162"/>
      <c r="O277" s="162"/>
      <c r="P277" s="162"/>
      <c r="Q277" s="162"/>
      <c r="R277" s="162"/>
      <c r="S277" s="162"/>
      <c r="T277" s="162"/>
      <c r="U277" s="162"/>
      <c r="V277" s="162"/>
      <c r="W277" s="162"/>
      <c r="X277" s="5"/>
    </row>
    <row r="278" spans="1:24" ht="18" thickBot="1" x14ac:dyDescent="0.35">
      <c r="A278" s="167"/>
      <c r="B278" s="49" t="str">
        <f>B195</f>
        <v>PM12 INVESTOR REPORT QUARTER ENDING OCTOBER 2008</v>
      </c>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x14ac:dyDescent="0.25">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row>
  </sheetData>
  <phoneticPr fontId="0" type="noConversion"/>
  <hyperlinks>
    <hyperlink ref="P231" r:id="rId1" xr:uid="{00000000-0004-0000-0800-000000000000}"/>
    <hyperlink ref="I9" r:id="rId2" xr:uid="{00000000-0004-0000-08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6" max="14" man="1"/>
    <brk id="195" max="14"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351</vt:i4>
      </vt:variant>
    </vt:vector>
  </HeadingPairs>
  <TitlesOfParts>
    <vt:vector size="421" baseType="lpstr">
      <vt:lpstr>Oct 06</vt:lpstr>
      <vt:lpstr>Jan 07</vt:lpstr>
      <vt:lpstr>April 07</vt:lpstr>
      <vt:lpstr>July 07</vt:lpstr>
      <vt:lpstr>Oct 07</vt:lpstr>
      <vt:lpstr>Jan 08</vt:lpstr>
      <vt:lpstr>April 08</vt:lpstr>
      <vt:lpstr>July 08</vt:lpstr>
      <vt:lpstr>Oct 08</vt:lpstr>
      <vt:lpstr>Jan 09</vt:lpstr>
      <vt:lpstr>April 09</vt:lpstr>
      <vt:lpstr>July 09</vt:lpstr>
      <vt:lpstr>Oct 09</vt:lpstr>
      <vt:lpstr>Jan 10</vt:lpstr>
      <vt:lpstr>April 10</vt:lpstr>
      <vt:lpstr>July 10</vt:lpstr>
      <vt:lpstr>Oct 10</vt:lpstr>
      <vt:lpstr>Jan 11</vt:lpstr>
      <vt:lpstr>April 11</vt:lpstr>
      <vt:lpstr>July 11</vt:lpstr>
      <vt:lpstr>Oct 11</vt:lpstr>
      <vt:lpstr>Jan 12</vt:lpstr>
      <vt:lpstr>April 12</vt:lpstr>
      <vt:lpstr>July 12</vt:lpstr>
      <vt:lpstr>Oct 12</vt:lpstr>
      <vt:lpstr>Jan 13</vt:lpstr>
      <vt:lpstr>April 13</vt:lpstr>
      <vt:lpstr>July 13</vt:lpstr>
      <vt:lpstr>Oct 13</vt:lpstr>
      <vt:lpstr>Jan 14</vt:lpstr>
      <vt:lpstr>April 14</vt:lpstr>
      <vt:lpstr>July 14</vt:lpstr>
      <vt:lpstr>Oct 14</vt:lpstr>
      <vt:lpstr>Jan 15</vt:lpstr>
      <vt:lpstr>April 15</vt:lpstr>
      <vt:lpstr>July 15</vt:lpstr>
      <vt:lpstr>Oct 15</vt:lpstr>
      <vt:lpstr>Jan 16</vt:lpstr>
      <vt:lpstr>Apr 16</vt:lpstr>
      <vt:lpstr>July 16</vt:lpstr>
      <vt:lpstr>Oct 16</vt:lpstr>
      <vt:lpstr>Jan 17</vt:lpstr>
      <vt:lpstr>April 17</vt:lpstr>
      <vt:lpstr>July 17</vt:lpstr>
      <vt:lpstr>Oct 17</vt:lpstr>
      <vt:lpstr>Jan 18</vt:lpstr>
      <vt:lpstr>April 18</vt:lpstr>
      <vt:lpstr>July 18</vt:lpstr>
      <vt:lpstr>Oct 18</vt:lpstr>
      <vt:lpstr>Jan 19</vt:lpstr>
      <vt:lpstr>April 19</vt:lpstr>
      <vt:lpstr>July 19</vt:lpstr>
      <vt:lpstr>Oct 19</vt:lpstr>
      <vt:lpstr>Jan 20</vt:lpstr>
      <vt:lpstr>April 20</vt:lpstr>
      <vt:lpstr>July 20</vt:lpstr>
      <vt:lpstr>Oct 20</vt:lpstr>
      <vt:lpstr>Jan 21</vt:lpstr>
      <vt:lpstr>April 21</vt:lpstr>
      <vt:lpstr>July 21</vt:lpstr>
      <vt:lpstr>Oct 21</vt:lpstr>
      <vt:lpstr>Jan 22</vt:lpstr>
      <vt:lpstr>April 22</vt:lpstr>
      <vt:lpstr>July 22</vt:lpstr>
      <vt:lpstr>Oct 22</vt:lpstr>
      <vt:lpstr>Jan 23</vt:lpstr>
      <vt:lpstr>April 23</vt:lpstr>
      <vt:lpstr>July 23</vt:lpstr>
      <vt:lpstr>Oct 23</vt:lpstr>
      <vt:lpstr>Jan 24</vt:lpstr>
      <vt:lpstr>'Jan 09'!_100PAGE_4</vt:lpstr>
      <vt:lpstr>'Jan 10'!_101PAGE_4</vt:lpstr>
      <vt:lpstr>'Jan 11'!_102PAGE_4</vt:lpstr>
      <vt:lpstr>'Jan 12'!_103PAGE_4</vt:lpstr>
      <vt:lpstr>'Jan 13'!_104PAGE_4</vt:lpstr>
      <vt:lpstr>'Apr 16'!_105PAGE_4</vt:lpstr>
      <vt:lpstr>'April 14'!_105PAGE_4</vt:lpstr>
      <vt:lpstr>'April 15'!_105PAGE_4</vt:lpstr>
      <vt:lpstr>'April 17'!_105PAGE_4</vt:lpstr>
      <vt:lpstr>'April 18'!_105PAGE_4</vt:lpstr>
      <vt:lpstr>'April 19'!_105PAGE_4</vt:lpstr>
      <vt:lpstr>'April 20'!_105PAGE_4</vt:lpstr>
      <vt:lpstr>'April 21'!_105PAGE_4</vt:lpstr>
      <vt:lpstr>'April 22'!_105PAGE_4</vt:lpstr>
      <vt:lpstr>'April 23'!_105PAGE_4</vt:lpstr>
      <vt:lpstr>'Jan 14'!_105PAGE_4</vt:lpstr>
      <vt:lpstr>'Jan 15'!_105PAGE_4</vt:lpstr>
      <vt:lpstr>'Jan 16'!_105PAGE_4</vt:lpstr>
      <vt:lpstr>'Jan 17'!_105PAGE_4</vt:lpstr>
      <vt:lpstr>'Jan 18'!_105PAGE_4</vt:lpstr>
      <vt:lpstr>'Jan 19'!_105PAGE_4</vt:lpstr>
      <vt:lpstr>'Jan 20'!_105PAGE_4</vt:lpstr>
      <vt:lpstr>'Jan 21'!_105PAGE_4</vt:lpstr>
      <vt:lpstr>'Jan 22'!_105PAGE_4</vt:lpstr>
      <vt:lpstr>'Jan 23'!_105PAGE_4</vt:lpstr>
      <vt:lpstr>'Jan 24'!_105PAGE_4</vt:lpstr>
      <vt:lpstr>'July 14'!_105PAGE_4</vt:lpstr>
      <vt:lpstr>'July 15'!_105PAGE_4</vt:lpstr>
      <vt:lpstr>'July 16'!_105PAGE_4</vt:lpstr>
      <vt:lpstr>'July 17'!_105PAGE_4</vt:lpstr>
      <vt:lpstr>'July 18'!_105PAGE_4</vt:lpstr>
      <vt:lpstr>'July 19'!_105PAGE_4</vt:lpstr>
      <vt:lpstr>'July 20'!_105PAGE_4</vt:lpstr>
      <vt:lpstr>'July 21'!_105PAGE_4</vt:lpstr>
      <vt:lpstr>'July 22'!_105PAGE_4</vt:lpstr>
      <vt:lpstr>'July 23'!_105PAGE_4</vt:lpstr>
      <vt:lpstr>'Oct 14'!_105PAGE_4</vt:lpstr>
      <vt:lpstr>'Oct 15'!_105PAGE_4</vt:lpstr>
      <vt:lpstr>'Oct 16'!_105PAGE_4</vt:lpstr>
      <vt:lpstr>'Oct 17'!_105PAGE_4</vt:lpstr>
      <vt:lpstr>'Oct 18'!_105PAGE_4</vt:lpstr>
      <vt:lpstr>'Oct 19'!_105PAGE_4</vt:lpstr>
      <vt:lpstr>'Oct 20'!_105PAGE_4</vt:lpstr>
      <vt:lpstr>'Oct 21'!_105PAGE_4</vt:lpstr>
      <vt:lpstr>'Oct 22'!_105PAGE_4</vt:lpstr>
      <vt:lpstr>'Oct 23'!_105PAGE_4</vt:lpstr>
      <vt:lpstr>'July 07'!_106PAGE_4</vt:lpstr>
      <vt:lpstr>'July 08'!_107PAGE_4</vt:lpstr>
      <vt:lpstr>'July 09'!_108PAGE_4</vt:lpstr>
      <vt:lpstr>'July 10'!_109PAGE_4</vt:lpstr>
      <vt:lpstr>'Jan 09'!_10PAGE_1</vt:lpstr>
      <vt:lpstr>'July 11'!_110PAGE_4</vt:lpstr>
      <vt:lpstr>'July 12'!_111PAGE_4</vt:lpstr>
      <vt:lpstr>'July 13'!_112PAGE_4</vt:lpstr>
      <vt:lpstr>'Oct 07'!_113PAGE_4</vt:lpstr>
      <vt:lpstr>'Oct 08'!_114PAGE_4</vt:lpstr>
      <vt:lpstr>'Oct 09'!_115PAGE_4</vt:lpstr>
      <vt:lpstr>'Oct 10'!_116PAGE_4</vt:lpstr>
      <vt:lpstr>'Oct 11'!_117PAGE_4</vt:lpstr>
      <vt:lpstr>'Oct 12'!_118PAGE_4</vt:lpstr>
      <vt:lpstr>'Oct 13'!_119PAGE_4</vt:lpstr>
      <vt:lpstr>'Jan 10'!_11PAGE_1</vt:lpstr>
      <vt:lpstr>_120PAGE_4</vt:lpstr>
      <vt:lpstr>'Jan 11'!_12PAGE_1</vt:lpstr>
      <vt:lpstr>'Jan 12'!_13PAGE_1</vt:lpstr>
      <vt:lpstr>'Jan 13'!_14PAGE_1</vt:lpstr>
      <vt:lpstr>'Apr 16'!_15PAGE_1</vt:lpstr>
      <vt:lpstr>'April 14'!_15PAGE_1</vt:lpstr>
      <vt:lpstr>'April 15'!_15PAGE_1</vt:lpstr>
      <vt:lpstr>'April 17'!_15PAGE_1</vt:lpstr>
      <vt:lpstr>'April 18'!_15PAGE_1</vt:lpstr>
      <vt:lpstr>'April 19'!_15PAGE_1</vt:lpstr>
      <vt:lpstr>'April 20'!_15PAGE_1</vt:lpstr>
      <vt:lpstr>'April 21'!_15PAGE_1</vt:lpstr>
      <vt:lpstr>'April 22'!_15PAGE_1</vt:lpstr>
      <vt:lpstr>'April 23'!_15PAGE_1</vt:lpstr>
      <vt:lpstr>'Jan 14'!_15PAGE_1</vt:lpstr>
      <vt:lpstr>'Jan 15'!_15PAGE_1</vt:lpstr>
      <vt:lpstr>'Jan 16'!_15PAGE_1</vt:lpstr>
      <vt:lpstr>'Jan 17'!_15PAGE_1</vt:lpstr>
      <vt:lpstr>'Jan 18'!_15PAGE_1</vt:lpstr>
      <vt:lpstr>'Jan 19'!_15PAGE_1</vt:lpstr>
      <vt:lpstr>'Jan 20'!_15PAGE_1</vt:lpstr>
      <vt:lpstr>'Jan 21'!_15PAGE_1</vt:lpstr>
      <vt:lpstr>'Jan 22'!_15PAGE_1</vt:lpstr>
      <vt:lpstr>'Jan 23'!_15PAGE_1</vt:lpstr>
      <vt:lpstr>'Jan 24'!_15PAGE_1</vt:lpstr>
      <vt:lpstr>'July 14'!_15PAGE_1</vt:lpstr>
      <vt:lpstr>'July 15'!_15PAGE_1</vt:lpstr>
      <vt:lpstr>'July 16'!_15PAGE_1</vt:lpstr>
      <vt:lpstr>'July 17'!_15PAGE_1</vt:lpstr>
      <vt:lpstr>'July 18'!_15PAGE_1</vt:lpstr>
      <vt:lpstr>'July 19'!_15PAGE_1</vt:lpstr>
      <vt:lpstr>'July 20'!_15PAGE_1</vt:lpstr>
      <vt:lpstr>'July 21'!_15PAGE_1</vt:lpstr>
      <vt:lpstr>'July 22'!_15PAGE_1</vt:lpstr>
      <vt:lpstr>'July 23'!_15PAGE_1</vt:lpstr>
      <vt:lpstr>'Oct 14'!_15PAGE_1</vt:lpstr>
      <vt:lpstr>'Oct 15'!_15PAGE_1</vt:lpstr>
      <vt:lpstr>'Oct 16'!_15PAGE_1</vt:lpstr>
      <vt:lpstr>'Oct 17'!_15PAGE_1</vt:lpstr>
      <vt:lpstr>'Oct 18'!_15PAGE_1</vt:lpstr>
      <vt:lpstr>'Oct 19'!_15PAGE_1</vt:lpstr>
      <vt:lpstr>'Oct 20'!_15PAGE_1</vt:lpstr>
      <vt:lpstr>'Oct 21'!_15PAGE_1</vt:lpstr>
      <vt:lpstr>'Oct 22'!_15PAGE_1</vt:lpstr>
      <vt:lpstr>'Oct 23'!_15PAGE_1</vt:lpstr>
      <vt:lpstr>'July 07'!_16PAGE_1</vt:lpstr>
      <vt:lpstr>'July 08'!_17PAGE_1</vt:lpstr>
      <vt:lpstr>'July 09'!_18PAGE_1</vt:lpstr>
      <vt:lpstr>'July 10'!_19PAGE_1</vt:lpstr>
      <vt:lpstr>'April 07'!_1PAGE_1</vt:lpstr>
      <vt:lpstr>'July 11'!_20PAGE_1</vt:lpstr>
      <vt:lpstr>'July 12'!_21PAGE_1</vt:lpstr>
      <vt:lpstr>'July 13'!_22PAGE_1</vt:lpstr>
      <vt:lpstr>'Oct 07'!_23PAGE_1</vt:lpstr>
      <vt:lpstr>'Oct 08'!_24PAGE_1</vt:lpstr>
      <vt:lpstr>'Oct 09'!_25PAGE_1</vt:lpstr>
      <vt:lpstr>'Oct 10'!_26PAGE_1</vt:lpstr>
      <vt:lpstr>'Oct 11'!_27PAGE_1</vt:lpstr>
      <vt:lpstr>'Oct 12'!_28PAGE_1</vt:lpstr>
      <vt:lpstr>'Oct 13'!_29PAGE_1</vt:lpstr>
      <vt:lpstr>'April 08'!_2PAGE_1</vt:lpstr>
      <vt:lpstr>_30PAGE_1</vt:lpstr>
      <vt:lpstr>'April 07'!_31PAGE_2</vt:lpstr>
      <vt:lpstr>'April 08'!_32PAGE_2</vt:lpstr>
      <vt:lpstr>'April 09'!_33PAGE_2</vt:lpstr>
      <vt:lpstr>'April 10'!_34PAGE_2</vt:lpstr>
      <vt:lpstr>'April 11'!_35PAGE_2</vt:lpstr>
      <vt:lpstr>'April 12'!_36PAGE_2</vt:lpstr>
      <vt:lpstr>'April 13'!_37PAGE_2</vt:lpstr>
      <vt:lpstr>'Jan 07'!_38PAGE_2</vt:lpstr>
      <vt:lpstr>'Jan 08'!_39PAGE_2</vt:lpstr>
      <vt:lpstr>'April 09'!_3PAGE_1</vt:lpstr>
      <vt:lpstr>'Jan 09'!_40PAGE_2</vt:lpstr>
      <vt:lpstr>'Jan 10'!_41PAGE_2</vt:lpstr>
      <vt:lpstr>'Jan 11'!_42PAGE_2</vt:lpstr>
      <vt:lpstr>'Jan 12'!_43PAGE_2</vt:lpstr>
      <vt:lpstr>'Jan 13'!_44PAGE_2</vt:lpstr>
      <vt:lpstr>'Apr 16'!_45PAGE_2</vt:lpstr>
      <vt:lpstr>'April 14'!_45PAGE_2</vt:lpstr>
      <vt:lpstr>'April 15'!_45PAGE_2</vt:lpstr>
      <vt:lpstr>'April 17'!_45PAGE_2</vt:lpstr>
      <vt:lpstr>'April 18'!_45PAGE_2</vt:lpstr>
      <vt:lpstr>'April 19'!_45PAGE_2</vt:lpstr>
      <vt:lpstr>'April 20'!_45PAGE_2</vt:lpstr>
      <vt:lpstr>'April 21'!_45PAGE_2</vt:lpstr>
      <vt:lpstr>'April 22'!_45PAGE_2</vt:lpstr>
      <vt:lpstr>'April 23'!_45PAGE_2</vt:lpstr>
      <vt:lpstr>'Jan 14'!_45PAGE_2</vt:lpstr>
      <vt:lpstr>'Jan 15'!_45PAGE_2</vt:lpstr>
      <vt:lpstr>'Jan 16'!_45PAGE_2</vt:lpstr>
      <vt:lpstr>'Jan 17'!_45PAGE_2</vt:lpstr>
      <vt:lpstr>'Jan 18'!_45PAGE_2</vt:lpstr>
      <vt:lpstr>'Jan 19'!_45PAGE_2</vt:lpstr>
      <vt:lpstr>'Jan 20'!_45PAGE_2</vt:lpstr>
      <vt:lpstr>'Jan 21'!_45PAGE_2</vt:lpstr>
      <vt:lpstr>'Jan 22'!_45PAGE_2</vt:lpstr>
      <vt:lpstr>'Jan 23'!_45PAGE_2</vt:lpstr>
      <vt:lpstr>'Jan 24'!_45PAGE_2</vt:lpstr>
      <vt:lpstr>'July 14'!_45PAGE_2</vt:lpstr>
      <vt:lpstr>'July 15'!_45PAGE_2</vt:lpstr>
      <vt:lpstr>'July 16'!_45PAGE_2</vt:lpstr>
      <vt:lpstr>'July 17'!_45PAGE_2</vt:lpstr>
      <vt:lpstr>'July 18'!_45PAGE_2</vt:lpstr>
      <vt:lpstr>'July 19'!_45PAGE_2</vt:lpstr>
      <vt:lpstr>'July 20'!_45PAGE_2</vt:lpstr>
      <vt:lpstr>'July 21'!_45PAGE_2</vt:lpstr>
      <vt:lpstr>'July 22'!_45PAGE_2</vt:lpstr>
      <vt:lpstr>'July 23'!_45PAGE_2</vt:lpstr>
      <vt:lpstr>'Oct 14'!_45PAGE_2</vt:lpstr>
      <vt:lpstr>'Oct 15'!_45PAGE_2</vt:lpstr>
      <vt:lpstr>'Oct 16'!_45PAGE_2</vt:lpstr>
      <vt:lpstr>'Oct 17'!_45PAGE_2</vt:lpstr>
      <vt:lpstr>'Oct 18'!_45PAGE_2</vt:lpstr>
      <vt:lpstr>'Oct 19'!_45PAGE_2</vt:lpstr>
      <vt:lpstr>'Oct 20'!_45PAGE_2</vt:lpstr>
      <vt:lpstr>'Oct 21'!_45PAGE_2</vt:lpstr>
      <vt:lpstr>'Oct 22'!_45PAGE_2</vt:lpstr>
      <vt:lpstr>'Oct 23'!_45PAGE_2</vt:lpstr>
      <vt:lpstr>'July 07'!_46PAGE_2</vt:lpstr>
      <vt:lpstr>'July 08'!_47PAGE_2</vt:lpstr>
      <vt:lpstr>'July 09'!_48PAGE_2</vt:lpstr>
      <vt:lpstr>'July 10'!_49PAGE_2</vt:lpstr>
      <vt:lpstr>'April 10'!_4PAGE_1</vt:lpstr>
      <vt:lpstr>'July 11'!_50PAGE_2</vt:lpstr>
      <vt:lpstr>'July 12'!_51PAGE_2</vt:lpstr>
      <vt:lpstr>'July 13'!_52PAGE_2</vt:lpstr>
      <vt:lpstr>'Oct 07'!_53PAGE_2</vt:lpstr>
      <vt:lpstr>'Oct 08'!_54PAGE_2</vt:lpstr>
      <vt:lpstr>'Oct 09'!_55PAGE_2</vt:lpstr>
      <vt:lpstr>'Oct 10'!_56PAGE_2</vt:lpstr>
      <vt:lpstr>'Oct 11'!_57PAGE_2</vt:lpstr>
      <vt:lpstr>'Oct 12'!_58PAGE_2</vt:lpstr>
      <vt:lpstr>'Oct 13'!_59PAGE_2</vt:lpstr>
      <vt:lpstr>'April 11'!_5PAGE_1</vt:lpstr>
      <vt:lpstr>_60PAGE_2</vt:lpstr>
      <vt:lpstr>'April 07'!_61PAGE_3</vt:lpstr>
      <vt:lpstr>'April 08'!_62PAGE_3</vt:lpstr>
      <vt:lpstr>'April 09'!_63PAGE_3</vt:lpstr>
      <vt:lpstr>'April 10'!_64PAGE_3</vt:lpstr>
      <vt:lpstr>'April 11'!_65PAGE_3</vt:lpstr>
      <vt:lpstr>'April 12'!_66PAGE_3</vt:lpstr>
      <vt:lpstr>'April 13'!_67PAGE_3</vt:lpstr>
      <vt:lpstr>'Jan 07'!_68PAGE_3</vt:lpstr>
      <vt:lpstr>'Jan 08'!_69PAGE_3</vt:lpstr>
      <vt:lpstr>'April 12'!_6PAGE_1</vt:lpstr>
      <vt:lpstr>'Jan 09'!_70PAGE_3</vt:lpstr>
      <vt:lpstr>'Jan 10'!_71PAGE_3</vt:lpstr>
      <vt:lpstr>'Jan 11'!_72PAGE_3</vt:lpstr>
      <vt:lpstr>'Jan 12'!_73PAGE_3</vt:lpstr>
      <vt:lpstr>'Jan 13'!_74PAGE_3</vt:lpstr>
      <vt:lpstr>'Apr 16'!_75PAGE_3</vt:lpstr>
      <vt:lpstr>'April 14'!_75PAGE_3</vt:lpstr>
      <vt:lpstr>'April 15'!_75PAGE_3</vt:lpstr>
      <vt:lpstr>'April 17'!_75PAGE_3</vt:lpstr>
      <vt:lpstr>'April 18'!_75PAGE_3</vt:lpstr>
      <vt:lpstr>'April 19'!_75PAGE_3</vt:lpstr>
      <vt:lpstr>'April 20'!_75PAGE_3</vt:lpstr>
      <vt:lpstr>'April 21'!_75PAGE_3</vt:lpstr>
      <vt:lpstr>'April 22'!_75PAGE_3</vt:lpstr>
      <vt:lpstr>'April 23'!_75PAGE_3</vt:lpstr>
      <vt:lpstr>'Jan 14'!_75PAGE_3</vt:lpstr>
      <vt:lpstr>'Jan 15'!_75PAGE_3</vt:lpstr>
      <vt:lpstr>'Jan 16'!_75PAGE_3</vt:lpstr>
      <vt:lpstr>'Jan 17'!_75PAGE_3</vt:lpstr>
      <vt:lpstr>'Jan 18'!_75PAGE_3</vt:lpstr>
      <vt:lpstr>'Jan 19'!_75PAGE_3</vt:lpstr>
      <vt:lpstr>'Jan 20'!_75PAGE_3</vt:lpstr>
      <vt:lpstr>'Jan 21'!_75PAGE_3</vt:lpstr>
      <vt:lpstr>'Jan 22'!_75PAGE_3</vt:lpstr>
      <vt:lpstr>'Jan 23'!_75PAGE_3</vt:lpstr>
      <vt:lpstr>'Jan 24'!_75PAGE_3</vt:lpstr>
      <vt:lpstr>'July 14'!_75PAGE_3</vt:lpstr>
      <vt:lpstr>'July 15'!_75PAGE_3</vt:lpstr>
      <vt:lpstr>'July 16'!_75PAGE_3</vt:lpstr>
      <vt:lpstr>'July 17'!_75PAGE_3</vt:lpstr>
      <vt:lpstr>'July 18'!_75PAGE_3</vt:lpstr>
      <vt:lpstr>'July 19'!_75PAGE_3</vt:lpstr>
      <vt:lpstr>'July 20'!_75PAGE_3</vt:lpstr>
      <vt:lpstr>'July 21'!_75PAGE_3</vt:lpstr>
      <vt:lpstr>'July 22'!_75PAGE_3</vt:lpstr>
      <vt:lpstr>'July 23'!_75PAGE_3</vt:lpstr>
      <vt:lpstr>'Oct 14'!_75PAGE_3</vt:lpstr>
      <vt:lpstr>'Oct 15'!_75PAGE_3</vt:lpstr>
      <vt:lpstr>'Oct 16'!_75PAGE_3</vt:lpstr>
      <vt:lpstr>'Oct 17'!_75PAGE_3</vt:lpstr>
      <vt:lpstr>'Oct 18'!_75PAGE_3</vt:lpstr>
      <vt:lpstr>'Oct 19'!_75PAGE_3</vt:lpstr>
      <vt:lpstr>'Oct 20'!_75PAGE_3</vt:lpstr>
      <vt:lpstr>'Oct 21'!_75PAGE_3</vt:lpstr>
      <vt:lpstr>'Oct 22'!_75PAGE_3</vt:lpstr>
      <vt:lpstr>'Oct 23'!_75PAGE_3</vt:lpstr>
      <vt:lpstr>'July 07'!_76PAGE_3</vt:lpstr>
      <vt:lpstr>'July 08'!_77PAGE_3</vt:lpstr>
      <vt:lpstr>'July 09'!_78PAGE_3</vt:lpstr>
      <vt:lpstr>'July 10'!_79PAGE_3</vt:lpstr>
      <vt:lpstr>'April 13'!_7PAGE_1</vt:lpstr>
      <vt:lpstr>'July 11'!_80PAGE_3</vt:lpstr>
      <vt:lpstr>'July 12'!_81PAGE_3</vt:lpstr>
      <vt:lpstr>'July 13'!_82PAGE_3</vt:lpstr>
      <vt:lpstr>'Oct 07'!_83PAGE_3</vt:lpstr>
      <vt:lpstr>'Oct 08'!_84PAGE_3</vt:lpstr>
      <vt:lpstr>'Oct 09'!_85PAGE_3</vt:lpstr>
      <vt:lpstr>'Oct 10'!_86PAGE_3</vt:lpstr>
      <vt:lpstr>'Oct 11'!_87PAGE_3</vt:lpstr>
      <vt:lpstr>'Oct 12'!_88PAGE_3</vt:lpstr>
      <vt:lpstr>'Oct 13'!_89PAGE_3</vt:lpstr>
      <vt:lpstr>'Jan 07'!_8PAGE_1</vt:lpstr>
      <vt:lpstr>_90PAGE_3</vt:lpstr>
      <vt:lpstr>'April 07'!_91PAGE_4</vt:lpstr>
      <vt:lpstr>'April 08'!_92PAGE_4</vt:lpstr>
      <vt:lpstr>'April 09'!_93PAGE_4</vt:lpstr>
      <vt:lpstr>'April 10'!_94PAGE_4</vt:lpstr>
      <vt:lpstr>'April 11'!_95PAGE_4</vt:lpstr>
      <vt:lpstr>'April 12'!_96PAGE_4</vt:lpstr>
      <vt:lpstr>'April 13'!_97PAGE_4</vt:lpstr>
      <vt:lpstr>'Jan 07'!_98PAGE_4</vt:lpstr>
      <vt:lpstr>'Jan 08'!_99PAGE_4</vt:lpstr>
      <vt:lpstr>'Jan 08'!_9PAGE_1</vt:lpstr>
      <vt:lpstr>'Apr 16'!Print_Area</vt:lpstr>
      <vt:lpstr>'April 07'!Print_Area</vt:lpstr>
      <vt:lpstr>'April 08'!Print_Area</vt:lpstr>
      <vt:lpstr>'April 09'!Print_Area</vt:lpstr>
      <vt:lpstr>'April 10'!Print_Area</vt:lpstr>
      <vt:lpstr>'April 11'!Print_Area</vt:lpstr>
      <vt:lpstr>'April 12'!Print_Area</vt:lpstr>
      <vt:lpstr>'April 13'!Print_Area</vt:lpstr>
      <vt:lpstr>'April 14'!Print_Area</vt:lpstr>
      <vt:lpstr>'April 15'!Print_Area</vt:lpstr>
      <vt:lpstr>'April 17'!Print_Area</vt:lpstr>
      <vt:lpstr>'April 18'!Print_Area</vt:lpstr>
      <vt:lpstr>'April 19'!Print_Area</vt:lpstr>
      <vt:lpstr>'April 20'!Print_Area</vt:lpstr>
      <vt:lpstr>'April 21'!Print_Area</vt:lpstr>
      <vt:lpstr>'April 22'!Print_Area</vt:lpstr>
      <vt:lpstr>'April 23'!Print_Area</vt:lpstr>
      <vt:lpstr>'Jan 07'!Print_Area</vt:lpstr>
      <vt:lpstr>'Jan 08'!Print_Area</vt:lpstr>
      <vt:lpstr>'Jan 09'!Print_Area</vt:lpstr>
      <vt:lpstr>'Jan 10'!Print_Area</vt:lpstr>
      <vt:lpstr>'Jan 11'!Print_Area</vt:lpstr>
      <vt:lpstr>'Jan 12'!Print_Area</vt:lpstr>
      <vt:lpstr>'Jan 13'!Print_Area</vt:lpstr>
      <vt:lpstr>'Jan 14'!Print_Area</vt:lpstr>
      <vt:lpstr>'Jan 15'!Print_Area</vt:lpstr>
      <vt:lpstr>'Jan 16'!Print_Area</vt:lpstr>
      <vt:lpstr>'Jan 17'!Print_Area</vt:lpstr>
      <vt:lpstr>'Jan 18'!Print_Area</vt:lpstr>
      <vt:lpstr>'Jan 19'!Print_Area</vt:lpstr>
      <vt:lpstr>'Jan 20'!Print_Area</vt:lpstr>
      <vt:lpstr>'Jan 21'!Print_Area</vt:lpstr>
      <vt:lpstr>'Jan 22'!Print_Area</vt:lpstr>
      <vt:lpstr>'Jan 23'!Print_Area</vt:lpstr>
      <vt:lpstr>'Jan 24'!Print_Area</vt:lpstr>
      <vt:lpstr>'July 07'!Print_Area</vt:lpstr>
      <vt:lpstr>'July 08'!Print_Area</vt:lpstr>
      <vt:lpstr>'July 09'!Print_Area</vt:lpstr>
      <vt:lpstr>'July 10'!Print_Area</vt:lpstr>
      <vt:lpstr>'July 11'!Print_Area</vt:lpstr>
      <vt:lpstr>'July 12'!Print_Area</vt:lpstr>
      <vt:lpstr>'July 13'!Print_Area</vt:lpstr>
      <vt:lpstr>'July 14'!Print_Area</vt:lpstr>
      <vt:lpstr>'July 15'!Print_Area</vt:lpstr>
      <vt:lpstr>'July 16'!Print_Area</vt:lpstr>
      <vt:lpstr>'July 17'!Print_Area</vt:lpstr>
      <vt:lpstr>'July 18'!Print_Area</vt:lpstr>
      <vt:lpstr>'July 19'!Print_Area</vt:lpstr>
      <vt:lpstr>'July 20'!Print_Area</vt:lpstr>
      <vt:lpstr>'July 21'!Print_Area</vt:lpstr>
      <vt:lpstr>'July 22'!Print_Area</vt:lpstr>
      <vt:lpstr>'July 23'!Print_Area</vt:lpstr>
      <vt:lpstr>'Oct 06'!Print_Area</vt:lpstr>
      <vt:lpstr>'Oct 07'!Print_Area</vt:lpstr>
      <vt:lpstr>'Oct 08'!Print_Area</vt:lpstr>
      <vt:lpstr>'Oct 09'!Print_Area</vt:lpstr>
      <vt:lpstr>'Oct 10'!Print_Area</vt:lpstr>
      <vt:lpstr>'Oct 11'!Print_Area</vt:lpstr>
      <vt:lpstr>'Oct 12'!Print_Area</vt:lpstr>
      <vt:lpstr>'Oct 13'!Print_Area</vt:lpstr>
      <vt:lpstr>'Oct 14'!Print_Area</vt:lpstr>
      <vt:lpstr>'Oct 15'!Print_Area</vt:lpstr>
      <vt:lpstr>'Oct 16'!Print_Area</vt:lpstr>
      <vt:lpstr>'Oct 17'!Print_Area</vt:lpstr>
      <vt:lpstr>'Oct 18'!Print_Area</vt:lpstr>
      <vt:lpstr>'Oct 19'!Print_Area</vt:lpstr>
      <vt:lpstr>'Oct 20'!Print_Area</vt:lpstr>
      <vt:lpstr>'Oct 21'!Print_Area</vt:lpstr>
      <vt:lpstr>'Oct 22'!Print_Area</vt:lpstr>
      <vt:lpstr>'Oct 23'!Print_Area</vt:lpstr>
      <vt:lpst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Dowler</dc:creator>
  <cp:lastModifiedBy>Andrew Kitching</cp:lastModifiedBy>
  <cp:lastPrinted>2019-11-14T09:29:25Z</cp:lastPrinted>
  <dcterms:created xsi:type="dcterms:W3CDTF">2003-11-18T07:58:35Z</dcterms:created>
  <dcterms:modified xsi:type="dcterms:W3CDTF">2024-02-19T08:47:40Z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tention Period">
    <vt:lpwstr>Keep</vt:lpwstr>
  </property>
</Properties>
</file>